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ід 08.11.2010 №5" sheetId="11" r:id="rId1"/>
  </sheets>
  <definedNames>
    <definedName name="_xlnm.Print_Titles" localSheetId="0">'від 08.11.2010 №5'!$8:$10</definedName>
  </definedNames>
  <calcPr calcId="124519"/>
</workbook>
</file>

<file path=xl/calcChain.xml><?xml version="1.0" encoding="utf-8"?>
<calcChain xmlns="http://schemas.openxmlformats.org/spreadsheetml/2006/main">
  <c r="F63" i="11"/>
  <c r="F25"/>
  <c r="E25"/>
  <c r="F22"/>
  <c r="G64" l="1"/>
  <c r="G63"/>
  <c r="G60"/>
  <c r="D50"/>
  <c r="G52"/>
  <c r="G48"/>
  <c r="F48"/>
  <c r="D48"/>
  <c r="G38"/>
  <c r="G33" l="1"/>
  <c r="E33"/>
  <c r="G31"/>
  <c r="G29"/>
  <c r="F29"/>
  <c r="E29"/>
  <c r="G24"/>
  <c r="G21"/>
  <c r="F21"/>
  <c r="E21"/>
  <c r="G20"/>
  <c r="E22"/>
  <c r="G19"/>
  <c r="G18"/>
  <c r="F12" l="1"/>
  <c r="G14"/>
  <c r="G70"/>
  <c r="F70"/>
  <c r="E70"/>
  <c r="G69"/>
  <c r="F69"/>
  <c r="E69"/>
  <c r="G68"/>
  <c r="F68"/>
  <c r="D68"/>
  <c r="G67"/>
  <c r="F67"/>
  <c r="E67"/>
  <c r="G66"/>
  <c r="F66"/>
  <c r="E66"/>
  <c r="G65"/>
  <c r="E65"/>
  <c r="F64"/>
  <c r="E64"/>
  <c r="E63"/>
  <c r="G61"/>
  <c r="E61"/>
  <c r="F60"/>
  <c r="E60"/>
  <c r="G59"/>
  <c r="F59"/>
  <c r="D59"/>
  <c r="G57"/>
  <c r="F57"/>
  <c r="E57"/>
  <c r="F56"/>
  <c r="E56"/>
  <c r="F55"/>
  <c r="E55"/>
  <c r="G54"/>
  <c r="E54"/>
  <c r="G53"/>
  <c r="G50" s="1"/>
  <c r="E53"/>
  <c r="F52"/>
  <c r="F50" s="1"/>
  <c r="E52"/>
  <c r="F47"/>
  <c r="E47"/>
  <c r="E46"/>
  <c r="E45"/>
  <c r="F44"/>
  <c r="E44"/>
  <c r="G43"/>
  <c r="F43"/>
  <c r="E43"/>
  <c r="F41"/>
  <c r="E41"/>
  <c r="G39"/>
  <c r="F39"/>
  <c r="D39"/>
  <c r="F38"/>
  <c r="E38"/>
  <c r="G36"/>
  <c r="F36"/>
  <c r="E36"/>
  <c r="F35"/>
  <c r="E35"/>
  <c r="F34"/>
  <c r="E34"/>
  <c r="F31"/>
  <c r="E31"/>
  <c r="G30"/>
  <c r="F30"/>
  <c r="E30"/>
  <c r="F28"/>
  <c r="E28"/>
  <c r="G27"/>
  <c r="F27"/>
  <c r="D27"/>
  <c r="G26"/>
  <c r="F26"/>
  <c r="E26"/>
  <c r="F24"/>
  <c r="E24"/>
  <c r="G23"/>
  <c r="F23"/>
  <c r="E23"/>
  <c r="F20"/>
  <c r="E20"/>
  <c r="F19"/>
  <c r="E19"/>
  <c r="F18"/>
  <c r="E18"/>
  <c r="F17"/>
  <c r="E17"/>
  <c r="G12"/>
  <c r="E12"/>
  <c r="G11"/>
  <c r="F11"/>
  <c r="D11"/>
  <c r="D71" s="1"/>
  <c r="F71" l="1"/>
  <c r="G71"/>
</calcChain>
</file>

<file path=xl/sharedStrings.xml><?xml version="1.0" encoding="utf-8"?>
<sst xmlns="http://schemas.openxmlformats.org/spreadsheetml/2006/main" count="134" uniqueCount="86">
  <si>
    <t>Назва об'єктів відповідно до проектно-кошторисної документації, тощо</t>
  </si>
  <si>
    <t>Головне економічне управління міської ради</t>
  </si>
  <si>
    <t>Капітальні вкладення</t>
  </si>
  <si>
    <t>Будівництво автотранспортної магістралі через р. Дніпро у м. Запоріжжі</t>
  </si>
  <si>
    <t>Реконструкція хлораторної  ДВС-2, м.Запоріжжя (проектні та будівельні роботи)</t>
  </si>
  <si>
    <t>Системи теплопостачання Орджонікідзевського, Жовтневого районів м.Запоріжжя - реконструкція теплових мереж по вул. Гагаріна, Яценка, Героїв Сталінграду (другий пусковий комплекс)</t>
  </si>
  <si>
    <t>Заходи з упередження аварій та запобігання техногенних катастроф у житлово-комунальному господарстві та на інших аварійних об’єктах комунальної власності</t>
  </si>
  <si>
    <t xml:space="preserve">Магістральна мережа теплопостачання по вул.Новокузнецька житлового масиву Південний,  м.Запоріжжя - реконструкція (другий пусковий комплекс) </t>
  </si>
  <si>
    <t>083</t>
  </si>
  <si>
    <t>Управління комунального господарства міської ради</t>
  </si>
  <si>
    <t>Програма "Світло 2010-2012" реконструкція мереж зовнішнього освітлення</t>
  </si>
  <si>
    <t>Реконструкція автодорожнього переїзду по спорудах  ДніпроГЕС  у м. Запоріжжя. Ліквідація аварійного стану</t>
  </si>
  <si>
    <t xml:space="preserve">Першочергові аварійно-відбудовні роботи на автодорожньому переїзді греблі  Дніпровської ГЕС  </t>
  </si>
  <si>
    <t>Будівництво тротуару від житлового будинку № 16 уздовж житлового будинку № 23-A по вул. Будьонного до магазину "Амстор"</t>
  </si>
  <si>
    <t>Будівництво крематорію в м. Запоріжжя (проектні, проектно-вишукувальні та будівельні роботи)</t>
  </si>
  <si>
    <t xml:space="preserve">Будівництво І і ІІ черги та введення в експлуатацію Кушугумського кладовища </t>
  </si>
  <si>
    <t>Ліквідація аварійного стану автодороги, зливової та побутової каналізації по вул. М.Судця, м. Запоріжжя (проектні та будівельні роботи)</t>
  </si>
  <si>
    <t>080</t>
  </si>
  <si>
    <t>Управління житлового господарства міської ради</t>
  </si>
  <si>
    <t xml:space="preserve">Житловий будинок №40 по бул. Вінтера, м.Запоріжжя - реконструкція  </t>
  </si>
  <si>
    <t>Житловий будинок по вул. Радгоспній, 59-б,  м. Запоріжжя - реконструкція  (проектні та будіельні роботи)</t>
  </si>
  <si>
    <t>Газифікація  житлового будинку по вул. Зеленій,45</t>
  </si>
  <si>
    <t>Гуртожиток по вул. Жуковського, 68 - реконструкція</t>
  </si>
  <si>
    <t>Гуртожиток по вул. Шаумяна, 3 - реконструкція</t>
  </si>
  <si>
    <t>020</t>
  </si>
  <si>
    <t>Управління освіти і науки міської ради</t>
  </si>
  <si>
    <t>Ліквідація аварійного стану будівлі навчально-виховного комплексу № 19 по вул. Військбуд, 13 Шевченківського району (проектні та будівельні роботи)</t>
  </si>
  <si>
    <t>Реконструкція приміщень загальноосвітньої школи І-ІІІ ступенів  № 109  по вул. Дніпровські пороги, 29 Ленінського району під дошкільний навчальний заклад</t>
  </si>
  <si>
    <t>Будівля навчального комплексу "Запорізька Січ" о.Хортиця, м.Запоріжжя - реконструкція</t>
  </si>
  <si>
    <t>030</t>
  </si>
  <si>
    <t>Управління охорони здоров"я міської ради</t>
  </si>
  <si>
    <t>Комунальна установа «Міська клінічна лікарня екстреної та швидкої медичної допомоги м. Запоріжжя" - реконструкція травматологічного відділення  (проектні та будівельні роботи)</t>
  </si>
  <si>
    <t>Комунальна установа «Міська клінічна лікарня екстреної та швидкої медичної допомоги м. Запоріжжя" - реконструкція Лівобережної підстанції швидкої медичної допомоги</t>
  </si>
  <si>
    <t xml:space="preserve">Комунальна установа «Запорізька міська багатопрофільна дитяча лікарня №5» - реконструкція </t>
  </si>
  <si>
    <t>Комунальна установа «Запорізька міська багатопрофільна дитяча лікарня №5» діагностичне інфекційно-боксоване відділення - реконструкція (проектні та будівельні роботи)</t>
  </si>
  <si>
    <t xml:space="preserve">Комунальна установа "Пологовий будинок №4" по вул. Дудикіна, м. Запоріжжя - реконструкція електрозабезпечення (проектні та будівельні роботи) </t>
  </si>
  <si>
    <t>Реконструкція відділення мікрохірургії ока комунального закладу "Міська клінічна лікарня № 3", м.Запоріжжя</t>
  </si>
  <si>
    <t>Будівля поліклініки комунальної установи «Запорізька міська багатопрофільна клінічна лікарня №9», м.Запоріжжя - реконструкція</t>
  </si>
  <si>
    <t>050</t>
  </si>
  <si>
    <t>Управління праці та соціального захисту населення міської ради</t>
  </si>
  <si>
    <t>Реконструкція будівлі міського геріатричного стаціонару по вул. Кузнєцова, 28а (проектні та будівельні роботи)</t>
  </si>
  <si>
    <t>Всього</t>
  </si>
  <si>
    <t>до рішення міської ради</t>
  </si>
  <si>
    <t>_______________№_______</t>
  </si>
  <si>
    <t>(грн.)</t>
  </si>
  <si>
    <t>Додаток №6</t>
  </si>
  <si>
    <t>Загальний обсяг фінансування будівництва</t>
  </si>
  <si>
    <t>Всього видатків на завершення будівництва об'єктів на майбутні роки</t>
  </si>
  <si>
    <t>Разом видатків на поточний рік</t>
  </si>
  <si>
    <t>Перелік об'єктів, видатки на які у 2010 році будуть проводитися за рахунок коштів бюджету розвитку</t>
  </si>
  <si>
    <t>Будівництво тротуару по вул. Портовій уздовж будинку №6</t>
  </si>
  <si>
    <t>Будівництво водогону технічної води в Хортицькому житловому масиві, м.Запоріжжя (проектні та будівельні роботи)</t>
  </si>
  <si>
    <t>Газифікація сел. Чапаєвка (проектні та будівельні роботи)</t>
  </si>
  <si>
    <t>Реконструкція стадіону по вул. Валерія Лобановського</t>
  </si>
  <si>
    <t>Котельня по вул. Хакаська, 4, м. Запоріжжя - реконструкція вузла гарячого водопостачання із заміною баків-акумуляторів</t>
  </si>
  <si>
    <t xml:space="preserve">Ліквідація аварійного стану житлового будинку по вул.Гудименка,3  блок 1, 2 в м.Запоріжжі </t>
  </si>
  <si>
    <t>Реконструкція теплиць та парку-пам"ятки садово-паркового мистецтва місцевого призначення  "Запорізький міський дитячий ботанічний сад" (проектні роботи)</t>
  </si>
  <si>
    <t>Реконструкція будівлі дошкільного навчального закладу № 144 Комунарського району (проектні та будівельні роботи)</t>
  </si>
  <si>
    <t>Реконструкція будівлі дошкільного навчального закладу № 285 по пр. 40-річчя Перемоги,15а,  Комунарського району (проектні та будівельні роботи)</t>
  </si>
  <si>
    <t>Реконструкція приміщень навчально-виховного оздоровчого комплексу № 110 по вул. В. Стешенка, 19,  Комунарського району під позашкільний підрозділ (проектні та будівельні роботи)</t>
  </si>
  <si>
    <t>006</t>
  </si>
  <si>
    <t xml:space="preserve">Виконавчий комітет міської ради </t>
  </si>
  <si>
    <t>Реконструкція, переобладнання та перепланування гуртожитку під житловий будинок по вул. Рекордній, 39</t>
  </si>
  <si>
    <t xml:space="preserve">Реконструкція, переобладнання та перепланування гуртожитку по вул. Північнокільцевій, 22а під житловий будинок </t>
  </si>
  <si>
    <t>в тому числі за рахунок</t>
  </si>
  <si>
    <t>субвенції з державного бюджету</t>
  </si>
  <si>
    <t>коштів бюджету міста</t>
  </si>
  <si>
    <t>Будівництво житлового будинку №25 в кварталі по вул. Алмазній у сел. Павло-Кічкас м.Запоріжжя (проектні та будівельні роботи, компенсація за знесення будівель та зелених насаджень)</t>
  </si>
  <si>
    <t>Код типової відомчої класифікації видатків місцевих бюджетів</t>
  </si>
  <si>
    <t>Код тимчасової класифікації видатків та кредитування місцевих бюджетів</t>
  </si>
  <si>
    <t>Назва головного розпорядника коштів</t>
  </si>
  <si>
    <t>Найменування коду тимчасової класифікації видатків та кредитування місцевих бюджетів</t>
  </si>
  <si>
    <t>Відсоток завершеності будівництва об'єктів на майбутні роки</t>
  </si>
  <si>
    <t>Реконструкція самопливного каналізаційного колектору  від  вул. Новгородської до ЦОС-2. Дільниця колектору від вул. Новгородської до дюкеру (проектні та будівельні роботи)</t>
  </si>
  <si>
    <t>Реконструкція самопливного каналізаційного колектору  від  вул. Новгородської до ЦОС-2. Ділянка від вихідної камери дюкеру до ЦОС-2 (проектні роботи та експертиза)</t>
  </si>
  <si>
    <t>Реконструкція комунального закладу "Амбулаторія сімейного лікаря з вбудованою двохкімнотною квартирою у селищі Тепличне в Шевчеківському районі м. Запоріжжя" (проектні роботи)</t>
  </si>
  <si>
    <t>Реконструкція будівлі управління праці та соціального захисту населення  Жовтневої районної адміністрації Запорізької міської ради, по вул. Артема, 63 м.Запоріжжя (технічне обстеження, проектні та будівельні роботи)</t>
  </si>
  <si>
    <t>Реконструкція вул. Рекордної в районі житлового будинку №39а, м.Запоріжжя (проектні та будівельні роботи)</t>
  </si>
  <si>
    <t>Придбання житла для відселення мешканців з ветхих та непридатних для проживання будинків - субвенція з державного бюджету</t>
  </si>
  <si>
    <t>Системи теплопостачання житлових будинків по вул. Виборзька, Гостинна, Єнісейська в м.Запоріжжя -реконструкція (проектні роботи)</t>
  </si>
  <si>
    <t>Магістральна теплова мережа по вул. Артема в м.Запоріжжі - реконструкція (коригування проетку)</t>
  </si>
  <si>
    <t>Реконструкція будівлі ЗОШ І-ІІІ ступенів № 75 по вул. Історична, 92 Заводського району в м.Запоріжжі (проектні роботи та експертиза)</t>
  </si>
  <si>
    <t>Будівництво (придбання) житла для інвалідів Великої Вітчизняної війни I групи</t>
  </si>
  <si>
    <t>В.о. міського голови -</t>
  </si>
  <si>
    <t>В.Ф.Кальцев</t>
  </si>
  <si>
    <t>секретар міської ради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</si>
</sst>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12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3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5" fillId="2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49" fontId="7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3" fontId="5" fillId="2" borderId="1" xfId="1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3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3" fontId="7" fillId="2" borderId="1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166" fontId="5" fillId="0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top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8" fillId="2" borderId="0" xfId="0" applyFont="1" applyFill="1" applyAlignment="1">
      <alignment horizontal="center" wrapText="1"/>
    </xf>
    <xf numFmtId="3" fontId="5" fillId="2" borderId="1" xfId="3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right" vertical="center" wrapText="1"/>
    </xf>
    <xf numFmtId="9" fontId="7" fillId="2" borderId="1" xfId="2" applyFont="1" applyFill="1" applyBorder="1" applyAlignment="1">
      <alignment horizontal="right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4" fontId="5" fillId="2" borderId="1" xfId="2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3" fontId="10" fillId="2" borderId="0" xfId="1" applyNumberFormat="1" applyFont="1" applyFill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1"/>
    <cellStyle name="Процентный 2" xfId="3"/>
    <cellStyle name="Процентн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"/>
  <sheetViews>
    <sheetView tabSelected="1" topLeftCell="A46" zoomScale="88" zoomScaleNormal="88" workbookViewId="0">
      <selection activeCell="B57" sqref="B57"/>
    </sheetView>
  </sheetViews>
  <sheetFormatPr defaultColWidth="29.28515625" defaultRowHeight="15"/>
  <cols>
    <col min="1" max="1" width="19" style="37" customWidth="1"/>
    <col min="2" max="2" width="33.85546875" style="24" customWidth="1"/>
    <col min="3" max="3" width="54.85546875" style="24" customWidth="1"/>
    <col min="4" max="4" width="16.140625" style="24" customWidth="1"/>
    <col min="5" max="6" width="14.7109375" style="24" customWidth="1"/>
    <col min="7" max="7" width="14" style="24" customWidth="1"/>
    <col min="8" max="16384" width="29.28515625" style="24"/>
  </cols>
  <sheetData>
    <row r="1" spans="1:7" ht="16.5">
      <c r="A1" s="54"/>
      <c r="B1" s="23"/>
      <c r="C1" s="23"/>
      <c r="D1" s="26"/>
      <c r="E1" s="61" t="s">
        <v>45</v>
      </c>
      <c r="F1" s="61"/>
      <c r="G1" s="61"/>
    </row>
    <row r="2" spans="1:7" ht="16.5">
      <c r="A2" s="54"/>
      <c r="B2" s="23"/>
      <c r="C2" s="23"/>
      <c r="D2" s="26"/>
      <c r="E2" s="61" t="s">
        <v>42</v>
      </c>
      <c r="F2" s="61"/>
      <c r="G2" s="61"/>
    </row>
    <row r="3" spans="1:7" ht="18.75" customHeight="1">
      <c r="A3" s="54"/>
      <c r="B3" s="23"/>
      <c r="C3" s="23"/>
      <c r="D3" s="26"/>
      <c r="E3" s="61" t="s">
        <v>43</v>
      </c>
      <c r="F3" s="61"/>
      <c r="G3" s="61"/>
    </row>
    <row r="4" spans="1:7">
      <c r="A4" s="54"/>
      <c r="B4" s="23"/>
      <c r="C4" s="23"/>
      <c r="D4" s="26"/>
      <c r="E4" s="23"/>
      <c r="F4" s="26"/>
      <c r="G4" s="26"/>
    </row>
    <row r="5" spans="1:7" ht="16.5">
      <c r="A5" s="62" t="s">
        <v>49</v>
      </c>
      <c r="B5" s="62"/>
      <c r="C5" s="62"/>
      <c r="D5" s="62"/>
      <c r="E5" s="62"/>
      <c r="F5" s="62"/>
      <c r="G5" s="62"/>
    </row>
    <row r="6" spans="1:7">
      <c r="A6" s="54"/>
      <c r="B6" s="54"/>
      <c r="C6" s="54"/>
      <c r="D6" s="40"/>
      <c r="E6" s="54"/>
      <c r="F6" s="40"/>
      <c r="G6" s="40"/>
    </row>
    <row r="7" spans="1:7">
      <c r="A7" s="54"/>
      <c r="B7" s="23"/>
      <c r="C7" s="23"/>
      <c r="D7" s="26"/>
      <c r="E7" s="23"/>
      <c r="F7" s="26"/>
      <c r="G7" s="25" t="s">
        <v>44</v>
      </c>
    </row>
    <row r="8" spans="1:7" ht="67.5" customHeight="1">
      <c r="A8" s="53" t="s">
        <v>68</v>
      </c>
      <c r="B8" s="53" t="s">
        <v>70</v>
      </c>
      <c r="C8" s="63" t="s">
        <v>0</v>
      </c>
      <c r="D8" s="64" t="s">
        <v>46</v>
      </c>
      <c r="E8" s="63" t="s">
        <v>72</v>
      </c>
      <c r="F8" s="64" t="s">
        <v>47</v>
      </c>
      <c r="G8" s="64" t="s">
        <v>48</v>
      </c>
    </row>
    <row r="9" spans="1:7" ht="68.25" customHeight="1">
      <c r="A9" s="53" t="s">
        <v>69</v>
      </c>
      <c r="B9" s="41" t="s">
        <v>71</v>
      </c>
      <c r="C9" s="63"/>
      <c r="D9" s="64"/>
      <c r="E9" s="63"/>
      <c r="F9" s="64"/>
      <c r="G9" s="64"/>
    </row>
    <row r="10" spans="1:7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</row>
    <row r="11" spans="1:7" ht="25.5">
      <c r="A11" s="27">
        <v>230</v>
      </c>
      <c r="B11" s="28" t="s">
        <v>1</v>
      </c>
      <c r="C11" s="29"/>
      <c r="D11" s="20">
        <f>SUM(D12:D26)</f>
        <v>5465159017</v>
      </c>
      <c r="E11" s="42"/>
      <c r="F11" s="20">
        <f>SUM(F12:F26)</f>
        <v>4034783879.0499997</v>
      </c>
      <c r="G11" s="20">
        <f>SUM(G14:G26)</f>
        <v>284977227</v>
      </c>
    </row>
    <row r="12" spans="1:7" ht="25.5">
      <c r="A12" s="30">
        <v>150101</v>
      </c>
      <c r="B12" s="1" t="s">
        <v>2</v>
      </c>
      <c r="C12" s="1" t="s">
        <v>3</v>
      </c>
      <c r="D12" s="7">
        <v>5226005939</v>
      </c>
      <c r="E12" s="11">
        <f t="shared" ref="E12:E26" si="0">100-(F12/D12)*100</f>
        <v>24.330798736966372</v>
      </c>
      <c r="F12" s="7">
        <f>4204476952-100000000-59228700-40771300-50000000</f>
        <v>3954476952</v>
      </c>
      <c r="G12" s="9">
        <f>SUM(G14:G15)</f>
        <v>252000000</v>
      </c>
    </row>
    <row r="13" spans="1:7">
      <c r="A13" s="30"/>
      <c r="B13" s="1"/>
      <c r="C13" s="31" t="s">
        <v>64</v>
      </c>
      <c r="D13" s="7"/>
      <c r="E13" s="11"/>
      <c r="F13" s="7"/>
      <c r="G13" s="9"/>
    </row>
    <row r="14" spans="1:7">
      <c r="A14" s="30"/>
      <c r="B14" s="1"/>
      <c r="C14" s="31" t="s">
        <v>65</v>
      </c>
      <c r="D14" s="7"/>
      <c r="E14" s="11"/>
      <c r="F14" s="7"/>
      <c r="G14" s="9">
        <f>100000000+59228700+40771300+50000000</f>
        <v>250000000</v>
      </c>
    </row>
    <row r="15" spans="1:7">
      <c r="A15" s="30"/>
      <c r="B15" s="1"/>
      <c r="C15" s="31" t="s">
        <v>66</v>
      </c>
      <c r="D15" s="7"/>
      <c r="E15" s="11"/>
      <c r="F15" s="7"/>
      <c r="G15" s="9">
        <v>2000000</v>
      </c>
    </row>
    <row r="16" spans="1:7" ht="38.25">
      <c r="A16" s="30">
        <v>150101</v>
      </c>
      <c r="B16" s="1" t="s">
        <v>2</v>
      </c>
      <c r="C16" s="31" t="s">
        <v>78</v>
      </c>
      <c r="D16" s="7">
        <v>27624000</v>
      </c>
      <c r="E16" s="11"/>
      <c r="F16" s="7"/>
      <c r="G16" s="9">
        <v>27624000</v>
      </c>
    </row>
    <row r="17" spans="1:7">
      <c r="A17" s="30">
        <v>150101</v>
      </c>
      <c r="B17" s="1" t="s">
        <v>2</v>
      </c>
      <c r="C17" s="13" t="s">
        <v>53</v>
      </c>
      <c r="D17" s="9">
        <v>111871779</v>
      </c>
      <c r="E17" s="39">
        <f>100-(F17/D17)*100</f>
        <v>93.585160561360169</v>
      </c>
      <c r="F17" s="7">
        <f>D17-103695384-G17</f>
        <v>7176395</v>
      </c>
      <c r="G17" s="12">
        <v>1000000</v>
      </c>
    </row>
    <row r="18" spans="1:7" ht="51">
      <c r="A18" s="30">
        <v>150101</v>
      </c>
      <c r="B18" s="1" t="s">
        <v>2</v>
      </c>
      <c r="C18" s="13" t="s">
        <v>67</v>
      </c>
      <c r="D18" s="9">
        <v>31254782</v>
      </c>
      <c r="E18" s="39">
        <f>100-(F18/D18)*100</f>
        <v>1.4103217869188711</v>
      </c>
      <c r="F18" s="7">
        <f>D18-G18-309354</f>
        <v>30813989</v>
      </c>
      <c r="G18" s="12">
        <f>108885+22554</f>
        <v>131439</v>
      </c>
    </row>
    <row r="19" spans="1:7" ht="38.25">
      <c r="A19" s="30">
        <v>150101</v>
      </c>
      <c r="B19" s="1" t="s">
        <v>2</v>
      </c>
      <c r="C19" s="1" t="s">
        <v>51</v>
      </c>
      <c r="D19" s="7">
        <v>15927800</v>
      </c>
      <c r="E19" s="39">
        <f>100-(F19/D19)*100</f>
        <v>1.7642110021471922</v>
      </c>
      <c r="F19" s="7">
        <f>SUM(D19-250000-G19)</f>
        <v>15646800</v>
      </c>
      <c r="G19" s="12">
        <f>1895000-1871863+7863</f>
        <v>31000</v>
      </c>
    </row>
    <row r="20" spans="1:7" ht="25.5">
      <c r="A20" s="30">
        <v>150101</v>
      </c>
      <c r="B20" s="1" t="s">
        <v>2</v>
      </c>
      <c r="C20" s="13" t="s">
        <v>4</v>
      </c>
      <c r="D20" s="7">
        <v>6500000</v>
      </c>
      <c r="E20" s="39">
        <f t="shared" ref="E20:E25" si="1">100-(F20/D20)*100</f>
        <v>0.18461538461538396</v>
      </c>
      <c r="F20" s="7">
        <f>SUM(D20-G20)</f>
        <v>6488000</v>
      </c>
      <c r="G20" s="12">
        <f>1950000-1900000-38000</f>
        <v>12000</v>
      </c>
    </row>
    <row r="21" spans="1:7">
      <c r="A21" s="30">
        <v>150101</v>
      </c>
      <c r="B21" s="1" t="s">
        <v>2</v>
      </c>
      <c r="C21" s="13" t="s">
        <v>52</v>
      </c>
      <c r="D21" s="9">
        <v>616023</v>
      </c>
      <c r="E21" s="39">
        <f t="shared" ref="E21" si="2">100-(F21/D21)*100</f>
        <v>59.413366059384146</v>
      </c>
      <c r="F21" s="7">
        <f>SUM(D21-G21)</f>
        <v>250023</v>
      </c>
      <c r="G21" s="12">
        <f>710000-93977-250023</f>
        <v>366000</v>
      </c>
    </row>
    <row r="22" spans="1:7" ht="38.25">
      <c r="A22" s="30">
        <v>150101</v>
      </c>
      <c r="B22" s="1" t="s">
        <v>2</v>
      </c>
      <c r="C22" s="13" t="s">
        <v>79</v>
      </c>
      <c r="D22" s="9">
        <v>355000</v>
      </c>
      <c r="E22" s="39">
        <f t="shared" ref="E22" si="3">100-(F22/D22)*100</f>
        <v>16.605633802816897</v>
      </c>
      <c r="F22" s="7">
        <f>D22-G22</f>
        <v>296050</v>
      </c>
      <c r="G22" s="12">
        <v>58950</v>
      </c>
    </row>
    <row r="23" spans="1:7" ht="51">
      <c r="A23" s="30">
        <v>150101</v>
      </c>
      <c r="B23" s="1" t="s">
        <v>2</v>
      </c>
      <c r="C23" s="13" t="s">
        <v>5</v>
      </c>
      <c r="D23" s="9">
        <v>15705830</v>
      </c>
      <c r="E23" s="39">
        <f t="shared" si="1"/>
        <v>70.376611742263862</v>
      </c>
      <c r="F23" s="7">
        <f>7909418-G23</f>
        <v>4652599</v>
      </c>
      <c r="G23" s="12">
        <f>1318236+1938583</f>
        <v>3256819</v>
      </c>
    </row>
    <row r="24" spans="1:7" ht="38.25">
      <c r="A24" s="30">
        <v>150101</v>
      </c>
      <c r="B24" s="1" t="s">
        <v>2</v>
      </c>
      <c r="C24" s="13" t="s">
        <v>54</v>
      </c>
      <c r="D24" s="9">
        <v>3995810</v>
      </c>
      <c r="E24" s="39">
        <f t="shared" si="1"/>
        <v>98.584233234312947</v>
      </c>
      <c r="F24" s="7">
        <f>D24-1500000-750000-84291.9-197702.92-523886.83-439145-G24</f>
        <v>56571.350000000093</v>
      </c>
      <c r="G24" s="12">
        <f>444212-144212+30624+113588</f>
        <v>444212</v>
      </c>
    </row>
    <row r="25" spans="1:7" ht="25.5">
      <c r="A25" s="30">
        <v>150101</v>
      </c>
      <c r="B25" s="1" t="s">
        <v>2</v>
      </c>
      <c r="C25" s="13" t="s">
        <v>80</v>
      </c>
      <c r="D25" s="8">
        <v>8469431</v>
      </c>
      <c r="E25" s="22">
        <f t="shared" si="1"/>
        <v>42.081390119359853</v>
      </c>
      <c r="F25" s="6">
        <f>SUM(D25-1500000-1125399-428348.3-479307-G25)</f>
        <v>4905376.7</v>
      </c>
      <c r="G25" s="10">
        <v>31000</v>
      </c>
    </row>
    <row r="26" spans="1:7" ht="63.75">
      <c r="A26" s="30">
        <v>150121</v>
      </c>
      <c r="B26" s="1" t="s">
        <v>6</v>
      </c>
      <c r="C26" s="1" t="s">
        <v>7</v>
      </c>
      <c r="D26" s="7">
        <v>16832623</v>
      </c>
      <c r="E26" s="11">
        <f t="shared" si="0"/>
        <v>40.466064023414525</v>
      </c>
      <c r="F26" s="7">
        <f>10042930-G26</f>
        <v>10021123</v>
      </c>
      <c r="G26" s="9">
        <f>1731252-1665710-43735</f>
        <v>21807</v>
      </c>
    </row>
    <row r="27" spans="1:7" ht="25.5">
      <c r="A27" s="32" t="s">
        <v>8</v>
      </c>
      <c r="B27" s="28" t="s">
        <v>9</v>
      </c>
      <c r="C27" s="30"/>
      <c r="D27" s="20">
        <f>SUM(D28:D38)</f>
        <v>132243419</v>
      </c>
      <c r="E27" s="43"/>
      <c r="F27" s="20">
        <f>SUM(F28:F38)</f>
        <v>86417659</v>
      </c>
      <c r="G27" s="20">
        <f>SUM(G28:G38)</f>
        <v>4754379</v>
      </c>
    </row>
    <row r="28" spans="1:7" ht="25.5">
      <c r="A28" s="30">
        <v>150101</v>
      </c>
      <c r="B28" s="1" t="s">
        <v>2</v>
      </c>
      <c r="C28" s="1" t="s">
        <v>10</v>
      </c>
      <c r="D28" s="7">
        <v>33418000</v>
      </c>
      <c r="E28" s="11">
        <f t="shared" ref="E28:E38" si="4">100-(F28/D28)*100</f>
        <v>71.383832066550966</v>
      </c>
      <c r="F28" s="7">
        <f>12562951-G28</f>
        <v>9562951</v>
      </c>
      <c r="G28" s="12">
        <v>3000000</v>
      </c>
    </row>
    <row r="29" spans="1:7" ht="25.5">
      <c r="A29" s="30">
        <v>150101</v>
      </c>
      <c r="B29" s="1" t="s">
        <v>2</v>
      </c>
      <c r="C29" s="1" t="s">
        <v>77</v>
      </c>
      <c r="D29" s="7">
        <v>300000</v>
      </c>
      <c r="E29" s="11">
        <f>100-(F29/D29)*100</f>
        <v>9.3333333333333428</v>
      </c>
      <c r="F29" s="7">
        <f>D29-G29</f>
        <v>272000</v>
      </c>
      <c r="G29" s="12">
        <f>300000-272000</f>
        <v>28000</v>
      </c>
    </row>
    <row r="30" spans="1:7" ht="25.5">
      <c r="A30" s="30">
        <v>150101</v>
      </c>
      <c r="B30" s="1" t="s">
        <v>2</v>
      </c>
      <c r="C30" s="1" t="s">
        <v>11</v>
      </c>
      <c r="D30" s="7">
        <v>16581867</v>
      </c>
      <c r="E30" s="11">
        <f>100-(F30/D30)*100</f>
        <v>60.242064418922183</v>
      </c>
      <c r="F30" s="7">
        <f>7135230-G30</f>
        <v>6592608</v>
      </c>
      <c r="G30" s="12">
        <f>2000000-1468539+11161</f>
        <v>542622</v>
      </c>
    </row>
    <row r="31" spans="1:7" ht="25.5">
      <c r="A31" s="30">
        <v>150101</v>
      </c>
      <c r="B31" s="1" t="s">
        <v>2</v>
      </c>
      <c r="C31" s="1" t="s">
        <v>12</v>
      </c>
      <c r="D31" s="7">
        <v>9454427</v>
      </c>
      <c r="E31" s="11">
        <f>100-(F31/D31)*100</f>
        <v>67.68698938603049</v>
      </c>
      <c r="F31" s="7">
        <f>3117510-G31</f>
        <v>3055010</v>
      </c>
      <c r="G31" s="12">
        <f>1148000-1083000-2500</f>
        <v>62500</v>
      </c>
    </row>
    <row r="32" spans="1:7" ht="38.25">
      <c r="A32" s="30">
        <v>150101</v>
      </c>
      <c r="B32" s="1" t="s">
        <v>2</v>
      </c>
      <c r="C32" s="1" t="s">
        <v>13</v>
      </c>
      <c r="D32" s="7">
        <v>217775</v>
      </c>
      <c r="E32" s="11"/>
      <c r="F32" s="7"/>
      <c r="G32" s="12">
        <v>191071</v>
      </c>
    </row>
    <row r="33" spans="1:7">
      <c r="A33" s="30">
        <v>150101</v>
      </c>
      <c r="B33" s="1" t="s">
        <v>2</v>
      </c>
      <c r="C33" s="1" t="s">
        <v>50</v>
      </c>
      <c r="D33" s="7">
        <v>96935</v>
      </c>
      <c r="E33" s="11">
        <f>100-(F33/D33)*100</f>
        <v>73.281064630938261</v>
      </c>
      <c r="F33" s="7">
        <v>25900</v>
      </c>
      <c r="G33" s="12">
        <f>85684-25900</f>
        <v>59784</v>
      </c>
    </row>
    <row r="34" spans="1:7" ht="25.5">
      <c r="A34" s="30">
        <v>150101</v>
      </c>
      <c r="B34" s="1" t="s">
        <v>2</v>
      </c>
      <c r="C34" s="1" t="s">
        <v>14</v>
      </c>
      <c r="D34" s="7">
        <v>40664100</v>
      </c>
      <c r="E34" s="11">
        <f t="shared" si="4"/>
        <v>4.4203511205215307</v>
      </c>
      <c r="F34" s="7">
        <f>39166604-G34</f>
        <v>38866604</v>
      </c>
      <c r="G34" s="12">
        <v>300000</v>
      </c>
    </row>
    <row r="35" spans="1:7" ht="25.5">
      <c r="A35" s="30">
        <v>150101</v>
      </c>
      <c r="B35" s="1" t="s">
        <v>2</v>
      </c>
      <c r="C35" s="1" t="s">
        <v>15</v>
      </c>
      <c r="D35" s="7">
        <v>13492940</v>
      </c>
      <c r="E35" s="11">
        <f t="shared" si="4"/>
        <v>21.184071077170728</v>
      </c>
      <c r="F35" s="7">
        <f>10728258-G35</f>
        <v>10634586</v>
      </c>
      <c r="G35" s="12">
        <v>93672</v>
      </c>
    </row>
    <row r="36" spans="1:7" ht="38.25">
      <c r="A36" s="30">
        <v>150101</v>
      </c>
      <c r="B36" s="1" t="s">
        <v>2</v>
      </c>
      <c r="C36" s="1" t="s">
        <v>73</v>
      </c>
      <c r="D36" s="7">
        <v>17057375</v>
      </c>
      <c r="E36" s="11">
        <f t="shared" si="4"/>
        <v>0.88744604606512212</v>
      </c>
      <c r="F36" s="7">
        <f>17057375-132645-G36</f>
        <v>16906000</v>
      </c>
      <c r="G36" s="12">
        <f>1859636-1854017+13111</f>
        <v>18730</v>
      </c>
    </row>
    <row r="37" spans="1:7" ht="38.25">
      <c r="A37" s="30">
        <v>150101</v>
      </c>
      <c r="B37" s="1" t="s">
        <v>2</v>
      </c>
      <c r="C37" s="1" t="s">
        <v>74</v>
      </c>
      <c r="D37" s="7">
        <v>260000</v>
      </c>
      <c r="E37" s="11"/>
      <c r="F37" s="7"/>
      <c r="G37" s="12">
        <v>260000</v>
      </c>
    </row>
    <row r="38" spans="1:7" ht="38.25">
      <c r="A38" s="30">
        <v>150101</v>
      </c>
      <c r="B38" s="1" t="s">
        <v>2</v>
      </c>
      <c r="C38" s="1" t="s">
        <v>16</v>
      </c>
      <c r="D38" s="7">
        <v>700000</v>
      </c>
      <c r="E38" s="11">
        <f t="shared" si="4"/>
        <v>28.285714285714278</v>
      </c>
      <c r="F38" s="7">
        <f>D38-G38</f>
        <v>502000</v>
      </c>
      <c r="G38" s="12">
        <f>300000-102000</f>
        <v>198000</v>
      </c>
    </row>
    <row r="39" spans="1:7" ht="25.5">
      <c r="A39" s="32" t="s">
        <v>17</v>
      </c>
      <c r="B39" s="28" t="s">
        <v>18</v>
      </c>
      <c r="C39" s="27"/>
      <c r="D39" s="20">
        <f>SUM(D40:D47)</f>
        <v>11590203</v>
      </c>
      <c r="E39" s="44"/>
      <c r="F39" s="20">
        <f>SUM(F40:F47)</f>
        <v>5400387</v>
      </c>
      <c r="G39" s="20">
        <f>SUM(G40:G47)</f>
        <v>3731479</v>
      </c>
    </row>
    <row r="40" spans="1:7" ht="25.5">
      <c r="A40" s="30">
        <v>150101</v>
      </c>
      <c r="B40" s="1" t="s">
        <v>2</v>
      </c>
      <c r="C40" s="1" t="s">
        <v>19</v>
      </c>
      <c r="D40" s="7">
        <v>1305066</v>
      </c>
      <c r="E40" s="11"/>
      <c r="F40" s="9"/>
      <c r="G40" s="7">
        <v>608689</v>
      </c>
    </row>
    <row r="41" spans="1:7" ht="25.5">
      <c r="A41" s="30">
        <v>150101</v>
      </c>
      <c r="B41" s="1" t="s">
        <v>2</v>
      </c>
      <c r="C41" s="1" t="s">
        <v>20</v>
      </c>
      <c r="D41" s="7">
        <v>1043002</v>
      </c>
      <c r="E41" s="11">
        <f t="shared" ref="E41:E47" si="5">100-(F41/D41)*100</f>
        <v>27.804357038625056</v>
      </c>
      <c r="F41" s="9">
        <f>SUM(D41-G41)</f>
        <v>753002</v>
      </c>
      <c r="G41" s="7">
        <v>290000</v>
      </c>
    </row>
    <row r="42" spans="1:7">
      <c r="A42" s="30">
        <v>150101</v>
      </c>
      <c r="B42" s="1" t="s">
        <v>2</v>
      </c>
      <c r="C42" s="1" t="s">
        <v>21</v>
      </c>
      <c r="D42" s="7">
        <v>75000</v>
      </c>
      <c r="E42" s="11"/>
      <c r="F42" s="9"/>
      <c r="G42" s="7">
        <v>75000</v>
      </c>
    </row>
    <row r="43" spans="1:7">
      <c r="A43" s="30">
        <v>150101</v>
      </c>
      <c r="B43" s="1" t="s">
        <v>2</v>
      </c>
      <c r="C43" s="1" t="s">
        <v>22</v>
      </c>
      <c r="D43" s="7">
        <v>1181842</v>
      </c>
      <c r="E43" s="11">
        <f t="shared" si="5"/>
        <v>67.670974631126654</v>
      </c>
      <c r="F43" s="9">
        <f>900913-G43</f>
        <v>382078</v>
      </c>
      <c r="G43" s="7">
        <f>599071-80236</f>
        <v>518835</v>
      </c>
    </row>
    <row r="44" spans="1:7">
      <c r="A44" s="30">
        <v>150101</v>
      </c>
      <c r="B44" s="1" t="s">
        <v>2</v>
      </c>
      <c r="C44" s="1" t="s">
        <v>23</v>
      </c>
      <c r="D44" s="7">
        <v>750000</v>
      </c>
      <c r="E44" s="11">
        <f t="shared" si="5"/>
        <v>72</v>
      </c>
      <c r="F44" s="9">
        <f>530617-G44</f>
        <v>210000</v>
      </c>
      <c r="G44" s="7">
        <v>320617</v>
      </c>
    </row>
    <row r="45" spans="1:7" ht="25.5">
      <c r="A45" s="30">
        <v>150101</v>
      </c>
      <c r="B45" s="1" t="s">
        <v>2</v>
      </c>
      <c r="C45" s="1" t="s">
        <v>62</v>
      </c>
      <c r="D45" s="7">
        <v>2535280</v>
      </c>
      <c r="E45" s="11">
        <f t="shared" si="5"/>
        <v>20.34094853428418</v>
      </c>
      <c r="F45" s="9">
        <v>2019580</v>
      </c>
      <c r="G45" s="7">
        <v>138700</v>
      </c>
    </row>
    <row r="46" spans="1:7" ht="38.25">
      <c r="A46" s="30">
        <v>150101</v>
      </c>
      <c r="B46" s="1" t="s">
        <v>2</v>
      </c>
      <c r="C46" s="1" t="s">
        <v>63</v>
      </c>
      <c r="D46" s="7">
        <v>2664013</v>
      </c>
      <c r="E46" s="11">
        <f t="shared" si="5"/>
        <v>34.834139322893691</v>
      </c>
      <c r="F46" s="9">
        <v>1736027</v>
      </c>
      <c r="G46" s="7">
        <v>550000</v>
      </c>
    </row>
    <row r="47" spans="1:7" ht="25.5">
      <c r="A47" s="30">
        <v>150101</v>
      </c>
      <c r="B47" s="1" t="s">
        <v>2</v>
      </c>
      <c r="C47" s="1" t="s">
        <v>55</v>
      </c>
      <c r="D47" s="7">
        <v>2036000</v>
      </c>
      <c r="E47" s="11">
        <f t="shared" si="5"/>
        <v>85.279960707269154</v>
      </c>
      <c r="F47" s="9">
        <f>1529338-G47</f>
        <v>299700</v>
      </c>
      <c r="G47" s="7">
        <v>1229638</v>
      </c>
    </row>
    <row r="48" spans="1:7" s="21" customFormat="1">
      <c r="A48" s="5" t="s">
        <v>60</v>
      </c>
      <c r="B48" s="3" t="s">
        <v>61</v>
      </c>
      <c r="C48" s="17"/>
      <c r="D48" s="18">
        <f>SUM(D49)</f>
        <v>750400</v>
      </c>
      <c r="E48" s="19"/>
      <c r="F48" s="20">
        <f>SUM(F49)</f>
        <v>0</v>
      </c>
      <c r="G48" s="20">
        <f>SUM(G49)</f>
        <v>750400</v>
      </c>
    </row>
    <row r="49" spans="1:7" s="4" customFormat="1" ht="25.5">
      <c r="A49" s="52">
        <v>150101</v>
      </c>
      <c r="B49" s="2" t="s">
        <v>2</v>
      </c>
      <c r="C49" s="15" t="s">
        <v>82</v>
      </c>
      <c r="D49" s="9">
        <v>750400</v>
      </c>
      <c r="E49" s="11"/>
      <c r="F49" s="7"/>
      <c r="G49" s="12">
        <v>750400</v>
      </c>
    </row>
    <row r="50" spans="1:7" ht="25.5">
      <c r="A50" s="32" t="s">
        <v>24</v>
      </c>
      <c r="B50" s="28" t="s">
        <v>25</v>
      </c>
      <c r="C50" s="27"/>
      <c r="D50" s="20">
        <f>SUM(D51:D58)</f>
        <v>24675817</v>
      </c>
      <c r="E50" s="45"/>
      <c r="F50" s="20">
        <f t="shared" ref="F50:G50" si="6">SUM(F51:F58)</f>
        <v>17301780</v>
      </c>
      <c r="G50" s="20">
        <f t="shared" si="6"/>
        <v>1867958</v>
      </c>
    </row>
    <row r="51" spans="1:7" ht="38.25">
      <c r="A51" s="30">
        <v>150101</v>
      </c>
      <c r="B51" s="1" t="s">
        <v>2</v>
      </c>
      <c r="C51" s="1" t="s">
        <v>56</v>
      </c>
      <c r="D51" s="7">
        <v>222377</v>
      </c>
      <c r="E51" s="11"/>
      <c r="F51" s="7"/>
      <c r="G51" s="12">
        <v>7377</v>
      </c>
    </row>
    <row r="52" spans="1:7" ht="25.5">
      <c r="A52" s="30">
        <v>150101</v>
      </c>
      <c r="B52" s="1" t="s">
        <v>2</v>
      </c>
      <c r="C52" s="1" t="s">
        <v>57</v>
      </c>
      <c r="D52" s="7">
        <v>9459239</v>
      </c>
      <c r="E52" s="11">
        <f>100-(F52/D52)*100</f>
        <v>10.663204513597762</v>
      </c>
      <c r="F52" s="7">
        <f>D52-796858-70000-G52</f>
        <v>8450581</v>
      </c>
      <c r="G52" s="12">
        <f>74600+67200</f>
        <v>141800</v>
      </c>
    </row>
    <row r="53" spans="1:7" ht="38.25">
      <c r="A53" s="30">
        <v>150101</v>
      </c>
      <c r="B53" s="1" t="s">
        <v>2</v>
      </c>
      <c r="C53" s="13" t="s">
        <v>58</v>
      </c>
      <c r="D53" s="7">
        <v>2200000</v>
      </c>
      <c r="E53" s="11">
        <f>100-(F53/D53)*100</f>
        <v>14.090909090909093</v>
      </c>
      <c r="F53" s="7">
        <v>1890000</v>
      </c>
      <c r="G53" s="12">
        <f>2200000-1890000</f>
        <v>310000</v>
      </c>
    </row>
    <row r="54" spans="1:7" ht="51">
      <c r="A54" s="53">
        <v>150101</v>
      </c>
      <c r="B54" s="13" t="s">
        <v>2</v>
      </c>
      <c r="C54" s="1" t="s">
        <v>59</v>
      </c>
      <c r="D54" s="7">
        <v>348700</v>
      </c>
      <c r="E54" s="11">
        <f>100-(F54/D54)*100</f>
        <v>11.471178663607688</v>
      </c>
      <c r="F54" s="7">
        <v>308700</v>
      </c>
      <c r="G54" s="12">
        <f>348700-308700</f>
        <v>40000</v>
      </c>
    </row>
    <row r="55" spans="1:7" ht="38.25">
      <c r="A55" s="53">
        <v>150101</v>
      </c>
      <c r="B55" s="13" t="s">
        <v>2</v>
      </c>
      <c r="C55" s="1" t="s">
        <v>26</v>
      </c>
      <c r="D55" s="7">
        <v>3519492</v>
      </c>
      <c r="E55" s="11">
        <f t="shared" ref="E55:E56" si="7">100-(F55/D55)*100</f>
        <v>47.954136562890326</v>
      </c>
      <c r="F55" s="7">
        <f>2670711-G55</f>
        <v>1831750</v>
      </c>
      <c r="G55" s="12">
        <v>838961</v>
      </c>
    </row>
    <row r="56" spans="1:7" ht="38.25">
      <c r="A56" s="53">
        <v>150101</v>
      </c>
      <c r="B56" s="13" t="s">
        <v>2</v>
      </c>
      <c r="C56" s="1" t="s">
        <v>27</v>
      </c>
      <c r="D56" s="7">
        <v>2335982</v>
      </c>
      <c r="E56" s="11">
        <f t="shared" si="7"/>
        <v>79.196200998124127</v>
      </c>
      <c r="F56" s="7">
        <f>791893-G56</f>
        <v>485973</v>
      </c>
      <c r="G56" s="12">
        <v>305920</v>
      </c>
    </row>
    <row r="57" spans="1:7" ht="25.5">
      <c r="A57" s="53">
        <v>150101</v>
      </c>
      <c r="B57" s="13" t="s">
        <v>2</v>
      </c>
      <c r="C57" s="1" t="s">
        <v>28</v>
      </c>
      <c r="D57" s="7">
        <v>6379139</v>
      </c>
      <c r="E57" s="11">
        <f>100-(F57/D57)*100</f>
        <v>32.047632133427413</v>
      </c>
      <c r="F57" s="7">
        <f>4347788-G57</f>
        <v>4334776</v>
      </c>
      <c r="G57" s="12">
        <f>1000000-986988</f>
        <v>13012</v>
      </c>
    </row>
    <row r="58" spans="1:7" ht="38.25">
      <c r="A58" s="53">
        <v>150101</v>
      </c>
      <c r="B58" s="13" t="s">
        <v>2</v>
      </c>
      <c r="C58" s="1" t="s">
        <v>81</v>
      </c>
      <c r="D58" s="7">
        <v>210888</v>
      </c>
      <c r="E58" s="11"/>
      <c r="F58" s="7"/>
      <c r="G58" s="12">
        <v>210888</v>
      </c>
    </row>
    <row r="59" spans="1:7" ht="25.5">
      <c r="A59" s="32" t="s">
        <v>29</v>
      </c>
      <c r="B59" s="28" t="s">
        <v>30</v>
      </c>
      <c r="C59" s="30"/>
      <c r="D59" s="20">
        <f>SUM(D60:D67)</f>
        <v>32828060</v>
      </c>
      <c r="E59" s="45"/>
      <c r="F59" s="20">
        <f>SUM(F60:F67)</f>
        <v>16816081</v>
      </c>
      <c r="G59" s="20">
        <f>SUM(G60:G67)</f>
        <v>3496744</v>
      </c>
    </row>
    <row r="60" spans="1:7" ht="51">
      <c r="A60" s="30">
        <v>150101</v>
      </c>
      <c r="B60" s="1" t="s">
        <v>2</v>
      </c>
      <c r="C60" s="14" t="s">
        <v>31</v>
      </c>
      <c r="D60" s="7">
        <v>6853711</v>
      </c>
      <c r="E60" s="11">
        <f t="shared" ref="E60:E67" si="8">100-(F60/D60)*100</f>
        <v>16.888806662551133</v>
      </c>
      <c r="F60" s="7">
        <f>5722701-G60</f>
        <v>5696201</v>
      </c>
      <c r="G60" s="12">
        <f>1300000-1280000+220099+10000-223599</f>
        <v>26500</v>
      </c>
    </row>
    <row r="61" spans="1:7" ht="51">
      <c r="A61" s="30">
        <v>150101</v>
      </c>
      <c r="B61" s="1" t="s">
        <v>2</v>
      </c>
      <c r="C61" s="13" t="s">
        <v>75</v>
      </c>
      <c r="D61" s="7">
        <v>200000</v>
      </c>
      <c r="E61" s="11">
        <f t="shared" si="8"/>
        <v>55</v>
      </c>
      <c r="F61" s="7">
        <v>90000</v>
      </c>
      <c r="G61" s="12">
        <f>200000-90000</f>
        <v>110000</v>
      </c>
    </row>
    <row r="62" spans="1:7" ht="38.25">
      <c r="A62" s="30">
        <v>150101</v>
      </c>
      <c r="B62" s="1" t="s">
        <v>2</v>
      </c>
      <c r="C62" s="14" t="s">
        <v>32</v>
      </c>
      <c r="D62" s="7">
        <v>4750000</v>
      </c>
      <c r="E62" s="11"/>
      <c r="F62" s="7"/>
      <c r="G62" s="12">
        <v>1102595</v>
      </c>
    </row>
    <row r="63" spans="1:7" ht="25.5">
      <c r="A63" s="53">
        <v>150101</v>
      </c>
      <c r="B63" s="13" t="s">
        <v>2</v>
      </c>
      <c r="C63" s="14" t="s">
        <v>33</v>
      </c>
      <c r="D63" s="7">
        <v>6405982</v>
      </c>
      <c r="E63" s="11">
        <f t="shared" si="8"/>
        <v>86.042545857918427</v>
      </c>
      <c r="F63" s="7">
        <f>1000000-105888</f>
        <v>894112</v>
      </c>
      <c r="G63" s="12">
        <f>1961161-1000000+105888</f>
        <v>1067049</v>
      </c>
    </row>
    <row r="64" spans="1:7" ht="38.25">
      <c r="A64" s="53">
        <v>150101</v>
      </c>
      <c r="B64" s="13" t="s">
        <v>2</v>
      </c>
      <c r="C64" s="14" t="s">
        <v>34</v>
      </c>
      <c r="D64" s="9">
        <v>6306764</v>
      </c>
      <c r="E64" s="16">
        <f t="shared" si="8"/>
        <v>5.6831681033252579</v>
      </c>
      <c r="F64" s="9">
        <f>5953940- G64</f>
        <v>5948340</v>
      </c>
      <c r="G64" s="12">
        <f>281070-275470</f>
        <v>5600</v>
      </c>
    </row>
    <row r="65" spans="1:7" ht="38.25">
      <c r="A65" s="53">
        <v>150101</v>
      </c>
      <c r="B65" s="13" t="s">
        <v>2</v>
      </c>
      <c r="C65" s="13" t="s">
        <v>35</v>
      </c>
      <c r="D65" s="12">
        <v>502214</v>
      </c>
      <c r="E65" s="16">
        <f t="shared" si="8"/>
        <v>9.9559152074613593</v>
      </c>
      <c r="F65" s="9">
        <v>452214</v>
      </c>
      <c r="G65" s="12">
        <f>502214-452214</f>
        <v>50000</v>
      </c>
    </row>
    <row r="66" spans="1:7" ht="25.5">
      <c r="A66" s="53">
        <v>150101</v>
      </c>
      <c r="B66" s="13" t="s">
        <v>2</v>
      </c>
      <c r="C66" s="15" t="s">
        <v>36</v>
      </c>
      <c r="D66" s="9">
        <v>1537249</v>
      </c>
      <c r="E66" s="16">
        <f t="shared" si="8"/>
        <v>54.35001096113902</v>
      </c>
      <c r="F66" s="9">
        <f>691754+10000</f>
        <v>701754</v>
      </c>
      <c r="G66" s="12">
        <f>1236754-691754-10000</f>
        <v>535000</v>
      </c>
    </row>
    <row r="67" spans="1:7" ht="38.25">
      <c r="A67" s="53">
        <v>150101</v>
      </c>
      <c r="B67" s="13" t="s">
        <v>2</v>
      </c>
      <c r="C67" s="15" t="s">
        <v>37</v>
      </c>
      <c r="D67" s="9">
        <v>6272140</v>
      </c>
      <c r="E67" s="11">
        <f t="shared" si="8"/>
        <v>51.635964758439698</v>
      </c>
      <c r="F67" s="7">
        <f>3633460-G67</f>
        <v>3033460</v>
      </c>
      <c r="G67" s="12">
        <f>908550-308550</f>
        <v>600000</v>
      </c>
    </row>
    <row r="68" spans="1:7" ht="34.5" customHeight="1">
      <c r="A68" s="33" t="s">
        <v>38</v>
      </c>
      <c r="B68" s="34" t="s">
        <v>39</v>
      </c>
      <c r="C68" s="34"/>
      <c r="D68" s="18">
        <f>SUM(D69+D70)</f>
        <v>4460035</v>
      </c>
      <c r="E68" s="38"/>
      <c r="F68" s="18">
        <f>SUM(F69+F70)</f>
        <v>3531294</v>
      </c>
      <c r="G68" s="18">
        <f>SUM(G69+G70)</f>
        <v>300528</v>
      </c>
    </row>
    <row r="69" spans="1:7" ht="25.5">
      <c r="A69" s="53">
        <v>150101</v>
      </c>
      <c r="B69" s="13" t="s">
        <v>2</v>
      </c>
      <c r="C69" s="13" t="s">
        <v>40</v>
      </c>
      <c r="D69" s="9">
        <v>3092609</v>
      </c>
      <c r="E69" s="16">
        <f>100-(F69/D69)*100</f>
        <v>28.417462407953934</v>
      </c>
      <c r="F69" s="9">
        <f>2464396-G69</f>
        <v>2213768</v>
      </c>
      <c r="G69" s="9">
        <f>1200000-949372</f>
        <v>250628</v>
      </c>
    </row>
    <row r="70" spans="1:7" ht="51">
      <c r="A70" s="53">
        <v>150101</v>
      </c>
      <c r="B70" s="13" t="s">
        <v>2</v>
      </c>
      <c r="C70" s="13" t="s">
        <v>76</v>
      </c>
      <c r="D70" s="9">
        <v>1367426</v>
      </c>
      <c r="E70" s="16">
        <f>100-(F70/D70)*100</f>
        <v>3.6491919855260875</v>
      </c>
      <c r="F70" s="9">
        <f>D70-G70</f>
        <v>1317526</v>
      </c>
      <c r="G70" s="9">
        <f>401983-352083</f>
        <v>49900</v>
      </c>
    </row>
    <row r="71" spans="1:7">
      <c r="A71" s="35"/>
      <c r="B71" s="36"/>
      <c r="C71" s="28" t="s">
        <v>41</v>
      </c>
      <c r="D71" s="20">
        <f>D11+D27+D39+D50+D59+D68+D48</f>
        <v>5671706951</v>
      </c>
      <c r="E71" s="20"/>
      <c r="F71" s="20">
        <f>F11+F27+F39+F50+F59+F68+F48</f>
        <v>4164251080.0499997</v>
      </c>
      <c r="G71" s="20">
        <f>G11+G27+G39+G50+G59+G68+G48</f>
        <v>299878715</v>
      </c>
    </row>
    <row r="72" spans="1:7" ht="17.25" customHeight="1">
      <c r="A72" s="55"/>
      <c r="B72" s="55"/>
      <c r="C72" s="46"/>
      <c r="D72" s="47"/>
      <c r="E72" s="56"/>
      <c r="F72" s="57"/>
      <c r="G72" s="48"/>
    </row>
    <row r="73" spans="1:7" ht="20.25" customHeight="1">
      <c r="A73" s="59" t="s">
        <v>83</v>
      </c>
      <c r="B73" s="59"/>
      <c r="C73" s="50"/>
      <c r="D73" s="49"/>
      <c r="E73" s="58"/>
      <c r="F73" s="58"/>
      <c r="G73" s="50"/>
    </row>
    <row r="74" spans="1:7" s="51" customFormat="1" ht="20.25">
      <c r="A74" s="60" t="s">
        <v>85</v>
      </c>
      <c r="B74" s="60"/>
      <c r="F74" s="60" t="s">
        <v>84</v>
      </c>
      <c r="G74" s="60"/>
    </row>
  </sheetData>
  <mergeCells count="15">
    <mergeCell ref="E1:G1"/>
    <mergeCell ref="E2:G2"/>
    <mergeCell ref="E3:G3"/>
    <mergeCell ref="A5:G5"/>
    <mergeCell ref="C8:C9"/>
    <mergeCell ref="D8:D9"/>
    <mergeCell ref="E8:E9"/>
    <mergeCell ref="F8:F9"/>
    <mergeCell ref="G8:G9"/>
    <mergeCell ref="F74:G74"/>
    <mergeCell ref="A72:B72"/>
    <mergeCell ref="E72:F72"/>
    <mergeCell ref="A73:B73"/>
    <mergeCell ref="E73:F73"/>
    <mergeCell ref="A74:B74"/>
  </mergeCells>
  <pageMargins left="0.70866141732283472" right="0.51181102362204722" top="1.1811023622047245" bottom="0.78740157480314965" header="0.31496062992125984" footer="0.31496062992125984"/>
  <pageSetup paperSize="9" scale="7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від 08.11.2010 №5</vt:lpstr>
      <vt:lpstr>'від 08.11.2010 №5'!Заголовки_для_печати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2010-11-09T12:53:11Z</dcterms:modified>
</cp:coreProperties>
</file>