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БР+кап" sheetId="5" r:id="rId1"/>
  </sheets>
  <definedNames>
    <definedName name="_xlnm.Print_Titles" localSheetId="0">'БР+кап'!$9:$11</definedName>
    <definedName name="_xlnm.Print_Area" localSheetId="0">'БР+кап'!$A$1:$G$107</definedName>
  </definedNames>
  <calcPr calcId="124519"/>
</workbook>
</file>

<file path=xl/calcChain.xml><?xml version="1.0" encoding="utf-8"?>
<calcChain xmlns="http://schemas.openxmlformats.org/spreadsheetml/2006/main">
  <c r="F103" i="5"/>
  <c r="G12" l="1"/>
  <c r="D12"/>
  <c r="G66"/>
  <c r="F66"/>
  <c r="D66"/>
  <c r="G24"/>
  <c r="D24"/>
  <c r="G15"/>
  <c r="D15"/>
  <c r="G98"/>
  <c r="G70" l="1"/>
  <c r="F70" s="1"/>
  <c r="G72"/>
  <c r="G71"/>
  <c r="F89"/>
  <c r="D45" l="1"/>
  <c r="E89"/>
  <c r="F76"/>
  <c r="E76"/>
  <c r="F74"/>
  <c r="F31"/>
  <c r="G38" l="1"/>
  <c r="D38"/>
  <c r="D84"/>
  <c r="F44"/>
  <c r="F42"/>
  <c r="F38" s="1"/>
  <c r="E44"/>
  <c r="E42"/>
  <c r="F34"/>
  <c r="E34"/>
  <c r="F36"/>
  <c r="E36" s="1"/>
  <c r="F30"/>
  <c r="F21"/>
  <c r="F18"/>
  <c r="F60" l="1"/>
  <c r="E60" s="1"/>
  <c r="F59"/>
  <c r="E59"/>
  <c r="F58"/>
  <c r="E58"/>
  <c r="F57"/>
  <c r="E57" s="1"/>
  <c r="F55"/>
  <c r="E55"/>
  <c r="F54"/>
  <c r="E54" s="1"/>
  <c r="G53"/>
  <c r="F52"/>
  <c r="E52"/>
  <c r="F50"/>
  <c r="E50" s="1"/>
  <c r="F48"/>
  <c r="E48"/>
  <c r="F47"/>
  <c r="F45" s="1"/>
  <c r="E47"/>
  <c r="G45" l="1"/>
  <c r="F81"/>
  <c r="E81"/>
  <c r="F80"/>
  <c r="E80"/>
  <c r="F75"/>
  <c r="E75"/>
  <c r="E74"/>
  <c r="F73"/>
  <c r="E70" l="1"/>
  <c r="F69"/>
  <c r="F101"/>
  <c r="E101"/>
  <c r="F99"/>
  <c r="F98"/>
  <c r="F96"/>
  <c r="E96"/>
  <c r="F95"/>
  <c r="F91"/>
  <c r="E91"/>
  <c r="F90"/>
  <c r="F37" l="1"/>
  <c r="F24" s="1"/>
  <c r="E30"/>
  <c r="E31"/>
  <c r="E21"/>
  <c r="E18"/>
  <c r="F23"/>
  <c r="F15" s="1"/>
  <c r="E23"/>
  <c r="E73"/>
  <c r="F94"/>
  <c r="E94"/>
  <c r="E95"/>
  <c r="F100"/>
  <c r="E100"/>
  <c r="G85"/>
  <c r="E98"/>
  <c r="E37" l="1"/>
  <c r="F85"/>
  <c r="G84"/>
  <c r="D102"/>
  <c r="D104" s="1"/>
  <c r="G102"/>
  <c r="E69"/>
  <c r="F97"/>
  <c r="E97"/>
  <c r="E99"/>
  <c r="G104" l="1"/>
  <c r="F84"/>
  <c r="F102"/>
  <c r="E103"/>
  <c r="E85"/>
  <c r="F104" l="1"/>
</calcChain>
</file>

<file path=xl/sharedStrings.xml><?xml version="1.0" encoding="utf-8"?>
<sst xmlns="http://schemas.openxmlformats.org/spreadsheetml/2006/main" count="203" uniqueCount="122">
  <si>
    <t>Назва об'єктів відповідно до проектно-кошторисної документації, тощо</t>
  </si>
  <si>
    <t>Головне економічне управління міської ради</t>
  </si>
  <si>
    <t>Капітальні вкладення</t>
  </si>
  <si>
    <t>Будівництво автотранспортної магістралі через р. Дніпро у м. Запоріжжі</t>
  </si>
  <si>
    <t>Реконструкція хлораторної  ДВС-2, м.Запоріжжя (проектні та будівельні роботи)</t>
  </si>
  <si>
    <t>Системи теплопостачання Орджонікідзевського, Жовтневого районів м.Запоріжжя - реконструкція теплових мереж по вул. Гагаріна, Яценка, Героїв Сталінграду (другий пусковий комплекс)</t>
  </si>
  <si>
    <t>083</t>
  </si>
  <si>
    <t>Управління комунального господарства міської ради</t>
  </si>
  <si>
    <t>Ліквідація аварійного стану автодороги, зливової та побутової каналізації по вул. М.Судця, м. Запоріжжя (проектні та будівельні роботи)</t>
  </si>
  <si>
    <t>080</t>
  </si>
  <si>
    <t>Управління житлового господарства міської ради</t>
  </si>
  <si>
    <t>Гуртожиток по вул. Жуковського, 68 - реконструкція</t>
  </si>
  <si>
    <t>Гуртожиток по вул. Шаумяна, 3 - реконструкція</t>
  </si>
  <si>
    <t>020</t>
  </si>
  <si>
    <t>Управління освіти і науки міської ради</t>
  </si>
  <si>
    <t>Ліквідація аварійного стану будівлі навчально-виховного комплексу № 19 по вул. Військбуд, 13 Шевченківського району (проектні та будівельні роботи)</t>
  </si>
  <si>
    <t>Реконструкція приміщень загальноосвітньої школи І-ІІІ ступенів  № 109  по вул. Дніпровські пороги, 29 Ленінського району під дошкільний навчальний заклад</t>
  </si>
  <si>
    <t>Будівля навчального комплексу "Запорізька Січ" о.Хортиця, м.Запоріжжя - реконструкція</t>
  </si>
  <si>
    <t>030</t>
  </si>
  <si>
    <t>Управління охорони здоров"я міської ради</t>
  </si>
  <si>
    <t>Комунальна установа «Міська клінічна лікарня екстреної та швидкої медичної допомоги м. Запоріжжя" - реконструкція травматологічного відділення  (проектні та будівельні роботи)</t>
  </si>
  <si>
    <t>Комунальна установа «Міська клінічна лікарня екстреної та швидкої медичної допомоги м. Запоріжжя" - реконструкція Лівобережної підстанції швидкої медичної допомоги</t>
  </si>
  <si>
    <t xml:space="preserve">Комунальна установа «Запорізька міська багатопрофільна дитяча лікарня №5» - реконструкція </t>
  </si>
  <si>
    <t xml:space="preserve">Комунальна установа "Пологовий будинок №4" по вул. Дудикіна, м. Запоріжжя - реконструкція електрозабезпечення (проектні та будівельні роботи) </t>
  </si>
  <si>
    <t>Реконструкція відділення мікрохірургії ока комунального закладу "Міська клінічна лікарня № 3", м.Запоріжжя</t>
  </si>
  <si>
    <t>Будівля поліклініки комунальної установи «Запорізька міська багатопрофільна клінічна лікарня №9», м.Запоріжжя - реконструкція</t>
  </si>
  <si>
    <t>110</t>
  </si>
  <si>
    <t xml:space="preserve">Управління культури міської ради </t>
  </si>
  <si>
    <t>Реконструкція будівлі комунального підприємства Палац культури "Орбіта"</t>
  </si>
  <si>
    <t>Всього</t>
  </si>
  <si>
    <t>до рішення міської ради</t>
  </si>
  <si>
    <t>(грн.)</t>
  </si>
  <si>
    <t>Загальний обсяг фінансування будівництва</t>
  </si>
  <si>
    <t>Відсоток завершеності будівництва на майбутні роки</t>
  </si>
  <si>
    <t>Всього видатків на завершення будівництва об'єктів на майбутні роки</t>
  </si>
  <si>
    <t>Разом видатків на поточний рік</t>
  </si>
  <si>
    <t>Газифікація сел. Чапаєвка (проектні та будівельні роботи)</t>
  </si>
  <si>
    <t>Реконструкція стадіону по вул. Валерія Лобановського</t>
  </si>
  <si>
    <t>Магістральна теплова мережа по вул. Артема, м.Запоріжжя - реконструкція</t>
  </si>
  <si>
    <t>Котельня по вул. Хакаська, 4, м. Запоріжжя - реконструкція вузла гарячого водопостачання із заміною баків-акумуляторів</t>
  </si>
  <si>
    <t xml:space="preserve">Ліквідація аварійного стану житлового будинку по вул.Гудименка,3  блок 1, 2 в м.Запоріжжі </t>
  </si>
  <si>
    <t>Реконструкція будівлі дошкільного навчального закладу № 144 Комунарського району (проектні та будівельні роботи)</t>
  </si>
  <si>
    <t>Реконструкція будівлі дошкільного навчального закладу № 285 по пр. 40-річчя Перемоги,15а,  Комунарського району (проектні та будівельні роботи)</t>
  </si>
  <si>
    <t>Реконструкція приміщень навчально-виховного оздоровчого комплексу № 110 по вул. В. Стешенка, 19,  Комунарського району під позашкільний підрозділ (проектні та будівельні роботи)</t>
  </si>
  <si>
    <t>006</t>
  </si>
  <si>
    <t>Код типової відомчої класифікації видатків місцевих бюджетів</t>
  </si>
  <si>
    <t>Назва головного розпорядника коштів</t>
  </si>
  <si>
    <t>В.Ф.Кальцев</t>
  </si>
  <si>
    <t>Додаток №7</t>
  </si>
  <si>
    <t>Перелік об'єктів, видатки на які у 2011 році будуть проводитися за рахунок коштів бюджету розвитку</t>
  </si>
  <si>
    <t>Код тимчасової класифікації та кредитування місцевих бюджетів</t>
  </si>
  <si>
    <t>Найменування коду тимчасової класифікації видатків та кредитування місцевих бюджетва</t>
  </si>
  <si>
    <t>Виконавчий комітет міської ради</t>
  </si>
  <si>
    <t>010116</t>
  </si>
  <si>
    <t>Органи місцевого самоврядування</t>
  </si>
  <si>
    <t>Капітальні видатки</t>
  </si>
  <si>
    <t>Інші видатки</t>
  </si>
  <si>
    <t>070201</t>
  </si>
  <si>
    <t>в тому числі за рахунок</t>
  </si>
  <si>
    <t>субвенції з державного бюджету</t>
  </si>
  <si>
    <t>коштів бюджету міста</t>
  </si>
  <si>
    <t>Будівництво житлового будинку №25 в кварталі по вул. Алмазній у сел. Павло-Кічкас м.Запоріжжя (проектні та будівельні роботи, компенсація за знесення будівель та зелених насаджень)</t>
  </si>
  <si>
    <t>Програма "Світло 2011-2013" реконструкція мереж зовнішнього освітлення</t>
  </si>
  <si>
    <t>Реконструкція вул. Рекордної в районі житлового будинку №39а, м.Запоріжжя (проектні та будівельні роботи)</t>
  </si>
  <si>
    <t xml:space="preserve">Реконструкція, переобладнання та перепланування гуртожитку по вул. Північнокільцевій, 22а під житловий будинок </t>
  </si>
  <si>
    <t>Реконструкція комунального закладу "Амбулаторія сімейного лікаря з вбудованою двохкімнотною квартирою у селищі Тепличне в Шевчеківському районі м. Запоріжжя" (проектні роботи)</t>
  </si>
  <si>
    <t>050</t>
  </si>
  <si>
    <t>Управління праці та соціального захисту населення міської ради</t>
  </si>
  <si>
    <t>Реконструкція будівлі міського геріатричного стаціонару по вул. Кузнєцова, 28а (проектні та будівельні роботи)</t>
  </si>
  <si>
    <t>Розширення і реконструкція центральних каналізаційних очисних споруд Лівого берега (ЦОС-1). Технологічні трубопроводи. (Колектор К-28)</t>
  </si>
  <si>
    <t>Водогін Д=1200 мм від вул. Братської до пров. Арбатський, м.Запоріжжя - реконструкція</t>
  </si>
  <si>
    <t xml:space="preserve">Водогін Д=800 мм в балці "Панська" у районі кладовища "Бугайова", м. Запоріжжя - реконструкція </t>
  </si>
  <si>
    <t>Магістральна теплова мережа по вул. Героїв Сталінграду, м.Запоріжжя - реконструкція</t>
  </si>
  <si>
    <t xml:space="preserve">Будівництво житлового будинку № 10 в мікрорайоні 5 житлового масиву "Південний", м. Запоріжжя (пілотний проект) </t>
  </si>
  <si>
    <t xml:space="preserve">Будівництво І і ІІ черги та введення в експлуатацію Кушугумського кладовища </t>
  </si>
  <si>
    <t>Реконструкція шляхопроводу через р.Мокра Московка на автошляху Харків-Сімферополь (проектні роботи)</t>
  </si>
  <si>
    <t>Реконструкція вул. Рекордної від вул. Портова до вул. Алюмінева (проектні та будівельні роботи)</t>
  </si>
  <si>
    <t>Реконструкція вул. Рекордної від вул. Алюмінєвої до вул. Заводської  (проектні роботи, будівництво)</t>
  </si>
  <si>
    <t>Реконструкція автошляхопроводу по вул. Карпенка-Карого (проектні роботи, експертиза)</t>
  </si>
  <si>
    <t>Ліквідація аварійного стану на ділянці дороги загального користування М-18 траса Харків-Сімферополь-Алушта-Ялта (в районі "М"ясокомбінату") (проектні роботи, будівництво)</t>
  </si>
  <si>
    <t>Ліквідація аварійного стану на дорожній насипі проїзної частини дороги по вул. Перемоги (в р-ні міської лікарні №6) (проектні роботи, будівництво)</t>
  </si>
  <si>
    <t>Ліквідація аварійного стану на в"їзді до 1-го мосту ім.  Преображенського (вул. Тюленіна)</t>
  </si>
  <si>
    <t>Реконструкція вул.Калнишевського, Рубана, Дорошенко та вуличного освітлення</t>
  </si>
  <si>
    <t>Реконструкція парку "Перемоги" (проектні та будівельні роботи)</t>
  </si>
  <si>
    <t>Будівництво світлофорного об"єкту вул. Хортицьке шосе - Нікопольський поворот (проектні та будівельні роботи)</t>
  </si>
  <si>
    <t>Житловий будинок № 2 по вул. Сєдова - реконструкція</t>
  </si>
  <si>
    <t>Житловий будинок по пр. Леніна, 133 м.Запоріжжя - ліквідація аварійного стану надбудови над аркою</t>
  </si>
  <si>
    <t>Житловий будинок по вул. Ракетній, 38а (проектні та будівельні роботи)</t>
  </si>
  <si>
    <t>Житловий будинок по вул. Радгоспній, 59-б, м. Запоріжжя - реконструкція (проектні та будівельні роботи)</t>
  </si>
  <si>
    <t>Реконструкція системи водовідведення від житлових будинків по вул. Зестафонівській,4, Узбекистанській,1</t>
  </si>
  <si>
    <t>Житловий будинок №149 по вул. Гоголя  ІІ корпус - реконструкція  нежитлового приміщення в житлове  (проектні роботи)</t>
  </si>
  <si>
    <t>Житловий будинок  № 4 на майдані Профспілок  -реконструкція</t>
  </si>
  <si>
    <t>Внески органів місцевого самоврядування у статутні фонди суб'єктів підприємницької діяльності</t>
  </si>
  <si>
    <t>Внески у статутні фонди комунальних підприємств міста (придбання спеціальної техніки)</t>
  </si>
  <si>
    <t>Комунальна установа «Запорізька міська багатопрофільна дитяча лікарня №5» діагностичне інфекційно-боксоване відділення - реконструкція (проектні та будівельні роботи)</t>
  </si>
  <si>
    <t>Реконструкція приміщень управління праці та соціального захисту населення Хортицької районної адміністрації міської ради за адресою: вул. Лахтинська, 4-Б (проектні та будівельні роботи)</t>
  </si>
  <si>
    <t>080101</t>
  </si>
  <si>
    <t>Лікарні</t>
  </si>
  <si>
    <t>090203</t>
  </si>
  <si>
    <t>Інші 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t>
  </si>
  <si>
    <t>в тому числі за рахунок цільових субвенцій з державного бюджету</t>
  </si>
  <si>
    <t>100102</t>
  </si>
  <si>
    <t>Капітальний ремонт житлового фонду</t>
  </si>
  <si>
    <t>Благоустрій міста</t>
  </si>
  <si>
    <t>Реконструкція будівлі управління праці та соціального захисту населення  Жовтневої районної адміністрації Запорізької міської ради, по вул. Артема, 63 м.Запоріжжя (технічне обстеження, проектні  та будівельні роботи)</t>
  </si>
  <si>
    <t>Житлові будинки по вул. Нижньодніпровській, 14, 16, 18, по бул. Гвардійському, 145а, 147а, 151, 153 - реконструкція системи холодного водопостачання</t>
  </si>
  <si>
    <t xml:space="preserve">Житловий будинок по вул.Євпаторійській,1 - реконструкція  </t>
  </si>
  <si>
    <t xml:space="preserve">Житловий будинок по вул.Республіканській,88 - реконструкція  </t>
  </si>
  <si>
    <t xml:space="preserve">Житловий будинок по бул. Будівельників, 19 - реконструкція  </t>
  </si>
  <si>
    <t xml:space="preserve">Житловий будинок по бул. Вінтера,50 -реконструкція  </t>
  </si>
  <si>
    <t xml:space="preserve">Житловий будинок по вул.Аваліані,1а -реконструкція  </t>
  </si>
  <si>
    <t xml:space="preserve">Житловий будинок по вул.Нагнибіди,15 – реконструкція системи тепло-. водопостачання </t>
  </si>
  <si>
    <t>Системи теплопостачання житлових будинків по вул. Виборзька, Гостинна, Єнісейська в м.Запоріжжя - реконструкція (проектні роботи)</t>
  </si>
  <si>
    <t>100203</t>
  </si>
  <si>
    <t xml:space="preserve">Загальноосвітні школи (в т.ч. школа-дитячий садок, інтернат при школі), спеціалізовані школи, ліцеї, гімназії, колегіуми </t>
  </si>
  <si>
    <t>Централізовані бухгалтерії</t>
  </si>
  <si>
    <t>081004</t>
  </si>
  <si>
    <t>080300</t>
  </si>
  <si>
    <t>Поліклініки і амбулаторії (крім спеціалізованих поліклінік та загальних і спеціалізованих стоматологічних поліклінік)</t>
  </si>
  <si>
    <t>Придбання житла для багатодітної родини</t>
  </si>
  <si>
    <t>Секретар міської  ради</t>
  </si>
  <si>
    <t>29.12.2010  № 7</t>
  </si>
</sst>
</file>

<file path=xl/styles.xml><?xml version="1.0" encoding="utf-8"?>
<styleSheet xmlns="http://schemas.openxmlformats.org/spreadsheetml/2006/main">
  <numFmts count="3">
    <numFmt numFmtId="164" formatCode="0.0"/>
    <numFmt numFmtId="165" formatCode="0.000"/>
    <numFmt numFmtId="166" formatCode="#,##0.0"/>
  </numFmts>
  <fonts count="13">
    <font>
      <sz val="11"/>
      <color theme="1"/>
      <name val="Calibri"/>
      <family val="2"/>
      <charset val="204"/>
      <scheme val="minor"/>
    </font>
    <font>
      <sz val="10"/>
      <name val="Arial Cyr"/>
      <charset val="204"/>
    </font>
    <font>
      <sz val="10"/>
      <name val="Arial"/>
      <family val="2"/>
      <charset val="204"/>
    </font>
    <font>
      <sz val="13"/>
      <name val="Arial"/>
      <family val="2"/>
      <charset val="204"/>
    </font>
    <font>
      <sz val="11"/>
      <name val="Arial"/>
      <family val="2"/>
      <charset val="204"/>
    </font>
    <font>
      <sz val="14"/>
      <name val="Arial"/>
      <family val="2"/>
      <charset val="204"/>
    </font>
    <font>
      <b/>
      <sz val="14"/>
      <name val="Arial"/>
      <family val="2"/>
      <charset val="204"/>
    </font>
    <font>
      <sz val="16"/>
      <name val="Arial"/>
      <family val="2"/>
      <charset val="204"/>
    </font>
    <font>
      <sz val="12"/>
      <name val="Arial"/>
      <family val="2"/>
      <charset val="204"/>
    </font>
    <font>
      <b/>
      <sz val="12"/>
      <name val="Arial"/>
      <family val="2"/>
      <charset val="204"/>
    </font>
    <font>
      <sz val="12"/>
      <name val="Arial Cyr"/>
      <family val="2"/>
      <charset val="204"/>
    </font>
    <font>
      <b/>
      <sz val="13"/>
      <name val="Arial"/>
      <family val="2"/>
      <charset val="204"/>
    </font>
    <font>
      <b/>
      <u/>
      <sz val="13"/>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2" fillId="0" borderId="0" xfId="0" applyFont="1" applyFill="1"/>
    <xf numFmtId="3" fontId="2" fillId="0" borderId="0" xfId="0" applyNumberFormat="1" applyFont="1" applyFill="1"/>
    <xf numFmtId="3" fontId="2" fillId="0" borderId="0" xfId="0" applyNumberFormat="1" applyFont="1" applyFill="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4" fillId="0" borderId="0" xfId="0" applyFont="1" applyAlignment="1">
      <alignment wrapText="1"/>
    </xf>
    <xf numFmtId="3" fontId="4" fillId="0" borderId="0" xfId="0" applyNumberFormat="1" applyFont="1" applyAlignment="1">
      <alignment wrapText="1"/>
    </xf>
    <xf numFmtId="0" fontId="4" fillId="2" borderId="0" xfId="0" applyFont="1" applyFill="1" applyAlignment="1">
      <alignment wrapText="1"/>
    </xf>
    <xf numFmtId="0" fontId="4" fillId="0" borderId="0" xfId="0" applyFont="1" applyFill="1" applyAlignment="1">
      <alignment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wrapText="1"/>
    </xf>
    <xf numFmtId="0" fontId="7" fillId="0" borderId="0" xfId="0" applyFont="1" applyFill="1" applyAlignment="1">
      <alignment horizontal="center" wrapText="1"/>
    </xf>
    <xf numFmtId="0" fontId="7" fillId="0" borderId="0" xfId="1" applyFont="1" applyFill="1" applyAlignment="1">
      <alignment horizontal="center" vertical="center" wrapText="1"/>
    </xf>
    <xf numFmtId="0" fontId="7" fillId="0" borderId="0" xfId="0" applyFont="1" applyFill="1" applyBorder="1" applyAlignment="1">
      <alignment wrapText="1"/>
    </xf>
    <xf numFmtId="0" fontId="4" fillId="0" borderId="0" xfId="0" applyFont="1" applyAlignment="1">
      <alignment horizontal="left" wrapText="1"/>
    </xf>
    <xf numFmtId="0" fontId="4" fillId="0" borderId="0" xfId="0" applyFont="1" applyAlignment="1">
      <alignment horizont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right"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right" vertical="center" wrapText="1"/>
    </xf>
    <xf numFmtId="49" fontId="9" fillId="0" borderId="1" xfId="1" applyNumberFormat="1" applyFont="1" applyFill="1" applyBorder="1" applyAlignment="1">
      <alignment horizontal="center" vertical="center" wrapText="1"/>
    </xf>
    <xf numFmtId="0" fontId="9" fillId="0" borderId="1" xfId="1" applyFont="1" applyFill="1" applyBorder="1" applyAlignment="1">
      <alignment horizontal="left" vertical="center" wrapText="1"/>
    </xf>
    <xf numFmtId="0" fontId="9" fillId="0" borderId="1" xfId="1" applyFont="1" applyFill="1" applyBorder="1" applyAlignment="1">
      <alignment horizontal="center" vertical="center" wrapText="1"/>
    </xf>
    <xf numFmtId="3" fontId="9" fillId="0" borderId="1" xfId="1" applyNumberFormat="1" applyFont="1" applyFill="1" applyBorder="1" applyAlignment="1">
      <alignment horizontal="right" vertical="center" wrapText="1"/>
    </xf>
    <xf numFmtId="164" fontId="8" fillId="0" borderId="1" xfId="2" applyNumberFormat="1" applyFont="1" applyFill="1" applyBorder="1" applyAlignment="1">
      <alignment horizontal="right" vertical="center" wrapText="1"/>
    </xf>
    <xf numFmtId="49" fontId="8" fillId="0" borderId="1" xfId="1" applyNumberFormat="1" applyFont="1" applyFill="1" applyBorder="1" applyAlignment="1">
      <alignment horizontal="center" vertical="center" wrapText="1"/>
    </xf>
    <xf numFmtId="3" fontId="8" fillId="0" borderId="1" xfId="1" applyNumberFormat="1" applyFont="1" applyFill="1" applyBorder="1" applyAlignment="1">
      <alignment horizontal="right" vertical="center" wrapText="1"/>
    </xf>
    <xf numFmtId="0" fontId="8" fillId="2" borderId="1" xfId="1" applyFont="1" applyFill="1" applyBorder="1" applyAlignment="1">
      <alignment horizontal="left" vertical="center" wrapText="1"/>
    </xf>
    <xf numFmtId="3" fontId="8" fillId="2" borderId="1" xfId="1" applyNumberFormat="1" applyFont="1" applyFill="1" applyBorder="1" applyAlignment="1">
      <alignment horizontal="right" vertical="center" wrapText="1"/>
    </xf>
    <xf numFmtId="164" fontId="8" fillId="2" borderId="1"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xf>
    <xf numFmtId="0" fontId="8" fillId="2" borderId="1" xfId="0" applyFont="1" applyFill="1" applyBorder="1" applyAlignment="1">
      <alignment horizontal="left" vertical="center" wrapText="1"/>
    </xf>
    <xf numFmtId="49" fontId="8" fillId="2" borderId="1" xfId="1" applyNumberFormat="1" applyFont="1" applyFill="1" applyBorder="1" applyAlignment="1">
      <alignment horizontal="left" vertical="center" wrapText="1"/>
    </xf>
    <xf numFmtId="0" fontId="8" fillId="2" borderId="1" xfId="1" applyFont="1" applyFill="1" applyBorder="1" applyAlignment="1">
      <alignment horizontal="center" vertical="center" wrapText="1"/>
    </xf>
    <xf numFmtId="3" fontId="8" fillId="2" borderId="1" xfId="0" applyNumberFormat="1" applyFont="1" applyFill="1" applyBorder="1" applyAlignment="1">
      <alignment horizontal="right" vertical="center" wrapText="1"/>
    </xf>
    <xf numFmtId="164" fontId="8" fillId="2" borderId="1" xfId="3" applyNumberFormat="1" applyFont="1" applyFill="1" applyBorder="1" applyAlignment="1">
      <alignment horizontal="right" vertical="center" wrapText="1"/>
    </xf>
    <xf numFmtId="49" fontId="8" fillId="2" borderId="1" xfId="0" applyNumberFormat="1" applyFont="1" applyFill="1" applyBorder="1" applyAlignment="1">
      <alignment horizontal="left" vertical="center" wrapText="1"/>
    </xf>
    <xf numFmtId="3" fontId="8" fillId="0" borderId="1" xfId="3" applyNumberFormat="1" applyFont="1" applyFill="1" applyBorder="1" applyAlignment="1">
      <alignment horizontal="right"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wrapText="1"/>
    </xf>
    <xf numFmtId="164" fontId="8" fillId="0" borderId="1" xfId="3" applyNumberFormat="1" applyFont="1" applyFill="1" applyBorder="1" applyAlignment="1">
      <alignment horizontal="right" vertical="center" wrapText="1"/>
    </xf>
    <xf numFmtId="164" fontId="9" fillId="0" borderId="1" xfId="2" applyNumberFormat="1" applyFont="1" applyFill="1" applyBorder="1" applyAlignment="1">
      <alignment horizontal="right" vertical="center" wrapText="1"/>
    </xf>
    <xf numFmtId="9" fontId="9" fillId="0" borderId="1" xfId="2" applyFont="1" applyFill="1" applyBorder="1" applyAlignment="1">
      <alignment horizontal="right" vertical="center" wrapText="1"/>
    </xf>
    <xf numFmtId="9" fontId="8" fillId="0" borderId="1" xfId="2" applyFont="1" applyFill="1" applyBorder="1" applyAlignment="1">
      <alignment horizontal="right" vertical="center" wrapText="1"/>
    </xf>
    <xf numFmtId="164" fontId="8" fillId="0" borderId="1" xfId="0" applyNumberFormat="1" applyFont="1" applyFill="1" applyBorder="1" applyAlignment="1">
      <alignment horizontal="right" vertical="center" wrapText="1"/>
    </xf>
    <xf numFmtId="3" fontId="8" fillId="0" borderId="1" xfId="0" applyNumberFormat="1" applyFont="1" applyFill="1" applyBorder="1" applyAlignment="1">
      <alignment horizontal="right" vertical="center"/>
    </xf>
    <xf numFmtId="0" fontId="8" fillId="0" borderId="1" xfId="0" applyFont="1" applyFill="1" applyBorder="1" applyAlignment="1">
      <alignment wrapText="1"/>
    </xf>
    <xf numFmtId="165" fontId="8" fillId="0" borderId="1" xfId="0" applyNumberFormat="1" applyFont="1" applyFill="1" applyBorder="1" applyAlignment="1">
      <alignment horizontal="left" vertical="center" wrapText="1"/>
    </xf>
    <xf numFmtId="166" fontId="8" fillId="2" borderId="1" xfId="0" applyNumberFormat="1" applyFont="1" applyFill="1" applyBorder="1" applyAlignment="1">
      <alignment horizontal="right" vertical="center" wrapText="1"/>
    </xf>
    <xf numFmtId="3" fontId="8" fillId="0" borderId="1" xfId="0" applyNumberFormat="1" applyFont="1" applyBorder="1" applyAlignment="1">
      <alignment vertical="center" wrapText="1"/>
    </xf>
    <xf numFmtId="166" fontId="8"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center" wrapText="1"/>
    </xf>
    <xf numFmtId="0" fontId="8" fillId="0" borderId="1" xfId="0" applyFont="1" applyFill="1" applyBorder="1" applyAlignment="1">
      <alignment horizontal="left" wrapText="1"/>
    </xf>
    <xf numFmtId="0" fontId="4" fillId="0" borderId="0" xfId="0" applyFont="1" applyAlignment="1">
      <alignment horizontal="left" wrapText="1"/>
    </xf>
    <xf numFmtId="0" fontId="5"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0" xfId="0" applyFont="1" applyFill="1" applyBorder="1" applyAlignment="1">
      <alignment horizontal="left" wrapText="1"/>
    </xf>
    <xf numFmtId="0" fontId="7" fillId="0" borderId="0" xfId="0" applyFont="1" applyFill="1" applyAlignment="1">
      <alignment horizontal="right" wrapText="1"/>
    </xf>
    <xf numFmtId="0" fontId="3" fillId="0" borderId="0" xfId="0" applyFont="1" applyFill="1" applyAlignment="1">
      <alignment horizontal="right"/>
    </xf>
    <xf numFmtId="0" fontId="11" fillId="0" borderId="0" xfId="0" applyFont="1" applyFill="1" applyAlignment="1">
      <alignment horizontal="center"/>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2" fillId="0" borderId="0" xfId="0" applyFont="1" applyFill="1" applyAlignment="1">
      <alignment horizontal="right"/>
    </xf>
  </cellXfs>
  <cellStyles count="4">
    <cellStyle name="Обычный" xfId="0" builtinId="0"/>
    <cellStyle name="Обычный 5" xfId="1"/>
    <cellStyle name="Процентный 2" xfId="3"/>
    <cellStyle name="Процентный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E6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11"/>
  <sheetViews>
    <sheetView tabSelected="1" zoomScale="71" zoomScaleNormal="71" workbookViewId="0">
      <selection activeCell="E3" sqref="E3:G3"/>
    </sheetView>
  </sheetViews>
  <sheetFormatPr defaultColWidth="29.28515625" defaultRowHeight="14.25"/>
  <cols>
    <col min="1" max="1" width="20.42578125" style="17" customWidth="1"/>
    <col min="2" max="2" width="62.140625" style="6" customWidth="1"/>
    <col min="3" max="3" width="72.42578125" style="6" customWidth="1"/>
    <col min="4" max="4" width="17.28515625" style="6" customWidth="1"/>
    <col min="5" max="5" width="14.7109375" style="6" customWidth="1"/>
    <col min="6" max="6" width="17.7109375" style="6" customWidth="1"/>
    <col min="7" max="7" width="15.5703125" style="6" customWidth="1"/>
    <col min="8" max="16384" width="29.28515625" style="6"/>
  </cols>
  <sheetData>
    <row r="1" spans="1:7" ht="16.5">
      <c r="A1" s="4"/>
      <c r="B1" s="1"/>
      <c r="C1" s="1"/>
      <c r="D1" s="2"/>
      <c r="E1" s="66" t="s">
        <v>48</v>
      </c>
      <c r="F1" s="66"/>
      <c r="G1" s="66"/>
    </row>
    <row r="2" spans="1:7" ht="16.5">
      <c r="A2" s="4"/>
      <c r="B2" s="1"/>
      <c r="C2" s="1"/>
      <c r="D2" s="2"/>
      <c r="E2" s="66" t="s">
        <v>30</v>
      </c>
      <c r="F2" s="66"/>
      <c r="G2" s="66"/>
    </row>
    <row r="3" spans="1:7" ht="29.25" customHeight="1">
      <c r="A3" s="4"/>
      <c r="B3" s="1"/>
      <c r="C3" s="1"/>
      <c r="D3" s="2"/>
      <c r="E3" s="70" t="s">
        <v>121</v>
      </c>
      <c r="F3" s="66"/>
      <c r="G3" s="66"/>
    </row>
    <row r="4" spans="1:7">
      <c r="A4" s="4"/>
      <c r="B4" s="1"/>
      <c r="C4" s="1"/>
      <c r="D4" s="2"/>
      <c r="E4" s="1"/>
      <c r="F4" s="3"/>
      <c r="G4" s="3"/>
    </row>
    <row r="5" spans="1:7">
      <c r="A5" s="4"/>
      <c r="B5" s="1"/>
      <c r="C5" s="1"/>
      <c r="D5" s="2"/>
      <c r="E5" s="1"/>
      <c r="F5" s="2"/>
      <c r="G5" s="2"/>
    </row>
    <row r="6" spans="1:7" ht="16.5">
      <c r="A6" s="67" t="s">
        <v>49</v>
      </c>
      <c r="B6" s="67"/>
      <c r="C6" s="67"/>
      <c r="D6" s="67"/>
      <c r="E6" s="67"/>
      <c r="F6" s="67"/>
      <c r="G6" s="67"/>
    </row>
    <row r="7" spans="1:7">
      <c r="A7" s="4"/>
      <c r="B7" s="4"/>
      <c r="C7" s="4"/>
      <c r="D7" s="5"/>
      <c r="E7" s="4"/>
      <c r="F7" s="5"/>
      <c r="G7" s="5"/>
    </row>
    <row r="8" spans="1:7">
      <c r="A8" s="4"/>
      <c r="B8" s="1"/>
      <c r="C8" s="1"/>
      <c r="D8" s="2"/>
      <c r="E8" s="1"/>
      <c r="F8" s="2"/>
      <c r="G8" s="3" t="s">
        <v>31</v>
      </c>
    </row>
    <row r="9" spans="1:7" ht="79.5" customHeight="1">
      <c r="A9" s="18" t="s">
        <v>45</v>
      </c>
      <c r="B9" s="18" t="s">
        <v>46</v>
      </c>
      <c r="C9" s="68" t="s">
        <v>0</v>
      </c>
      <c r="D9" s="69" t="s">
        <v>32</v>
      </c>
      <c r="E9" s="68" t="s">
        <v>33</v>
      </c>
      <c r="F9" s="69" t="s">
        <v>34</v>
      </c>
      <c r="G9" s="69" t="s">
        <v>35</v>
      </c>
    </row>
    <row r="10" spans="1:7" ht="68.25" customHeight="1">
      <c r="A10" s="18" t="s">
        <v>50</v>
      </c>
      <c r="B10" s="18" t="s">
        <v>51</v>
      </c>
      <c r="C10" s="68"/>
      <c r="D10" s="69"/>
      <c r="E10" s="68"/>
      <c r="F10" s="69"/>
      <c r="G10" s="69"/>
    </row>
    <row r="11" spans="1:7" ht="15">
      <c r="A11" s="18">
        <v>1</v>
      </c>
      <c r="B11" s="18">
        <v>2</v>
      </c>
      <c r="C11" s="18">
        <v>3</v>
      </c>
      <c r="D11" s="18">
        <v>4</v>
      </c>
      <c r="E11" s="18">
        <v>5</v>
      </c>
      <c r="F11" s="18">
        <v>6</v>
      </c>
      <c r="G11" s="18">
        <v>7</v>
      </c>
    </row>
    <row r="12" spans="1:7" ht="15.75">
      <c r="A12" s="19" t="s">
        <v>44</v>
      </c>
      <c r="B12" s="20" t="s">
        <v>52</v>
      </c>
      <c r="C12" s="18"/>
      <c r="D12" s="21">
        <f>SUM(D13:D14)</f>
        <v>0</v>
      </c>
      <c r="E12" s="21"/>
      <c r="F12" s="21"/>
      <c r="G12" s="21">
        <f t="shared" ref="G12" si="0">SUM(G13:G14)</f>
        <v>515000</v>
      </c>
    </row>
    <row r="13" spans="1:7" ht="15.75">
      <c r="A13" s="22" t="s">
        <v>53</v>
      </c>
      <c r="B13" s="24" t="s">
        <v>54</v>
      </c>
      <c r="C13" s="24" t="s">
        <v>55</v>
      </c>
      <c r="D13" s="25"/>
      <c r="E13" s="21"/>
      <c r="F13" s="21"/>
      <c r="G13" s="25">
        <v>15000</v>
      </c>
    </row>
    <row r="14" spans="1:7" ht="15">
      <c r="A14" s="22">
        <v>150101</v>
      </c>
      <c r="B14" s="23" t="s">
        <v>2</v>
      </c>
      <c r="C14" s="24" t="s">
        <v>119</v>
      </c>
      <c r="D14" s="25"/>
      <c r="E14" s="25"/>
      <c r="F14" s="25"/>
      <c r="G14" s="25">
        <v>500000</v>
      </c>
    </row>
    <row r="15" spans="1:7" ht="15.75">
      <c r="A15" s="26" t="s">
        <v>13</v>
      </c>
      <c r="B15" s="27" t="s">
        <v>14</v>
      </c>
      <c r="C15" s="28"/>
      <c r="D15" s="29">
        <f>SUM(D16:D23)-D17</f>
        <v>24242552</v>
      </c>
      <c r="E15" s="30"/>
      <c r="F15" s="29">
        <f t="shared" ref="F15:G15" si="1">SUM(F16:F23)-F17</f>
        <v>12994935</v>
      </c>
      <c r="G15" s="29">
        <f t="shared" si="1"/>
        <v>11842219</v>
      </c>
    </row>
    <row r="16" spans="1:7" ht="45">
      <c r="A16" s="31" t="s">
        <v>57</v>
      </c>
      <c r="B16" s="24" t="s">
        <v>114</v>
      </c>
      <c r="C16" s="24" t="s">
        <v>55</v>
      </c>
      <c r="D16" s="32"/>
      <c r="E16" s="30"/>
      <c r="F16" s="32"/>
      <c r="G16" s="32">
        <v>7000000</v>
      </c>
    </row>
    <row r="17" spans="1:7" ht="30">
      <c r="A17" s="31"/>
      <c r="B17" s="24" t="s">
        <v>100</v>
      </c>
      <c r="C17" s="24"/>
      <c r="D17" s="32"/>
      <c r="E17" s="30"/>
      <c r="F17" s="32"/>
      <c r="G17" s="32">
        <v>7000000</v>
      </c>
    </row>
    <row r="18" spans="1:7" ht="30">
      <c r="A18" s="22">
        <v>150101</v>
      </c>
      <c r="B18" s="23" t="s">
        <v>2</v>
      </c>
      <c r="C18" s="33" t="s">
        <v>41</v>
      </c>
      <c r="D18" s="34">
        <v>9459239</v>
      </c>
      <c r="E18" s="35">
        <f>100-(F18/D18)*100</f>
        <v>11.091431350872938</v>
      </c>
      <c r="F18" s="34">
        <f>D18-796858-70000-G18-74600-52707</f>
        <v>8410074</v>
      </c>
      <c r="G18" s="36">
        <v>55000</v>
      </c>
    </row>
    <row r="19" spans="1:7" ht="45">
      <c r="A19" s="22">
        <v>150101</v>
      </c>
      <c r="B19" s="23" t="s">
        <v>2</v>
      </c>
      <c r="C19" s="37" t="s">
        <v>42</v>
      </c>
      <c r="D19" s="34">
        <v>2200000</v>
      </c>
      <c r="E19" s="35"/>
      <c r="F19" s="34"/>
      <c r="G19" s="36">
        <v>1898874</v>
      </c>
    </row>
    <row r="20" spans="1:7" ht="45">
      <c r="A20" s="18">
        <v>150101</v>
      </c>
      <c r="B20" s="24" t="s">
        <v>2</v>
      </c>
      <c r="C20" s="33" t="s">
        <v>43</v>
      </c>
      <c r="D20" s="34">
        <v>348700</v>
      </c>
      <c r="E20" s="35"/>
      <c r="F20" s="34"/>
      <c r="G20" s="36">
        <v>313641</v>
      </c>
    </row>
    <row r="21" spans="1:7" ht="45">
      <c r="A21" s="18">
        <v>150101</v>
      </c>
      <c r="B21" s="24" t="s">
        <v>2</v>
      </c>
      <c r="C21" s="33" t="s">
        <v>15</v>
      </c>
      <c r="D21" s="34">
        <v>3519492</v>
      </c>
      <c r="E21" s="35">
        <f t="shared" ref="E21" si="2">100-(F21/D21)*100</f>
        <v>65.223020822323221</v>
      </c>
      <c r="F21" s="34">
        <f>2670711-G21-546738</f>
        <v>1223973</v>
      </c>
      <c r="G21" s="36">
        <v>900000</v>
      </c>
    </row>
    <row r="22" spans="1:7" ht="45">
      <c r="A22" s="18">
        <v>150101</v>
      </c>
      <c r="B22" s="24" t="s">
        <v>2</v>
      </c>
      <c r="C22" s="33" t="s">
        <v>16</v>
      </c>
      <c r="D22" s="34">
        <v>2335982</v>
      </c>
      <c r="E22" s="35"/>
      <c r="F22" s="34"/>
      <c r="G22" s="36">
        <v>687804</v>
      </c>
    </row>
    <row r="23" spans="1:7" ht="30">
      <c r="A23" s="18">
        <v>150101</v>
      </c>
      <c r="B23" s="24" t="s">
        <v>2</v>
      </c>
      <c r="C23" s="33" t="s">
        <v>17</v>
      </c>
      <c r="D23" s="34">
        <v>6379139</v>
      </c>
      <c r="E23" s="35">
        <f>100-(F23/D23)*100</f>
        <v>47.314394622848013</v>
      </c>
      <c r="F23" s="34">
        <f>4347788-G23</f>
        <v>3360888</v>
      </c>
      <c r="G23" s="36">
        <v>986900</v>
      </c>
    </row>
    <row r="24" spans="1:7" ht="15.75">
      <c r="A24" s="26" t="s">
        <v>18</v>
      </c>
      <c r="B24" s="27" t="s">
        <v>19</v>
      </c>
      <c r="C24" s="22"/>
      <c r="D24" s="29">
        <f>SUM(D25:D37)-D26-D28</f>
        <v>33025846</v>
      </c>
      <c r="E24" s="30"/>
      <c r="F24" s="29">
        <f t="shared" ref="F24" si="3">SUM(F25:F37)-F26</f>
        <v>12979317</v>
      </c>
      <c r="G24" s="29">
        <f>SUM(G25:G37)-G26-G28</f>
        <v>9533971</v>
      </c>
    </row>
    <row r="25" spans="1:7" ht="15">
      <c r="A25" s="31" t="s">
        <v>96</v>
      </c>
      <c r="B25" s="23" t="s">
        <v>97</v>
      </c>
      <c r="C25" s="24" t="s">
        <v>55</v>
      </c>
      <c r="D25" s="32"/>
      <c r="E25" s="30"/>
      <c r="F25" s="32"/>
      <c r="G25" s="32">
        <v>2752500</v>
      </c>
    </row>
    <row r="26" spans="1:7" ht="30">
      <c r="A26" s="31"/>
      <c r="B26" s="24" t="s">
        <v>100</v>
      </c>
      <c r="C26" s="24"/>
      <c r="D26" s="32"/>
      <c r="E26" s="30"/>
      <c r="F26" s="32"/>
      <c r="G26" s="32">
        <v>2752500</v>
      </c>
    </row>
    <row r="27" spans="1:7" ht="45">
      <c r="A27" s="31" t="s">
        <v>117</v>
      </c>
      <c r="B27" s="24" t="s">
        <v>118</v>
      </c>
      <c r="C27" s="24" t="s">
        <v>55</v>
      </c>
      <c r="D27" s="32"/>
      <c r="E27" s="30"/>
      <c r="F27" s="32"/>
      <c r="G27" s="32">
        <v>247500</v>
      </c>
    </row>
    <row r="28" spans="1:7" ht="30">
      <c r="A28" s="31"/>
      <c r="B28" s="24" t="s">
        <v>100</v>
      </c>
      <c r="C28" s="24"/>
      <c r="D28" s="32"/>
      <c r="E28" s="30"/>
      <c r="F28" s="32"/>
      <c r="G28" s="32">
        <v>247500</v>
      </c>
    </row>
    <row r="29" spans="1:7" ht="15">
      <c r="A29" s="31" t="s">
        <v>116</v>
      </c>
      <c r="B29" s="24" t="s">
        <v>115</v>
      </c>
      <c r="C29" s="24" t="s">
        <v>55</v>
      </c>
      <c r="D29" s="32"/>
      <c r="E29" s="30"/>
      <c r="F29" s="32"/>
      <c r="G29" s="32">
        <v>33600</v>
      </c>
    </row>
    <row r="30" spans="1:7" ht="45">
      <c r="A30" s="22">
        <v>150101</v>
      </c>
      <c r="B30" s="23" t="s">
        <v>2</v>
      </c>
      <c r="C30" s="38" t="s">
        <v>20</v>
      </c>
      <c r="D30" s="34">
        <v>6853711</v>
      </c>
      <c r="E30" s="35">
        <f t="shared" ref="E30:E37" si="4">100-(F30/D30)*100</f>
        <v>29.686326137766827</v>
      </c>
      <c r="F30" s="34">
        <f>5722701-G30-26200</f>
        <v>4819096</v>
      </c>
      <c r="G30" s="36">
        <v>877405</v>
      </c>
    </row>
    <row r="31" spans="1:7" ht="45">
      <c r="A31" s="22">
        <v>150101</v>
      </c>
      <c r="B31" s="23" t="s">
        <v>2</v>
      </c>
      <c r="C31" s="37" t="s">
        <v>65</v>
      </c>
      <c r="D31" s="34">
        <v>200000</v>
      </c>
      <c r="E31" s="35">
        <f t="shared" si="4"/>
        <v>66.307500000000005</v>
      </c>
      <c r="F31" s="34">
        <f>200000-30149-2466-G31</f>
        <v>67385</v>
      </c>
      <c r="G31" s="36">
        <v>100000</v>
      </c>
    </row>
    <row r="32" spans="1:7" s="8" customFormat="1" ht="45">
      <c r="A32" s="39">
        <v>150101</v>
      </c>
      <c r="B32" s="33" t="s">
        <v>2</v>
      </c>
      <c r="C32" s="38" t="s">
        <v>21</v>
      </c>
      <c r="D32" s="34">
        <v>4750000</v>
      </c>
      <c r="E32" s="35"/>
      <c r="F32" s="34"/>
      <c r="G32" s="36">
        <v>402595</v>
      </c>
    </row>
    <row r="33" spans="1:8" ht="30">
      <c r="A33" s="18">
        <v>150101</v>
      </c>
      <c r="B33" s="24" t="s">
        <v>2</v>
      </c>
      <c r="C33" s="38" t="s">
        <v>22</v>
      </c>
      <c r="D33" s="34">
        <v>6405982</v>
      </c>
      <c r="E33" s="35"/>
      <c r="F33" s="34"/>
      <c r="G33" s="36">
        <v>2800000</v>
      </c>
      <c r="H33" s="6">
        <v>1326600</v>
      </c>
    </row>
    <row r="34" spans="1:8" ht="45">
      <c r="A34" s="18">
        <v>150101</v>
      </c>
      <c r="B34" s="24" t="s">
        <v>2</v>
      </c>
      <c r="C34" s="38" t="s">
        <v>94</v>
      </c>
      <c r="D34" s="40">
        <v>6306764</v>
      </c>
      <c r="E34" s="41">
        <f t="shared" ref="E34" si="5">100-(F34/D34)*100</f>
        <v>8.8530346148991867</v>
      </c>
      <c r="F34" s="40">
        <f>5953940- G34-5516</f>
        <v>5748424</v>
      </c>
      <c r="G34" s="36">
        <v>200000</v>
      </c>
    </row>
    <row r="35" spans="1:8" ht="45">
      <c r="A35" s="18">
        <v>150101</v>
      </c>
      <c r="B35" s="24" t="s">
        <v>2</v>
      </c>
      <c r="C35" s="37" t="s">
        <v>23</v>
      </c>
      <c r="D35" s="36">
        <v>700000</v>
      </c>
      <c r="E35" s="35"/>
      <c r="F35" s="40"/>
      <c r="G35" s="36">
        <v>651557</v>
      </c>
    </row>
    <row r="36" spans="1:8" ht="30">
      <c r="A36" s="18">
        <v>150101</v>
      </c>
      <c r="B36" s="24" t="s">
        <v>2</v>
      </c>
      <c r="C36" s="42" t="s">
        <v>24</v>
      </c>
      <c r="D36" s="40">
        <v>1537249</v>
      </c>
      <c r="E36" s="41">
        <f t="shared" si="4"/>
        <v>84.100688958002252</v>
      </c>
      <c r="F36" s="40">
        <f>D36-G36-300495-462588</f>
        <v>244412</v>
      </c>
      <c r="G36" s="36">
        <v>529754</v>
      </c>
    </row>
    <row r="37" spans="1:8" ht="45">
      <c r="A37" s="18">
        <v>150101</v>
      </c>
      <c r="B37" s="24" t="s">
        <v>2</v>
      </c>
      <c r="C37" s="42" t="s">
        <v>25</v>
      </c>
      <c r="D37" s="40">
        <v>6272140</v>
      </c>
      <c r="E37" s="35">
        <f t="shared" si="4"/>
        <v>66.518604495435369</v>
      </c>
      <c r="F37" s="34">
        <f>3633460-G37-594400</f>
        <v>2100000</v>
      </c>
      <c r="G37" s="36">
        <v>939060</v>
      </c>
    </row>
    <row r="38" spans="1:8" ht="31.5">
      <c r="A38" s="19" t="s">
        <v>66</v>
      </c>
      <c r="B38" s="20" t="s">
        <v>67</v>
      </c>
      <c r="C38" s="20"/>
      <c r="D38" s="21">
        <f>SUM(D39:D44)-D41</f>
        <v>6632309</v>
      </c>
      <c r="E38" s="43"/>
      <c r="F38" s="21">
        <f t="shared" ref="F38:G38" si="6">SUM(F39:F44)-F41</f>
        <v>2929355</v>
      </c>
      <c r="G38" s="21">
        <f t="shared" si="6"/>
        <v>2429026</v>
      </c>
    </row>
    <row r="39" spans="1:8" ht="15">
      <c r="A39" s="44" t="s">
        <v>53</v>
      </c>
      <c r="B39" s="24" t="s">
        <v>54</v>
      </c>
      <c r="C39" s="24" t="s">
        <v>55</v>
      </c>
      <c r="D39" s="25"/>
      <c r="E39" s="43"/>
      <c r="F39" s="25"/>
      <c r="G39" s="25">
        <v>200000</v>
      </c>
    </row>
    <row r="40" spans="1:8" ht="195">
      <c r="A40" s="44" t="s">
        <v>98</v>
      </c>
      <c r="B40" s="45" t="s">
        <v>99</v>
      </c>
      <c r="C40" s="24" t="s">
        <v>55</v>
      </c>
      <c r="D40" s="25"/>
      <c r="E40" s="43"/>
      <c r="F40" s="25"/>
      <c r="G40" s="25">
        <v>38271</v>
      </c>
    </row>
    <row r="41" spans="1:8" ht="30">
      <c r="A41" s="44"/>
      <c r="B41" s="24" t="s">
        <v>100</v>
      </c>
      <c r="C41" s="24"/>
      <c r="D41" s="25"/>
      <c r="E41" s="43"/>
      <c r="F41" s="25"/>
      <c r="G41" s="25">
        <v>38271</v>
      </c>
    </row>
    <row r="42" spans="1:8" ht="30">
      <c r="A42" s="18">
        <v>150101</v>
      </c>
      <c r="B42" s="24" t="s">
        <v>2</v>
      </c>
      <c r="C42" s="24" t="s">
        <v>68</v>
      </c>
      <c r="D42" s="25">
        <v>3092609</v>
      </c>
      <c r="E42" s="46">
        <f>100-(F42/D42)*100</f>
        <v>34.884493966097878</v>
      </c>
      <c r="F42" s="25">
        <f>2464396-G42-250628</f>
        <v>2013768</v>
      </c>
      <c r="G42" s="25">
        <v>200000</v>
      </c>
    </row>
    <row r="43" spans="1:8" ht="45">
      <c r="A43" s="18">
        <v>150101</v>
      </c>
      <c r="B43" s="24" t="s">
        <v>2</v>
      </c>
      <c r="C43" s="24" t="s">
        <v>95</v>
      </c>
      <c r="D43" s="25">
        <v>2172274</v>
      </c>
      <c r="E43" s="46"/>
      <c r="F43" s="25"/>
      <c r="G43" s="25">
        <v>1588755</v>
      </c>
    </row>
    <row r="44" spans="1:8" ht="60">
      <c r="A44" s="18">
        <v>150101</v>
      </c>
      <c r="B44" s="24" t="s">
        <v>2</v>
      </c>
      <c r="C44" s="24" t="s">
        <v>104</v>
      </c>
      <c r="D44" s="25">
        <v>1367426</v>
      </c>
      <c r="E44" s="46">
        <f>100-(F44/D44)*100</f>
        <v>33.043031213389241</v>
      </c>
      <c r="F44" s="40">
        <f>D44-G44-49839</f>
        <v>915587</v>
      </c>
      <c r="G44" s="25">
        <v>402000</v>
      </c>
    </row>
    <row r="45" spans="1:8" ht="15.75">
      <c r="A45" s="26" t="s">
        <v>9</v>
      </c>
      <c r="B45" s="27" t="s">
        <v>10</v>
      </c>
      <c r="C45" s="28"/>
      <c r="D45" s="29">
        <f>SUM(D46:D65)</f>
        <v>23149773</v>
      </c>
      <c r="E45" s="47"/>
      <c r="F45" s="29">
        <f t="shared" ref="F45:G45" si="7">SUM(F46:F65)</f>
        <v>10012317</v>
      </c>
      <c r="G45" s="29">
        <f t="shared" si="7"/>
        <v>67169128</v>
      </c>
    </row>
    <row r="46" spans="1:8" ht="15">
      <c r="A46" s="31" t="s">
        <v>101</v>
      </c>
      <c r="B46" s="23" t="s">
        <v>102</v>
      </c>
      <c r="C46" s="24" t="s">
        <v>55</v>
      </c>
      <c r="D46" s="32"/>
      <c r="E46" s="30"/>
      <c r="F46" s="32"/>
      <c r="G46" s="32">
        <v>33221850</v>
      </c>
    </row>
    <row r="47" spans="1:8" ht="15">
      <c r="A47" s="22">
        <v>150101</v>
      </c>
      <c r="B47" s="23" t="s">
        <v>2</v>
      </c>
      <c r="C47" s="33" t="s">
        <v>85</v>
      </c>
      <c r="D47" s="34">
        <v>3036560</v>
      </c>
      <c r="E47" s="35">
        <f t="shared" ref="E47:E57" si="8">100-(F47/D47)*100</f>
        <v>45.608023552967836</v>
      </c>
      <c r="F47" s="34">
        <f>D47-G47-884915</f>
        <v>1651645</v>
      </c>
      <c r="G47" s="34">
        <v>500000</v>
      </c>
    </row>
    <row r="48" spans="1:8" s="8" customFormat="1" ht="30">
      <c r="A48" s="39">
        <v>150101</v>
      </c>
      <c r="B48" s="33" t="s">
        <v>2</v>
      </c>
      <c r="C48" s="33" t="s">
        <v>86</v>
      </c>
      <c r="D48" s="34">
        <v>840000</v>
      </c>
      <c r="E48" s="35">
        <f t="shared" si="8"/>
        <v>65.476190476190482</v>
      </c>
      <c r="F48" s="34">
        <f>D48-G48</f>
        <v>290000</v>
      </c>
      <c r="G48" s="34">
        <v>550000</v>
      </c>
    </row>
    <row r="49" spans="1:7" ht="30">
      <c r="A49" s="22">
        <v>150101</v>
      </c>
      <c r="B49" s="23" t="s">
        <v>2</v>
      </c>
      <c r="C49" s="33" t="s">
        <v>87</v>
      </c>
      <c r="D49" s="34">
        <v>700000</v>
      </c>
      <c r="E49" s="35"/>
      <c r="F49" s="40"/>
      <c r="G49" s="34">
        <v>700000</v>
      </c>
    </row>
    <row r="50" spans="1:7" ht="30">
      <c r="A50" s="22">
        <v>150101</v>
      </c>
      <c r="B50" s="23" t="s">
        <v>2</v>
      </c>
      <c r="C50" s="33" t="s">
        <v>88</v>
      </c>
      <c r="D50" s="34">
        <v>1043002</v>
      </c>
      <c r="E50" s="35">
        <f t="shared" si="8"/>
        <v>27.804357038625056</v>
      </c>
      <c r="F50" s="40">
        <f>D50-G50-87241</f>
        <v>753002</v>
      </c>
      <c r="G50" s="34">
        <v>202759</v>
      </c>
    </row>
    <row r="51" spans="1:7" ht="30">
      <c r="A51" s="22">
        <v>150101</v>
      </c>
      <c r="B51" s="23" t="s">
        <v>2</v>
      </c>
      <c r="C51" s="33" t="s">
        <v>89</v>
      </c>
      <c r="D51" s="34">
        <v>442288</v>
      </c>
      <c r="E51" s="35"/>
      <c r="F51" s="40"/>
      <c r="G51" s="34">
        <v>442288</v>
      </c>
    </row>
    <row r="52" spans="1:7" ht="45">
      <c r="A52" s="22">
        <v>150101</v>
      </c>
      <c r="B52" s="23" t="s">
        <v>2</v>
      </c>
      <c r="C52" s="33" t="s">
        <v>105</v>
      </c>
      <c r="D52" s="34">
        <v>1512000</v>
      </c>
      <c r="E52" s="35">
        <f t="shared" si="8"/>
        <v>39.682539682539684</v>
      </c>
      <c r="F52" s="40">
        <f>D52-G52</f>
        <v>912000</v>
      </c>
      <c r="G52" s="34">
        <v>600000</v>
      </c>
    </row>
    <row r="53" spans="1:7" ht="15">
      <c r="A53" s="22">
        <v>150101</v>
      </c>
      <c r="B53" s="23" t="s">
        <v>2</v>
      </c>
      <c r="C53" s="33" t="s">
        <v>12</v>
      </c>
      <c r="D53" s="34">
        <v>1062000</v>
      </c>
      <c r="E53" s="35"/>
      <c r="F53" s="40"/>
      <c r="G53" s="34">
        <f>522000+3289</f>
        <v>525289</v>
      </c>
    </row>
    <row r="54" spans="1:7" ht="15">
      <c r="A54" s="22">
        <v>150101</v>
      </c>
      <c r="B54" s="23" t="s">
        <v>2</v>
      </c>
      <c r="C54" s="33" t="s">
        <v>11</v>
      </c>
      <c r="D54" s="34">
        <v>1181842</v>
      </c>
      <c r="E54" s="35">
        <f t="shared" si="8"/>
        <v>92.208857021496954</v>
      </c>
      <c r="F54" s="25">
        <f>900913-G54-452539</f>
        <v>92079</v>
      </c>
      <c r="G54" s="34">
        <v>356295</v>
      </c>
    </row>
    <row r="55" spans="1:7" ht="30">
      <c r="A55" s="22">
        <v>150101</v>
      </c>
      <c r="B55" s="23" t="s">
        <v>2</v>
      </c>
      <c r="C55" s="33" t="s">
        <v>64</v>
      </c>
      <c r="D55" s="34">
        <v>2664013</v>
      </c>
      <c r="E55" s="35">
        <f t="shared" si="8"/>
        <v>61.110287374723768</v>
      </c>
      <c r="F55" s="40">
        <f>D55-G55-550000-377986</f>
        <v>1036027</v>
      </c>
      <c r="G55" s="34">
        <v>700000</v>
      </c>
    </row>
    <row r="56" spans="1:7" ht="30">
      <c r="A56" s="22">
        <v>150101</v>
      </c>
      <c r="B56" s="23" t="s">
        <v>2</v>
      </c>
      <c r="C56" s="33" t="s">
        <v>90</v>
      </c>
      <c r="D56" s="34">
        <v>110000</v>
      </c>
      <c r="E56" s="35"/>
      <c r="F56" s="40"/>
      <c r="G56" s="34">
        <v>110000</v>
      </c>
    </row>
    <row r="57" spans="1:7" ht="15">
      <c r="A57" s="22">
        <v>150101</v>
      </c>
      <c r="B57" s="23" t="s">
        <v>2</v>
      </c>
      <c r="C57" s="33" t="s">
        <v>91</v>
      </c>
      <c r="D57" s="34">
        <v>3212630</v>
      </c>
      <c r="E57" s="35">
        <f t="shared" si="8"/>
        <v>12.450858019753284</v>
      </c>
      <c r="F57" s="40">
        <f>D57-G57</f>
        <v>2812630</v>
      </c>
      <c r="G57" s="34">
        <v>400000</v>
      </c>
    </row>
    <row r="58" spans="1:7" ht="15">
      <c r="A58" s="22">
        <v>150101</v>
      </c>
      <c r="B58" s="23" t="s">
        <v>2</v>
      </c>
      <c r="C58" s="33" t="s">
        <v>106</v>
      </c>
      <c r="D58" s="34">
        <v>1500000</v>
      </c>
      <c r="E58" s="35">
        <f t="shared" ref="E58:E59" si="9">100-(F58/D58)*100</f>
        <v>33.333333333333343</v>
      </c>
      <c r="F58" s="40">
        <f>D58-G58</f>
        <v>1000000</v>
      </c>
      <c r="G58" s="34">
        <v>500000</v>
      </c>
    </row>
    <row r="59" spans="1:7" ht="15">
      <c r="A59" s="22">
        <v>150101</v>
      </c>
      <c r="B59" s="23" t="s">
        <v>2</v>
      </c>
      <c r="C59" s="33" t="s">
        <v>107</v>
      </c>
      <c r="D59" s="34">
        <v>800000</v>
      </c>
      <c r="E59" s="35">
        <f t="shared" si="9"/>
        <v>56.25</v>
      </c>
      <c r="F59" s="40">
        <f>D59-G59</f>
        <v>350000</v>
      </c>
      <c r="G59" s="34">
        <v>450000</v>
      </c>
    </row>
    <row r="60" spans="1:7" ht="15">
      <c r="A60" s="22">
        <v>150101</v>
      </c>
      <c r="B60" s="23" t="s">
        <v>2</v>
      </c>
      <c r="C60" s="33" t="s">
        <v>108</v>
      </c>
      <c r="D60" s="34">
        <v>1664934</v>
      </c>
      <c r="E60" s="35">
        <f t="shared" ref="E60" si="10">100-(F60/D60)*100</f>
        <v>33.034342502465563</v>
      </c>
      <c r="F60" s="40">
        <f>D60-G60</f>
        <v>1114934</v>
      </c>
      <c r="G60" s="34">
        <v>550000</v>
      </c>
    </row>
    <row r="61" spans="1:7" ht="15">
      <c r="A61" s="22">
        <v>150101</v>
      </c>
      <c r="B61" s="23" t="s">
        <v>2</v>
      </c>
      <c r="C61" s="33" t="s">
        <v>109</v>
      </c>
      <c r="D61" s="34">
        <v>487500</v>
      </c>
      <c r="E61" s="35"/>
      <c r="F61" s="40"/>
      <c r="G61" s="34">
        <v>487500</v>
      </c>
    </row>
    <row r="62" spans="1:7" ht="15">
      <c r="A62" s="22">
        <v>150101</v>
      </c>
      <c r="B62" s="23" t="s">
        <v>2</v>
      </c>
      <c r="C62" s="33" t="s">
        <v>110</v>
      </c>
      <c r="D62" s="34">
        <v>382584</v>
      </c>
      <c r="E62" s="35"/>
      <c r="F62" s="40"/>
      <c r="G62" s="34">
        <v>382584</v>
      </c>
    </row>
    <row r="63" spans="1:7" ht="30">
      <c r="A63" s="22">
        <v>150101</v>
      </c>
      <c r="B63" s="23" t="s">
        <v>2</v>
      </c>
      <c r="C63" s="33" t="s">
        <v>111</v>
      </c>
      <c r="D63" s="34">
        <v>474420</v>
      </c>
      <c r="E63" s="35"/>
      <c r="F63" s="40"/>
      <c r="G63" s="34">
        <v>474420</v>
      </c>
    </row>
    <row r="64" spans="1:7" ht="30">
      <c r="A64" s="22">
        <v>150101</v>
      </c>
      <c r="B64" s="23" t="s">
        <v>2</v>
      </c>
      <c r="C64" s="33" t="s">
        <v>40</v>
      </c>
      <c r="D64" s="34">
        <v>2036000</v>
      </c>
      <c r="E64" s="35"/>
      <c r="F64" s="40"/>
      <c r="G64" s="34">
        <v>642043</v>
      </c>
    </row>
    <row r="65" spans="1:7" ht="15">
      <c r="A65" s="22">
        <v>250404</v>
      </c>
      <c r="B65" s="23" t="s">
        <v>56</v>
      </c>
      <c r="C65" s="24" t="s">
        <v>55</v>
      </c>
      <c r="D65" s="34"/>
      <c r="E65" s="35"/>
      <c r="F65" s="40"/>
      <c r="G65" s="34">
        <v>25374100</v>
      </c>
    </row>
    <row r="66" spans="1:7" ht="31.5">
      <c r="A66" s="26" t="s">
        <v>6</v>
      </c>
      <c r="B66" s="27" t="s">
        <v>7</v>
      </c>
      <c r="C66" s="22"/>
      <c r="D66" s="29">
        <f>SUM(D67:D83)</f>
        <v>86333279</v>
      </c>
      <c r="E66" s="48"/>
      <c r="F66" s="29">
        <f>SUM(F67:F83)</f>
        <v>42688171</v>
      </c>
      <c r="G66" s="29">
        <f>SUM(G67:G83)</f>
        <v>29564798</v>
      </c>
    </row>
    <row r="67" spans="1:7" ht="15.75">
      <c r="A67" s="31" t="s">
        <v>53</v>
      </c>
      <c r="B67" s="23" t="s">
        <v>54</v>
      </c>
      <c r="C67" s="23" t="s">
        <v>55</v>
      </c>
      <c r="D67" s="32"/>
      <c r="E67" s="48"/>
      <c r="F67" s="29"/>
      <c r="G67" s="32">
        <v>12000</v>
      </c>
    </row>
    <row r="68" spans="1:7" ht="15">
      <c r="A68" s="31" t="s">
        <v>113</v>
      </c>
      <c r="B68" s="23" t="s">
        <v>103</v>
      </c>
      <c r="C68" s="24" t="s">
        <v>55</v>
      </c>
      <c r="D68" s="32"/>
      <c r="E68" s="49"/>
      <c r="F68" s="32"/>
      <c r="G68" s="32">
        <v>1838354</v>
      </c>
    </row>
    <row r="69" spans="1:7" s="9" customFormat="1" ht="30">
      <c r="A69" s="22">
        <v>150101</v>
      </c>
      <c r="B69" s="23" t="s">
        <v>2</v>
      </c>
      <c r="C69" s="23" t="s">
        <v>62</v>
      </c>
      <c r="D69" s="32">
        <v>33418000</v>
      </c>
      <c r="E69" s="50">
        <f t="shared" ref="E69:E70" si="11">100-(F69/D69)*100</f>
        <v>82.723996050032923</v>
      </c>
      <c r="F69" s="32">
        <f>12562951-2789656-G69</f>
        <v>5773295</v>
      </c>
      <c r="G69" s="36">
        <v>4000000</v>
      </c>
    </row>
    <row r="70" spans="1:7" s="9" customFormat="1" ht="30">
      <c r="A70" s="22">
        <v>150101</v>
      </c>
      <c r="B70" s="23" t="s">
        <v>2</v>
      </c>
      <c r="C70" s="23" t="s">
        <v>74</v>
      </c>
      <c r="D70" s="32">
        <v>13492940</v>
      </c>
      <c r="E70" s="50">
        <f t="shared" si="11"/>
        <v>34.247702872761607</v>
      </c>
      <c r="F70" s="32">
        <f>10728258-G70-93672</f>
        <v>8871918</v>
      </c>
      <c r="G70" s="51">
        <f>1500000+262668</f>
        <v>1762668</v>
      </c>
    </row>
    <row r="71" spans="1:7" s="9" customFormat="1" ht="45">
      <c r="A71" s="22">
        <v>150101</v>
      </c>
      <c r="B71" s="23" t="s">
        <v>2</v>
      </c>
      <c r="C71" s="33" t="s">
        <v>8</v>
      </c>
      <c r="D71" s="34">
        <v>1279309</v>
      </c>
      <c r="E71" s="50"/>
      <c r="F71" s="32"/>
      <c r="G71" s="51">
        <f>1178107-299000+9</f>
        <v>879116</v>
      </c>
    </row>
    <row r="72" spans="1:7" s="8" customFormat="1" ht="30">
      <c r="A72" s="39">
        <v>150101</v>
      </c>
      <c r="B72" s="33" t="s">
        <v>2</v>
      </c>
      <c r="C72" s="33" t="s">
        <v>63</v>
      </c>
      <c r="D72" s="34">
        <v>336323</v>
      </c>
      <c r="E72" s="50"/>
      <c r="F72" s="34"/>
      <c r="G72" s="36">
        <f>272453+36323</f>
        <v>308776</v>
      </c>
    </row>
    <row r="73" spans="1:7" s="9" customFormat="1" ht="30">
      <c r="A73" s="22">
        <v>150101</v>
      </c>
      <c r="B73" s="23" t="s">
        <v>2</v>
      </c>
      <c r="C73" s="33" t="s">
        <v>75</v>
      </c>
      <c r="D73" s="34">
        <v>1000000</v>
      </c>
      <c r="E73" s="35">
        <f t="shared" ref="E73:E76" si="12">100-(F73/D73)*100</f>
        <v>45.4512</v>
      </c>
      <c r="F73" s="34">
        <f>D73-G73-79512</f>
        <v>545488</v>
      </c>
      <c r="G73" s="36">
        <v>375000</v>
      </c>
    </row>
    <row r="74" spans="1:7" s="9" customFormat="1" ht="30">
      <c r="A74" s="22">
        <v>150101</v>
      </c>
      <c r="B74" s="23" t="s">
        <v>2</v>
      </c>
      <c r="C74" s="33" t="s">
        <v>76</v>
      </c>
      <c r="D74" s="34">
        <v>5300000</v>
      </c>
      <c r="E74" s="35">
        <f t="shared" si="12"/>
        <v>6.7924528301886795</v>
      </c>
      <c r="F74" s="34">
        <f>D74-G74-60000</f>
        <v>4940000</v>
      </c>
      <c r="G74" s="36">
        <v>300000</v>
      </c>
    </row>
    <row r="75" spans="1:7" s="9" customFormat="1" ht="30">
      <c r="A75" s="22">
        <v>150101</v>
      </c>
      <c r="B75" s="23" t="s">
        <v>2</v>
      </c>
      <c r="C75" s="33" t="s">
        <v>77</v>
      </c>
      <c r="D75" s="34">
        <v>18089123</v>
      </c>
      <c r="E75" s="35">
        <f t="shared" si="12"/>
        <v>1.4373278350752514</v>
      </c>
      <c r="F75" s="34">
        <f>D75-G75</f>
        <v>17829123</v>
      </c>
      <c r="G75" s="36">
        <v>260000</v>
      </c>
    </row>
    <row r="76" spans="1:7" s="9" customFormat="1" ht="30">
      <c r="A76" s="22">
        <v>150101</v>
      </c>
      <c r="B76" s="23" t="s">
        <v>2</v>
      </c>
      <c r="C76" s="23" t="s">
        <v>78</v>
      </c>
      <c r="D76" s="34">
        <v>417647</v>
      </c>
      <c r="E76" s="35">
        <f t="shared" si="12"/>
        <v>99.438042174372143</v>
      </c>
      <c r="F76" s="34">
        <f>D76-G76-60353</f>
        <v>2347</v>
      </c>
      <c r="G76" s="36">
        <v>354947</v>
      </c>
    </row>
    <row r="77" spans="1:7" s="9" customFormat="1" ht="45">
      <c r="A77" s="22">
        <v>150101</v>
      </c>
      <c r="B77" s="23" t="s">
        <v>2</v>
      </c>
      <c r="C77" s="33" t="s">
        <v>79</v>
      </c>
      <c r="D77" s="34">
        <v>2800000</v>
      </c>
      <c r="E77" s="35"/>
      <c r="F77" s="34"/>
      <c r="G77" s="36">
        <v>2800000</v>
      </c>
    </row>
    <row r="78" spans="1:7" s="9" customFormat="1" ht="45">
      <c r="A78" s="22">
        <v>150101</v>
      </c>
      <c r="B78" s="23" t="s">
        <v>2</v>
      </c>
      <c r="C78" s="33" t="s">
        <v>80</v>
      </c>
      <c r="D78" s="34">
        <v>4500000</v>
      </c>
      <c r="E78" s="35"/>
      <c r="F78" s="34"/>
      <c r="G78" s="36">
        <v>4500000</v>
      </c>
    </row>
    <row r="79" spans="1:7" s="9" customFormat="1" ht="30">
      <c r="A79" s="22">
        <v>150101</v>
      </c>
      <c r="B79" s="23" t="s">
        <v>2</v>
      </c>
      <c r="C79" s="33" t="s">
        <v>81</v>
      </c>
      <c r="D79" s="34">
        <v>160000</v>
      </c>
      <c r="E79" s="35"/>
      <c r="F79" s="34"/>
      <c r="G79" s="36">
        <v>160000</v>
      </c>
    </row>
    <row r="80" spans="1:7" s="9" customFormat="1" ht="30">
      <c r="A80" s="22">
        <v>150101</v>
      </c>
      <c r="B80" s="23" t="s">
        <v>2</v>
      </c>
      <c r="C80" s="33" t="s">
        <v>82</v>
      </c>
      <c r="D80" s="34">
        <v>4245000</v>
      </c>
      <c r="E80" s="35">
        <f t="shared" ref="E80" si="13">100-(F80/D80)*100</f>
        <v>6.1248527679623095</v>
      </c>
      <c r="F80" s="34">
        <f>D80-G80</f>
        <v>3985000</v>
      </c>
      <c r="G80" s="36">
        <v>260000</v>
      </c>
    </row>
    <row r="81" spans="1:8" s="9" customFormat="1" ht="15">
      <c r="A81" s="22">
        <v>150101</v>
      </c>
      <c r="B81" s="23" t="s">
        <v>2</v>
      </c>
      <c r="C81" s="33" t="s">
        <v>83</v>
      </c>
      <c r="D81" s="34">
        <v>1041000</v>
      </c>
      <c r="E81" s="35">
        <f t="shared" ref="E81" si="14">100-(F81/D81)*100</f>
        <v>28.818443804034573</v>
      </c>
      <c r="F81" s="34">
        <f>D81-G81</f>
        <v>741000</v>
      </c>
      <c r="G81" s="36">
        <v>300000</v>
      </c>
    </row>
    <row r="82" spans="1:8" s="9" customFormat="1" ht="30">
      <c r="A82" s="22">
        <v>150101</v>
      </c>
      <c r="B82" s="23" t="s">
        <v>2</v>
      </c>
      <c r="C82" s="23" t="s">
        <v>84</v>
      </c>
      <c r="D82" s="34">
        <v>253937</v>
      </c>
      <c r="E82" s="35"/>
      <c r="F82" s="34"/>
      <c r="G82" s="36">
        <v>253937</v>
      </c>
    </row>
    <row r="83" spans="1:8" s="9" customFormat="1" ht="30">
      <c r="A83" s="39">
        <v>180409</v>
      </c>
      <c r="B83" s="33" t="s">
        <v>92</v>
      </c>
      <c r="C83" s="23" t="s">
        <v>93</v>
      </c>
      <c r="D83" s="34"/>
      <c r="E83" s="35"/>
      <c r="F83" s="34"/>
      <c r="G83" s="36">
        <v>11200000</v>
      </c>
    </row>
    <row r="84" spans="1:8" ht="15.75">
      <c r="A84" s="26">
        <v>230</v>
      </c>
      <c r="B84" s="27" t="s">
        <v>1</v>
      </c>
      <c r="C84" s="52"/>
      <c r="D84" s="29">
        <f>SUM(D85:D101)</f>
        <v>5476354170</v>
      </c>
      <c r="E84" s="29"/>
      <c r="F84" s="29">
        <f>SUM(F85:F101)</f>
        <v>3841811139.0499997</v>
      </c>
      <c r="G84" s="29">
        <f>SUM(G85:G101)-G85</f>
        <v>233964033</v>
      </c>
    </row>
    <row r="85" spans="1:8" ht="30">
      <c r="A85" s="31">
        <v>150101</v>
      </c>
      <c r="B85" s="23" t="s">
        <v>2</v>
      </c>
      <c r="C85" s="23" t="s">
        <v>3</v>
      </c>
      <c r="D85" s="32">
        <v>5226005939</v>
      </c>
      <c r="E85" s="50">
        <f t="shared" ref="E85" si="15">100-(F85/D85)*100</f>
        <v>28.196083284244423</v>
      </c>
      <c r="F85" s="34">
        <f>4204476952-100000000-59228700-40771300-50000000-G85+2000000</f>
        <v>3752476952</v>
      </c>
      <c r="G85" s="25">
        <f>SUM(G87:G88)</f>
        <v>204000000</v>
      </c>
      <c r="H85" s="7"/>
    </row>
    <row r="86" spans="1:8" ht="15">
      <c r="A86" s="31"/>
      <c r="B86" s="23"/>
      <c r="C86" s="53" t="s">
        <v>58</v>
      </c>
      <c r="D86" s="32"/>
      <c r="E86" s="50"/>
      <c r="F86" s="32"/>
      <c r="G86" s="25"/>
    </row>
    <row r="87" spans="1:8" ht="15">
      <c r="A87" s="31"/>
      <c r="B87" s="23"/>
      <c r="C87" s="53" t="s">
        <v>59</v>
      </c>
      <c r="D87" s="32"/>
      <c r="E87" s="50"/>
      <c r="F87" s="32"/>
      <c r="G87" s="25">
        <v>200000000</v>
      </c>
    </row>
    <row r="88" spans="1:8" ht="15">
      <c r="A88" s="31"/>
      <c r="B88" s="23"/>
      <c r="C88" s="53" t="s">
        <v>60</v>
      </c>
      <c r="D88" s="32"/>
      <c r="E88" s="50"/>
      <c r="F88" s="32"/>
      <c r="G88" s="25">
        <v>4000000</v>
      </c>
    </row>
    <row r="89" spans="1:8" ht="15">
      <c r="A89" s="31">
        <v>150101</v>
      </c>
      <c r="B89" s="23" t="s">
        <v>2</v>
      </c>
      <c r="C89" s="37" t="s">
        <v>36</v>
      </c>
      <c r="D89" s="40">
        <v>616023</v>
      </c>
      <c r="E89" s="35">
        <f t="shared" ref="E89" si="16">100-(F89/D89)*100</f>
        <v>48.138462362606596</v>
      </c>
      <c r="F89" s="34">
        <f>D89-G89-67844</f>
        <v>319479</v>
      </c>
      <c r="G89" s="36">
        <v>228700</v>
      </c>
    </row>
    <row r="90" spans="1:8" ht="45">
      <c r="A90" s="31">
        <v>150101</v>
      </c>
      <c r="B90" s="23" t="s">
        <v>2</v>
      </c>
      <c r="C90" s="37" t="s">
        <v>69</v>
      </c>
      <c r="D90" s="40">
        <v>3836200</v>
      </c>
      <c r="E90" s="54">
        <v>6.7054926750430184</v>
      </c>
      <c r="F90" s="34">
        <f>SUM(D90-28536-G90)</f>
        <v>3578964</v>
      </c>
      <c r="G90" s="55">
        <v>228700</v>
      </c>
    </row>
    <row r="91" spans="1:8" ht="30">
      <c r="A91" s="31">
        <v>150101</v>
      </c>
      <c r="B91" s="23" t="s">
        <v>2</v>
      </c>
      <c r="C91" s="37" t="s">
        <v>70</v>
      </c>
      <c r="D91" s="40">
        <v>7503538</v>
      </c>
      <c r="E91" s="54">
        <f>100-(F91/D91)*100</f>
        <v>16.387669390093052</v>
      </c>
      <c r="F91" s="40">
        <f>D91-218117-G91</f>
        <v>6273883</v>
      </c>
      <c r="G91" s="55">
        <v>1011538</v>
      </c>
    </row>
    <row r="92" spans="1:8" ht="30">
      <c r="A92" s="31">
        <v>150101</v>
      </c>
      <c r="B92" s="23" t="s">
        <v>2</v>
      </c>
      <c r="C92" s="37" t="s">
        <v>71</v>
      </c>
      <c r="D92" s="40">
        <v>2952107</v>
      </c>
      <c r="E92" s="54"/>
      <c r="F92" s="40"/>
      <c r="G92" s="55">
        <v>1096685</v>
      </c>
    </row>
    <row r="93" spans="1:8" ht="45">
      <c r="A93" s="31">
        <v>150101</v>
      </c>
      <c r="B93" s="23" t="s">
        <v>2</v>
      </c>
      <c r="C93" s="24" t="s">
        <v>5</v>
      </c>
      <c r="D93" s="40">
        <v>15705830</v>
      </c>
      <c r="E93" s="54"/>
      <c r="F93" s="34"/>
      <c r="G93" s="36">
        <v>448865</v>
      </c>
    </row>
    <row r="94" spans="1:8" ht="30">
      <c r="A94" s="22">
        <v>150101</v>
      </c>
      <c r="B94" s="23" t="s">
        <v>2</v>
      </c>
      <c r="C94" s="24" t="s">
        <v>39</v>
      </c>
      <c r="D94" s="40">
        <v>3995810</v>
      </c>
      <c r="E94" s="54">
        <f>100-(F94/D94)*100</f>
        <v>98.583932919733414</v>
      </c>
      <c r="F94" s="34">
        <f>D94-1500000-750000-84291.9-197702.92-523886.83-439145-G94</f>
        <v>56583.350000000093</v>
      </c>
      <c r="G94" s="36">
        <v>444200</v>
      </c>
    </row>
    <row r="95" spans="1:8" ht="30">
      <c r="A95" s="31">
        <v>150101</v>
      </c>
      <c r="B95" s="23" t="s">
        <v>2</v>
      </c>
      <c r="C95" s="24" t="s">
        <v>38</v>
      </c>
      <c r="D95" s="25">
        <v>8469431</v>
      </c>
      <c r="E95" s="56">
        <f>100-(F95/D95)*100</f>
        <v>46.53191341897702</v>
      </c>
      <c r="F95" s="32">
        <f>SUM(D95-1500000-1125399-428348.3-479307-G95-30728)</f>
        <v>4528442.7</v>
      </c>
      <c r="G95" s="51">
        <v>377206</v>
      </c>
    </row>
    <row r="96" spans="1:8" ht="30">
      <c r="A96" s="31">
        <v>150101</v>
      </c>
      <c r="B96" s="23" t="s">
        <v>2</v>
      </c>
      <c r="C96" s="24" t="s">
        <v>72</v>
      </c>
      <c r="D96" s="25">
        <v>13422629</v>
      </c>
      <c r="E96" s="54">
        <f t="shared" ref="E96" si="17">100-(F96/D96)*100</f>
        <v>24.119201983456435</v>
      </c>
      <c r="F96" s="36">
        <f>D96-2237431-G96</f>
        <v>10185198</v>
      </c>
      <c r="G96" s="51">
        <v>1000000</v>
      </c>
    </row>
    <row r="97" spans="1:8" ht="15">
      <c r="A97" s="31">
        <v>150101</v>
      </c>
      <c r="B97" s="23" t="s">
        <v>2</v>
      </c>
      <c r="C97" s="24" t="s">
        <v>37</v>
      </c>
      <c r="D97" s="25">
        <v>111871779</v>
      </c>
      <c r="E97" s="56">
        <f>100-(F97/D97)*100</f>
        <v>94.479041045731464</v>
      </c>
      <c r="F97" s="32">
        <f>D97-103695384-G97</f>
        <v>6176395</v>
      </c>
      <c r="G97" s="51">
        <v>2000000</v>
      </c>
    </row>
    <row r="98" spans="1:8" ht="45">
      <c r="A98" s="31">
        <v>150101</v>
      </c>
      <c r="B98" s="23" t="s">
        <v>2</v>
      </c>
      <c r="C98" s="37" t="s">
        <v>61</v>
      </c>
      <c r="D98" s="40">
        <v>31254782</v>
      </c>
      <c r="E98" s="54">
        <f>100-(F98/D98)*100</f>
        <v>70.940971528772792</v>
      </c>
      <c r="F98" s="34">
        <f>D98-G98-309354-22553</f>
        <v>9082336</v>
      </c>
      <c r="G98" s="36">
        <f>9000000+13460354-228700+108885-500000</f>
        <v>21840539</v>
      </c>
    </row>
    <row r="99" spans="1:8" ht="30">
      <c r="A99" s="31">
        <v>150101</v>
      </c>
      <c r="B99" s="23" t="s">
        <v>2</v>
      </c>
      <c r="C99" s="24" t="s">
        <v>4</v>
      </c>
      <c r="D99" s="34">
        <v>8185995</v>
      </c>
      <c r="E99" s="56">
        <f>100-(F99/D99)*100</f>
        <v>7.533696270276252</v>
      </c>
      <c r="F99" s="32">
        <f>SUM(D99-G99-2652-556)</f>
        <v>7569287</v>
      </c>
      <c r="G99" s="51">
        <v>613500</v>
      </c>
    </row>
    <row r="100" spans="1:8" s="8" customFormat="1" ht="45">
      <c r="A100" s="39">
        <v>150101</v>
      </c>
      <c r="B100" s="33" t="s">
        <v>2</v>
      </c>
      <c r="C100" s="57" t="s">
        <v>112</v>
      </c>
      <c r="D100" s="40">
        <v>355000</v>
      </c>
      <c r="E100" s="54">
        <f>100-(F100/D100)*100</f>
        <v>83.408450704225345</v>
      </c>
      <c r="F100" s="34">
        <f>D100-G100</f>
        <v>58900</v>
      </c>
      <c r="G100" s="36">
        <v>296100</v>
      </c>
    </row>
    <row r="101" spans="1:8" ht="30">
      <c r="A101" s="31">
        <v>150101</v>
      </c>
      <c r="B101" s="23" t="s">
        <v>2</v>
      </c>
      <c r="C101" s="23" t="s">
        <v>73</v>
      </c>
      <c r="D101" s="32">
        <v>42179107</v>
      </c>
      <c r="E101" s="50">
        <f t="shared" ref="E101" si="18">100-(F101/D101)*100</f>
        <v>1.5988674203083519</v>
      </c>
      <c r="F101" s="32">
        <f>D101-296388-G101</f>
        <v>41504719</v>
      </c>
      <c r="G101" s="25">
        <v>378000</v>
      </c>
    </row>
    <row r="102" spans="1:8" ht="15.75">
      <c r="A102" s="26" t="s">
        <v>26</v>
      </c>
      <c r="B102" s="27" t="s">
        <v>27</v>
      </c>
      <c r="C102" s="22"/>
      <c r="D102" s="29">
        <f>SUM(D103)</f>
        <v>15272815</v>
      </c>
      <c r="E102" s="47"/>
      <c r="F102" s="29">
        <f>SUM(F103)</f>
        <v>10433539</v>
      </c>
      <c r="G102" s="29">
        <f>SUM(G103)</f>
        <v>800000</v>
      </c>
    </row>
    <row r="103" spans="1:8" ht="30">
      <c r="A103" s="22">
        <v>150101</v>
      </c>
      <c r="B103" s="23" t="s">
        <v>2</v>
      </c>
      <c r="C103" s="23" t="s">
        <v>28</v>
      </c>
      <c r="D103" s="32">
        <v>15272815</v>
      </c>
      <c r="E103" s="50">
        <f>100-(F103/D103)*100</f>
        <v>31.685553710956356</v>
      </c>
      <c r="F103" s="34">
        <f>11233539-G103</f>
        <v>10433539</v>
      </c>
      <c r="G103" s="25">
        <v>800000</v>
      </c>
    </row>
    <row r="104" spans="1:8" ht="15.75">
      <c r="A104" s="58"/>
      <c r="B104" s="59"/>
      <c r="C104" s="27" t="s">
        <v>29</v>
      </c>
      <c r="D104" s="29">
        <f>D15+D24+D38+D45+D66+D84+D102+D12</f>
        <v>5665010744</v>
      </c>
      <c r="E104" s="29"/>
      <c r="F104" s="29">
        <f>F15+F24+F38+F45+F66+F84+F102+F12</f>
        <v>3933848773.0499997</v>
      </c>
      <c r="G104" s="29">
        <f>G15+G24+G38+G45+G66+G84+G102+G12</f>
        <v>355818175</v>
      </c>
    </row>
    <row r="105" spans="1:8" ht="18">
      <c r="A105" s="61"/>
      <c r="B105" s="61"/>
      <c r="C105" s="10"/>
      <c r="D105" s="11"/>
      <c r="E105" s="62"/>
      <c r="F105" s="63"/>
      <c r="G105" s="12"/>
    </row>
    <row r="106" spans="1:8" ht="20.25">
      <c r="A106" s="13"/>
      <c r="B106" s="64" t="s">
        <v>120</v>
      </c>
      <c r="C106" s="64"/>
      <c r="D106" s="14"/>
      <c r="E106" s="65" t="s">
        <v>47</v>
      </c>
      <c r="F106" s="65"/>
      <c r="G106" s="15"/>
      <c r="H106" s="7"/>
    </row>
    <row r="107" spans="1:8">
      <c r="A107" s="60"/>
      <c r="B107" s="60"/>
      <c r="G107" s="7"/>
    </row>
    <row r="108" spans="1:8">
      <c r="A108" s="60"/>
      <c r="B108" s="60"/>
      <c r="G108" s="7"/>
      <c r="H108" s="7"/>
    </row>
    <row r="109" spans="1:8">
      <c r="A109" s="16"/>
      <c r="G109" s="7"/>
    </row>
    <row r="110" spans="1:8">
      <c r="G110" s="7"/>
    </row>
    <row r="111" spans="1:8">
      <c r="G111" s="7"/>
    </row>
  </sheetData>
  <mergeCells count="15">
    <mergeCell ref="E1:G1"/>
    <mergeCell ref="E2:G2"/>
    <mergeCell ref="E3:G3"/>
    <mergeCell ref="A6:G6"/>
    <mergeCell ref="C9:C10"/>
    <mergeCell ref="D9:D10"/>
    <mergeCell ref="E9:E10"/>
    <mergeCell ref="F9:F10"/>
    <mergeCell ref="G9:G10"/>
    <mergeCell ref="A107:B107"/>
    <mergeCell ref="A108:B108"/>
    <mergeCell ref="A105:B105"/>
    <mergeCell ref="E105:F105"/>
    <mergeCell ref="B106:C106"/>
    <mergeCell ref="E106:F106"/>
  </mergeCells>
  <pageMargins left="0.59055118110236227" right="0.59055118110236227" top="0.78740157480314965" bottom="0.39370078740157483" header="0" footer="0"/>
  <pageSetup paperSize="9" scale="60"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БР+кап</vt:lpstr>
      <vt:lpstr>'БР+кап'!Заголовки_для_печати</vt:lpstr>
      <vt:lpstr>'БР+кап'!Область_печати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2011-02-01T13:36:55Z</dcterms:modified>
</cp:coreProperties>
</file>