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15" windowWidth="19245" windowHeight="6060" activeTab="0"/>
  </bookViews>
  <sheets>
    <sheet name="Додаток 2" sheetId="1" r:id="rId1"/>
  </sheets>
  <definedNames>
    <definedName name="_xlnm.Print_Titles" localSheetId="0">'Додаток 2'!$8:$8</definedName>
    <definedName name="_xlnm.Print_Area" localSheetId="0">'Додаток 2'!$A$1:$I$199</definedName>
  </definedNames>
  <calcPr fullCalcOnLoad="1"/>
</workbook>
</file>

<file path=xl/comments1.xml><?xml version="1.0" encoding="utf-8"?>
<comments xmlns="http://schemas.openxmlformats.org/spreadsheetml/2006/main">
  <authors>
    <author>Автор</author>
  </authors>
  <commentList>
    <comment ref="A4" authorId="0">
      <text>
        <r>
          <rPr>
            <b/>
            <sz val="9"/>
            <rFont val="Tahoma"/>
            <family val="2"/>
          </rPr>
          <t xml:space="preserve">Автор:
</t>
        </r>
      </text>
    </comment>
  </commentList>
</comments>
</file>

<file path=xl/sharedStrings.xml><?xml version="1.0" encoding="utf-8"?>
<sst xmlns="http://schemas.openxmlformats.org/spreadsheetml/2006/main" count="541" uniqueCount="304">
  <si>
    <t>Назва об'єктів відповідно до проектно-кошторисної документації, тощо</t>
  </si>
  <si>
    <t>Капітальні вкладення</t>
  </si>
  <si>
    <t>Будівництво автотранспортної магістралі через р. Дніпро у м. Запоріжжі</t>
  </si>
  <si>
    <t>083</t>
  </si>
  <si>
    <t>080</t>
  </si>
  <si>
    <t>Гуртожиток по вул. Жуковського, 68 - реконструкція</t>
  </si>
  <si>
    <t>Гуртожиток по вул. Шаумяна, 3 - реконструкція</t>
  </si>
  <si>
    <t>020</t>
  </si>
  <si>
    <t>Ліквідація аварійного стану будівлі навчально-виховного комплексу № 19 по вул. Військбуд, 13 Шевченківського району (проектні та будівельні роботи)</t>
  </si>
  <si>
    <t>Реконструкція приміщень загальноосвітньої школи І-ІІІ ступенів  № 109  по вул. Дніпровські пороги, 29 Ленінського району під дошкільний навчальний заклад</t>
  </si>
  <si>
    <t>Будівля навчального комплексу "Запорізька Січ" о.Хортиця, м.Запоріжжя - реконструкція</t>
  </si>
  <si>
    <t>030</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</si>
  <si>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</si>
  <si>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Комунальна установа «Міська клінічна лікарня екстреної та швидкої медичної допомоги м. Запоріжжя" - реконструкція Лівобережної підстанції швидкої медичної допомоги</t>
  </si>
  <si>
    <t xml:space="preserve">Комунальна установа «Запорізька міська багатопрофільна дитяча лікарня №5» - реконструкція </t>
  </si>
  <si>
    <t xml:space="preserve">Комунальна установа "Пологовий будинок №4" по вул. Дудикіна, м. Запоріжжя - реконструкція електрозабезпечення (проектні та будівельні роботи) </t>
  </si>
  <si>
    <t>Реконструкція відділення мікрохірургії ока комунального закладу "Міська клінічна лікарня № 3", м.Запоріжжя</t>
  </si>
  <si>
    <t>Будівля поліклініки комунальної установи «Запорізька міська багатопрофільна клінічна лікарня №9», м.Запоріжжя - реконструкція</t>
  </si>
  <si>
    <t>110</t>
  </si>
  <si>
    <t>Всього</t>
  </si>
  <si>
    <t>(грн.)</t>
  </si>
  <si>
    <t>Загальний обсяг фінансування будівництва</t>
  </si>
  <si>
    <t>Відсоток завершеності будівництва на майбутні роки</t>
  </si>
  <si>
    <t>Всього видатків на завершення будівництва об'єктів на майбутні роки</t>
  </si>
  <si>
    <t>Газифікація сел. Чапаєвка (проектні та будівельні роботи)</t>
  </si>
  <si>
    <t>Магістральна теплова мережа по вул. Артема, м.Запоріжжя - реконструкція</t>
  </si>
  <si>
    <t>Котельня по вул. Хакаська, 4, м. Запоріжжя - реконструкція вузла гарячого водопостачання із заміною баків-акумуляторів</t>
  </si>
  <si>
    <t xml:space="preserve">Ліквідація аварійного стану житлового будинку по вул.Гудименка,3  блок 1, 2 в м.Запоріжжі </t>
  </si>
  <si>
    <t>Реконструкція приміщень навчально-виховного оздоровчого комплексу № 110 по вул. В. Стешенка, 19,  Комунарського району під позашкільний підрозділ (проектні та будівельні роботи)</t>
  </si>
  <si>
    <t>006</t>
  </si>
  <si>
    <t>Код типової відомчої класифікації видатків місцевих бюджетів</t>
  </si>
  <si>
    <t>Назва головного розпорядника коштів</t>
  </si>
  <si>
    <t>Код тимчасової класифікації та кредитування місцевих бюджетів</t>
  </si>
  <si>
    <t>010116</t>
  </si>
  <si>
    <t>Органи місцевого самоврядування</t>
  </si>
  <si>
    <t>Капітальні видатки</t>
  </si>
  <si>
    <t>Інші видатки</t>
  </si>
  <si>
    <t>070201</t>
  </si>
  <si>
    <t>в тому числі за рахунок</t>
  </si>
  <si>
    <t>субвенції з державного бюджету</t>
  </si>
  <si>
    <t>коштів бюджету міста</t>
  </si>
  <si>
    <t>Будівництво житлового будинку №25 в кварталі по вул. Алмазній у сел. Павло-Кічкас м.Запоріжжя (проектні та будівельні роботи, компенсація за знесення будівель та зелених насаджень)</t>
  </si>
  <si>
    <t>Програма "Світло 2011-2013" реконструкція мереж зовнішнього освітлення</t>
  </si>
  <si>
    <t>Реконструкція вул. Рекордної в районі житлового будинку №39а, м.Запоріжжя (проектні та будівельні роботи)</t>
  </si>
  <si>
    <t xml:space="preserve">Реконструкція, переобладнання та перепланування гуртожитку по вул. Північнокільцевій, 22а під житловий будинок </t>
  </si>
  <si>
    <t>050</t>
  </si>
  <si>
    <t>Реконструкція будівлі міського геріатричного стаціонару по вул. Кузнєцова, 28а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</si>
  <si>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</si>
  <si>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 xml:space="preserve">Будівництво житлового будинку № 10 в мікрорайоні 5 житлового масиву "Південний", м. Запоріжжя (пілотний проект) </t>
  </si>
  <si>
    <t>Реконструкція шляхопроводу через р.Мокра Московка на автошляху Харків-Сімферополь (проектні роботи)</t>
  </si>
  <si>
    <t>Реконструкція автошляхопроводу по вул. Карпенка-Карого (проектні роботи, експертиза)</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</si>
  <si>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будівництво)</t>
  </si>
  <si>
    <t>Ліквідація аварійного стану на дорожній насипі проїзної частини дороги по вул. Перемоги (в р-ні міської лікарні №6) (проектні роботи, будівництво)</t>
  </si>
  <si>
    <t>Ліквідація аварійного стану на в"їзді до 1-го мосту ім.  Преображенського (вул. Тюленіна)</t>
  </si>
  <si>
    <t>Житловий будинок № 2 по вул. Сєдова - реконструкція</t>
  </si>
  <si>
    <t>Житловий будинок по пр. Леніна, 133 м.Запоріжжя - ліквідація аварійного стану надбудови над аркою</t>
  </si>
  <si>
    <t>Житловий будинок №149 по вул. Гоголя  ІІ корпус - реконструкція  нежитлового приміщення в житлове  (проектні роботи)</t>
  </si>
  <si>
    <t>Житловий будинок  № 4 на майдані Профспілок  -реконструкція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</si>
  <si>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</si>
  <si>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</si>
  <si>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</si>
  <si>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080101</t>
  </si>
  <si>
    <t>Лікарні</t>
  </si>
  <si>
    <t>100102</t>
  </si>
  <si>
    <t>Капітальний ремонт житлового фонду</t>
  </si>
  <si>
    <t>Благоустрій міста</t>
  </si>
  <si>
    <t xml:space="preserve">Житловий будинок по вул.Євпаторійській,1 - реконструкція  </t>
  </si>
  <si>
    <t xml:space="preserve">Житловий будинок по вул.Республіканській,88 - реконструкція  </t>
  </si>
  <si>
    <t xml:space="preserve">Житловий будинок по бул. Будівельників, 19 - реконструкція  </t>
  </si>
  <si>
    <t>100203</t>
  </si>
  <si>
    <t xml:space="preserve">Загальноосвітні школи (в т.ч. школа-дитячий садок, інтернат при школі), спеціалізовані школи, ліцеї, гімназії, колегіуми </t>
  </si>
  <si>
    <t>Погашення основної суми боргу за запозиченням у формі VІ випуску облігацій  внутрішньої місцевої позики</t>
  </si>
  <si>
    <t>Реконструкція будівлі дошкільного навчального закладу №144 Комунарського району (проектні та будівельні роботи)</t>
  </si>
  <si>
    <t>Реконструкція будівлі дошкільного навчального закладу №285 по пр. 40-річчя Перемоги,15а,  Комунарського району (проектні та будівельні роботи)</t>
  </si>
  <si>
    <t>080300</t>
  </si>
  <si>
    <t>Поліклініки і амбулаторії (крім спеціалізованих поліклінік та загальних і спеціалізованих стоматологічних поліклінік)</t>
  </si>
  <si>
    <t>081004</t>
  </si>
  <si>
    <t>Централізовані бухгалтерії</t>
  </si>
  <si>
    <t>Придбання житла для багатодітної родини</t>
  </si>
  <si>
    <t>Найменування коду тимчасової класифікації видатків та кредитування місцевих бюджетів</t>
  </si>
  <si>
    <t>Секретар міської ради</t>
  </si>
  <si>
    <t>В.Ф. Кальцев</t>
  </si>
  <si>
    <t>Ліквідація аварійного стану житлового будинку по вул. Ракетній, 38а (проектні та будівельні роботи)</t>
  </si>
  <si>
    <t>Будівництво позаквартальних інженерних систем та споруд по вул. Алмазній (проектні  роботи)</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</si>
  <si>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</si>
  <si>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</si>
  <si>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Реконструкція системи пожежної сигналізації АБК стадіону "Славутич Арена" в м. Запоріжжі (проектні та будівельні роботи)</t>
  </si>
  <si>
    <t>Будівництво системи захисту від техногенної загрози стадіону "Славутич Арена" (проектні та будівельні роботи)</t>
  </si>
  <si>
    <t>Будівництво тротуару від житлового будинку № 16 уздовж житлового будинку № 23-A по вул. Будьонного до магазину "Амстор"</t>
  </si>
  <si>
    <t xml:space="preserve">Внески у статутний фонд комунального підприємства "Центральний стадіон" </t>
  </si>
  <si>
    <t>Реконструкція вул. Рекордної, м. Запоріжжя (проектні та будівельні роботи)</t>
  </si>
  <si>
    <t>Завершення будівництва по вул.Калнишевського, вул. Дорошенко, вул. Рубана (зовнішнє освітлення та дороги)</t>
  </si>
  <si>
    <t>Реконструкція вул. Кірова, Чекістів до Прибрежної магістралі, м. Запоріжжя</t>
  </si>
  <si>
    <t>Реконструкція самопливного каналізаційного колектору від вул. Новгородської до ЦОС-2. Дільниця колектору від вул. Новгородської до дюкера (проектні та будівельні роботи)</t>
  </si>
  <si>
    <t xml:space="preserve">Житловий будинок по бул. Вінтера, 40 - реконструкція  </t>
  </si>
  <si>
    <t xml:space="preserve">Житловий будинок по бул. Вінтера, 50 - реконструкція  </t>
  </si>
  <si>
    <t>Реконструкція будівлі загальноосвітньої школи І-ІІІ ступенів № 75 по вул. Історична, 92 Заводського району в м. Запоріжжі (проектні роботи та експертиза)</t>
  </si>
  <si>
    <t>Магістральна мережа теплопостачання по вул. Новокузнецька житлового масиву "Південний", м.Запоріжжя - реконструкція (другий пусковий комплекс)</t>
  </si>
  <si>
    <t>250404</t>
  </si>
  <si>
    <t>Департамент економічного розвитку Запорізької міської ради</t>
  </si>
  <si>
    <t>Департамент фінансової та бюджетної політики Запорізької міської ради</t>
  </si>
  <si>
    <t>Управління комунального господарства та дорожнього будівництва Запорізької міської ради</t>
  </si>
  <si>
    <t>Будівництво тротуару по вул. Портовій уздовж будинку № 6</t>
  </si>
  <si>
    <t xml:space="preserve">Житловий будинок по вул.Нагнибіди,15 – реконструкція системи тепло-, водопостачання </t>
  </si>
  <si>
    <t>Виконавчий комітет Запорізької міської ради</t>
  </si>
  <si>
    <t>Житлове будівництво та придбання житла для окремих категорій громадян</t>
  </si>
  <si>
    <t>008</t>
  </si>
  <si>
    <t>Управління з питань правового забезпечення роботи галузей міського господарства Запорізької міської ради</t>
  </si>
  <si>
    <t>Департамент освіти і науки, молоді та спорту Запорізької міської ради</t>
  </si>
  <si>
    <t>070101</t>
  </si>
  <si>
    <t>Дошкільні заклади освіти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</si>
  <si>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</si>
  <si>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070401</t>
  </si>
  <si>
    <t>070803</t>
  </si>
  <si>
    <t>Служби технічного нагляду за будівництвом і капітальним ремонтом</t>
  </si>
  <si>
    <t>070804</t>
  </si>
  <si>
    <t>Централізовані бухгалтерії обласних, міських, районних відділів освіти</t>
  </si>
  <si>
    <t>Управління з питань охорони здоров"я Запорізької міської ради</t>
  </si>
  <si>
    <t>Управління соціального захисту населення Запорізької міської ради</t>
  </si>
  <si>
    <t>091204</t>
  </si>
  <si>
    <t>Територіальні центри соціального обслуговування (надання соціальних послуг)</t>
  </si>
  <si>
    <t>Управління з питань попередження надзвичайних ситуацій та цивільного захисту населення Запорізької міської ради</t>
  </si>
  <si>
    <t>Видатки на запобігання та ліквідацію надзвичайних ситуацій та наслідків стихійного лиха</t>
  </si>
  <si>
    <t xml:space="preserve">Управління культури і мистецтв Запорізької міської ради </t>
  </si>
  <si>
    <t>110201</t>
  </si>
  <si>
    <t>Бібліотеки</t>
  </si>
  <si>
    <t>110204</t>
  </si>
  <si>
    <t>Палаци і будинки культури, клуби та інші заклади клубного типу</t>
  </si>
  <si>
    <t>Управління з питань транспортного забезпечення та зв"язку Запорізької міської ради</t>
  </si>
  <si>
    <t>Телебачення і радіомовлення</t>
  </si>
  <si>
    <t>Інспекція з благоустрою Запорізької міської ради</t>
  </si>
  <si>
    <t>Управління  з питань земельних відносин Запорізької міської ради</t>
  </si>
  <si>
    <t>Управління праці та соціального захисту населення Запорізької міської ради</t>
  </si>
  <si>
    <t>070</t>
  </si>
  <si>
    <t>Управління комунального господарства  Запорізької міської ради</t>
  </si>
  <si>
    <t xml:space="preserve"> </t>
  </si>
  <si>
    <t>Аварійні роботи по укріпленню майданчика КНС-38 КП «Водоканал» вул.Верхня, м. Запоріжжя (проектні та будівельні роботи)</t>
  </si>
  <si>
    <t>Реконструкція дороги по вул.Верхній в районі КНС-38 (проектні та будівельні роботи)</t>
  </si>
  <si>
    <t xml:space="preserve">Житловий будинок по вул.Аваліані,1а - реконструкція  </t>
  </si>
  <si>
    <t xml:space="preserve">Реконструкція автодорожнього переїзду по спорудах  ДніпроГЕС у м.Запоріжжя. Ліквідація аварійного стану </t>
  </si>
  <si>
    <t>Реконструкція госпітального відділення КУ "Міська клінічна лікарня №2" м.Запоріжжя (проектні та будівельні роботи)</t>
  </si>
  <si>
    <t>Реконструкція системи водовідведення від житлового будинку по вул. Узбекистанській,1 м.Запоріжжя</t>
  </si>
  <si>
    <t>Реконструкція будівлі дошкільного навчального закладу №294 по вул. Лассаля, 52а Заводського району, м.Запоріжжя (проектні роботи)</t>
  </si>
  <si>
    <t>Будівництво інженерних мереж до льодової арени по вул. Космічній, м.Запоріжжя (проектні роботи)</t>
  </si>
  <si>
    <t>Реконструкція вул. Бородинської - вул. Ленської (проектні роботи)</t>
  </si>
  <si>
    <t>130107</t>
  </si>
  <si>
    <t>Утримання та навчально-тренувальна робота дитячо-юнацьких спортивних шкіл</t>
  </si>
  <si>
    <t>080203</t>
  </si>
  <si>
    <t>Пологові будинки</t>
  </si>
  <si>
    <t>Реконструкція вул. Рекордної від вул. Портова до вул. Алюмінева (проектні роботи)</t>
  </si>
  <si>
    <t xml:space="preserve">Системи теплопостачання житлових будинків по вул. Виборзька, Гостинна, Єнісейська в м.Запоріжжя - реконструкція </t>
  </si>
  <si>
    <t xml:space="preserve">Будівництво І черги та введення в експлуатацію Кушугумського кладовища </t>
  </si>
  <si>
    <t>Будівництво водоводу Д=315 мм по вул. Сапожнікова, м.Запоріжжя</t>
  </si>
  <si>
    <t>Котельня по вул. Панфьорова, 146а - технічне переоснащення</t>
  </si>
  <si>
    <t>Будівництво світлофорного об"єкту вул. Хортицьке шосе - Нікопольський поворот - виїзд з 17 мікрорайону  (проектні та будівельні роботи)</t>
  </si>
  <si>
    <r>
      <t>Будівля поліклініки комунальної установи «Запорізька міська багатопрофільна клінічна лікарня №9» (реконструкція)</t>
    </r>
    <r>
      <rPr>
        <b/>
        <sz val="14"/>
        <rFont val="Times New Roman"/>
        <family val="1"/>
      </rPr>
      <t xml:space="preserve"> -  за рахунок субвенції з державного бюджету місцевим бюджетам на соціально-економічний розвиток</t>
    </r>
  </si>
  <si>
    <t>Реконструкція комунального закладу "Амбулаторія сімейного лікаря з вбудованою двохкімнатною квартирою у селищі Тепличне в Шевченківському районі м. Запоріжжя" (проектні роботи)</t>
  </si>
  <si>
    <t>Реконструкція зовнішнього освітлення території від Прибрежної магістралі до вул. Яценка (в районі міської лікарні №5), в м.Запоріжжі</t>
  </si>
  <si>
    <t>Реконструкція парку "Перемоги" (проектні та будівельні роботи)</t>
  </si>
  <si>
    <t>Районна адміністрація Запорізької міської ради по Жовтневому району</t>
  </si>
  <si>
    <t>Благоустрій міст, сіл, селищ</t>
  </si>
  <si>
    <t>110102</t>
  </si>
  <si>
    <t>Театри</t>
  </si>
  <si>
    <t>Департамент житлового господарства  та розподілу житлової площі Запорізької міської ради</t>
  </si>
  <si>
    <t>Реконструкція приміщень управління праці та соціального захисту населення Запорізької міської ради по Хортицькому району  за адресою: вул.Лахтинська, 4-Б (проектні та будівельні роботи)</t>
  </si>
  <si>
    <t>Реконструкція полотна трамвайного переїзду вул. Іванова - просп. Моторобудівників - вул. 8 Березня у Шевченківському районі м.Запоріжжя</t>
  </si>
  <si>
    <t xml:space="preserve">Реконструкція бульвару Будівельників в Хортицькому районі, м.Запоріжжя </t>
  </si>
  <si>
    <t>Управління  земельних ресурсів Запорізької міської ради</t>
  </si>
  <si>
    <t>Житловий будинок по вул. Гаврилова, 3 м.Запоріжжя -  реконструкція системи димовидалення та пожежогасіння</t>
  </si>
  <si>
    <t>Реконструкція стадіону по вул. Валерія Лобановського (погашення заборгованості за минулі роки)</t>
  </si>
  <si>
    <t>Районна адміністрація Запорізької міської ради по Ленінському району</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</si>
  <si>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</si>
  <si>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</si>
  <si>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</si>
  <si>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</si>
  <si>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</si>
  <si>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Управління реєстрації та єдиного реєстру Запорізької міської ради</t>
  </si>
  <si>
    <t>Реконструкція світлофорного об"єкту на перехресті пр.Юбілейний - вул. Лахтинська</t>
  </si>
  <si>
    <t>Будівництво світлофорного об"єкту на перехресті вул. Грязнова - вул. Артема (проектні роботи)</t>
  </si>
  <si>
    <t>Житловий будинок №149 по вул. Гоголя  ІІ корпус - реконструкція  нежитлового приміщення в житлове  (будівельні роботи)</t>
  </si>
  <si>
    <t>Реконструкція хлораторної  ДВС-2, м.Запоріжжя</t>
  </si>
  <si>
    <t>співфінансування за рахунок коштів бюджету міста</t>
  </si>
  <si>
    <t xml:space="preserve">Ліквідація аварійного стану автодороги, зливової та побутової каналізації по вул. М.Судця, м. Запоріжжя </t>
  </si>
  <si>
    <t>Реконструкція приміщень будівлі по вул. 40 років Радянської України, 41а (проектно-вишукувальні роботи та експертиза проекту)</t>
  </si>
  <si>
    <t>субвенції з державного бюджету місцевим бюджетам на реалізацію пріоритетів розвитку регіонів</t>
  </si>
  <si>
    <t xml:space="preserve">Управління розвитку підприємництва та дозвільних послуг Запорізької міської ради </t>
  </si>
  <si>
    <t>100</t>
  </si>
  <si>
    <r>
      <t xml:space="preserve">Комунальна установа «Міська клінічна лікарня екстреної та швидкої медичної допомоги м. Запоріжжя" (реконструкція травматологічного відділення)  -  за рахунок </t>
    </r>
    <r>
      <rPr>
        <b/>
        <sz val="14"/>
        <rFont val="Times New Roman"/>
        <family val="1"/>
      </rPr>
      <t>субвенції з державного бюджету місцевим бюджетам на соціально-економічний розвиток</t>
    </r>
  </si>
  <si>
    <t>Житловий будинок по вул. Ленській, 1б - реконструкція системи теплопостачання</t>
  </si>
  <si>
    <t>Реконструкція гуртожитку по вул. Цегельній, 13 в м.Запоріжжя під житловий будинок</t>
  </si>
  <si>
    <t>081</t>
  </si>
  <si>
    <t>Департамент комунальної власності та приватизації Запорізької міської ради</t>
  </si>
  <si>
    <t>Житлові будинки по вул. Нижньодніпровській, 14, 16, 18, по бул. Гвардійському, 145а, 147а, 151, 153 - реконструкція системи холодного та гарячого водопостачання</t>
  </si>
  <si>
    <t>Затверджені видатки на 2011 рік</t>
  </si>
  <si>
    <t>Профінансовано станом на 01.01.2012</t>
  </si>
  <si>
    <t>Перелік першочергових об'єктів, видатки на які у 2011 році  проводилися за рахунок коштів бюджету розвитку міста</t>
  </si>
  <si>
    <t>Для роботи дозвільного центру було придбано оргтехніку, меблі, внутрішня та зовнішня вивіски, інформаційні стенди</t>
  </si>
  <si>
    <t>Виконано реконструкцію мереж зовнішнього освітлення на 68 об'єктах: замінено 2096 од. морально і фізично застарілих світильників на нові енергозберігаючі з натрієвими лампами, прокладено 50,358 км самонесучого проводу</t>
  </si>
  <si>
    <t>Погашено заборгованість минулих років</t>
  </si>
  <si>
    <t>Влаштовано 14 транспортних та 10 пішохідних світлофорів (пішохідні світлофори з табло відліку часу), 750 м контрольного кабелю, встановлено 42 дорожніх знака</t>
  </si>
  <si>
    <t>Придбано комп'ютерну техніку (комп'ютер 3шт., принтер 2шт., багатофункціональний пристрій 1шт.)</t>
  </si>
  <si>
    <t>Фінансування не здійснювалось</t>
  </si>
  <si>
    <t>Проведено капітальний ремонт покрівлі площею 2088 кв.м</t>
  </si>
  <si>
    <t>Придбано комп'ютерну техніку (комп'ютер 3шт., монітор 2шт., багатофункціональний пристрій 6 шт.)</t>
  </si>
  <si>
    <t>Житловий будинок по вул. Радгоспній, 59-б,                        м.Запоріжжя - реконструкція (проектні та будівельні роботи)</t>
  </si>
  <si>
    <t>Проведено капітальний ремонт дитячого відділення КУ"Центральна поліклініка Жовтневого району" площею 290 кв.м</t>
  </si>
  <si>
    <t>Виконано проектні роботи</t>
  </si>
  <si>
    <t>Виконані проектні роботи</t>
  </si>
  <si>
    <t>Відновлено 63 паркових опори та встановлено 5 світильників.</t>
  </si>
  <si>
    <t>Здійснено реконструкцію підпірної стіни - 21 м3, вимощення - 300 м2</t>
  </si>
  <si>
    <t>Здійснено закупівлю обладнання (електрокотел 8 шт., електронні  лічильники - 8 шт .)</t>
  </si>
  <si>
    <t>Виконано утеплення фасаду – 622 м2 та проектні роботи</t>
  </si>
  <si>
    <t>Здійснено ремонт покрівлі - 1258 м2, герметизацію швів – 2215 м.п., стінових огорож – 262 м2, холодного водопостачання - 237 м.п., гарячого водопостачання – 254м.п. та каналізації – 65 м.п.</t>
  </si>
  <si>
    <t>Здійснено ремонт 2 квартир, 86 м.п електромереж, встановлено 35 електросвітильників</t>
  </si>
  <si>
    <t>Здійснено ремонт покрівлі – 860 м2, балконів -15 шт., холодного водопостачання - 129 м.п., гарячого водопостачання - 111 м.п. та  опалення - 128 м.п.</t>
  </si>
  <si>
    <t>Придбано комп"ютерне обладнання для системи відеоспостереження</t>
  </si>
  <si>
    <t>Виконано перевлаштування вікон 99 м2</t>
  </si>
  <si>
    <t>Проведені електричні роботи, а саме: замінено провід електричний - 650 м, 28 світильників, 12 вимикачів, автоматичний вимикач, трансформатор 36В, трубу 504 м</t>
  </si>
  <si>
    <t>Підготовлена доріжка для  тротуару  285м2, підготовлена бетонна стяжка для тіньового навісу 16 м2, встановлено ганок та огорожу</t>
  </si>
  <si>
    <t>Виконано внутрішню обробку приміщень з урахуванням заміни покриття та заміни мереж електричного постачання</t>
  </si>
  <si>
    <t>По КУ "Пологовий будинок №9" придбано установку фототерапії для лікування жовтухи у новонароджених дітей та 2 кондиціонери для пологового відділення.</t>
  </si>
  <si>
    <t>Здійснено реконструкцію навісу для санітарного транспорту під неопалювальний гараж з металевими воротами площею 150 кв.м на 6 авто, виконано заміну асфальтового покриття 175 кв.м</t>
  </si>
  <si>
    <t>Здійснено заміну внутрішньої системи електропостачання на 1-4 поверхах</t>
  </si>
  <si>
    <t>Виконані проектно-будівельні монтажні роботи та топографічні роботи</t>
  </si>
  <si>
    <t>Здійснено ремонт приміщення 1 поверху за адресою: вул. Сєдова,5; придбано кондиціонери, освітлювальну апаратуру, обладнання електроакустичні акумулятори сервер, компьютери для монтажу</t>
  </si>
  <si>
    <t>Придбано 3 комп"ютери, 4 архівні стелажі та ксерокс.</t>
  </si>
  <si>
    <t>Придбано обладнання - комутатор та інтерфейсний модуль</t>
  </si>
  <si>
    <t>Придбано комп"ютер</t>
  </si>
  <si>
    <t>Здійснено реконструкція системи пожежної сигналізації АБК стадіону "Славутич Арена"</t>
  </si>
  <si>
    <t>Здійснено поповнення бібліотечних фондів (придбання книг у кількості 2400 примірників), придбано ноутбук, проектор, цифрову камеру та персональний комп"ютер.</t>
  </si>
  <si>
    <t>Здійснено реконструкцію 3 палат, замінено сантехніку та інженерні комунікації</t>
  </si>
  <si>
    <t>Виконано проектні роботи по ремонту електромереж</t>
  </si>
  <si>
    <t xml:space="preserve">Придбано 2 комп"ютери, електром"ясорубку </t>
  </si>
  <si>
    <t>Виконано герметизацію швів стінових панелей, влаштовано підпірну стінку</t>
  </si>
  <si>
    <t xml:space="preserve">Додаток 2 </t>
  </si>
  <si>
    <t>Виконано будівельні роботи по 1-му етапу, електромонтажні роботи</t>
  </si>
  <si>
    <t>Підключено до системи опалення 13 житлових будинки 8-го селища, придбано та змонтовано 3 міні-блочні котельні.</t>
  </si>
  <si>
    <t>Проведено експертизу проекту, здійснено компенсаційні виплати за знесення зелених насаджень</t>
  </si>
  <si>
    <t xml:space="preserve">Проведено експертизу проекту </t>
  </si>
  <si>
    <t>Результативність впроваджених заходів (в кількісних та якісних показниках)</t>
  </si>
  <si>
    <t>Погашено основну суму боргу за запозиченням у формі VІ випуску облігацій  внутрішньої місцевої позики</t>
  </si>
  <si>
    <t>Завершено роботи з реконструкції теплової мережі довжиною 176 п.м. по вул. Артема</t>
  </si>
  <si>
    <t>Здійснено видатки на проведення авторського нагляду за проектом</t>
  </si>
  <si>
    <t xml:space="preserve">Для роботи управління придбано сім персональних комп'ютерів             </t>
  </si>
  <si>
    <t>Виконано проектні роботи та експертизу проекту на 4 об'єктах капітального ремонту доріг приватного сектору (вулиці Новочеркаська, Двінська, Піонерська, Учнівська). Встановлено 17 дорожніх знаків. Проведено видалення та посадку дерев і чагарників - 643 од. Відновлено 50 намогильних споруд, які були зруйновані внаслідок актів вандалізму. Проведено капітальний ремонт малої архітектурної форми «Веселка» в Ландшафтному парку «Вознесенівський», влаштовано майданчик в парку «Перемоги» - 454,5 м2, відремонтовано мармурові плити пам’ятника «Авіаторам загиблим у роки війни» - 88,33 м2. Погашено заборгованість минулих років по роботах з благоустрою міста на суму 146450,02 грн.</t>
  </si>
  <si>
    <t xml:space="preserve">Виконано проектні роботи, проведено експертизу проекту </t>
  </si>
  <si>
    <t>Ліквідовано аварійний стан автодороги по вул. М.Судця в Хортицькому районі, здійснено перевлаштування зливової каналізації - 190 п.м. та  побутової каналізації -  21 п.м.</t>
  </si>
  <si>
    <t>Виконано реконструкцію вулиці довжиною 85 п.м.</t>
  </si>
  <si>
    <t xml:space="preserve">Виконано аварійні роботи по укріпленню майданчика КНС-38.  Здійснено засипку ґрунту V=3879 м3. Об"єкт введено в експлуатацію. </t>
  </si>
  <si>
    <t>Виконано реконструкцію дороги,  тротуару 145,6 м2,  зливової каналізації - 30 п.м., асфальтобетонного покриття - 537,4 м2.</t>
  </si>
  <si>
    <t xml:space="preserve">Здійснено капітальний ремонт 48 жилих будинків, капітальний ремонт 65,040 тис.кв.м покрівлі, капітальний ремонт 118 ліфтів, здійснено заміну інженерних мереж водо- та теплопостачання - 3,182 тис. п.м., здійснено капітальний ремонт ОСББ - 5 будинків, здійснено капітальний ремонт 99 будинків  ЖБК </t>
  </si>
  <si>
    <t>Виконано підсилення несучих конструкцій тяжами, здійснено ремонт у 4 квартирах, виготовлено проектну документацію, інструментальне спостереження НДІБК</t>
  </si>
  <si>
    <t>Виконано штукатурні роботи  – 258 м2,    облицювання стін – 392 м2, встановлено вікна 23,3 м2, проведено гаряче водопостачання - 35,9 м.п. та холодне водопостачання  – 71 м.п.</t>
  </si>
  <si>
    <t>Виконано влаштування перекриття - 270м2, проведено електропостачання -  70 м.п.</t>
  </si>
  <si>
    <t xml:space="preserve">Заміна холодного водопостачання - 25,5 м.п., заміна запірної арматури - 16 од., насосів цінтробіжних - 2 шт., теплолічильників з електронним регулятором - 2 шт. </t>
  </si>
  <si>
    <t xml:space="preserve">Здійснено капітальний ремонт архівосховища та покрівлі будівлі виконкому. Придбано стелажі для архіву та меблі, системи відеоспостереження, кондиціонери, комп"ютерну та копіювально - розмножувальну техніку. </t>
  </si>
  <si>
    <t xml:space="preserve">Придбано трикімнатну квартиру для багатодітної родини </t>
  </si>
  <si>
    <t>Придбано переносні ворота та  спортивний інвентар для тренувань</t>
  </si>
  <si>
    <t xml:space="preserve">Проведено капітальний ремонт будівлі ДНЗ №127 в Ленінському районі </t>
  </si>
  <si>
    <t>Виконано капітальні ремонти  приміщень дошкільних закладів міста</t>
  </si>
  <si>
    <t>Проведено капітальні ремонти загальноосвітніх закладів міста</t>
  </si>
  <si>
    <t xml:space="preserve">Виконано капітальні ремонти позашкільних закладів освіти </t>
  </si>
  <si>
    <t>Проведено капітальний ремонт будівлі міського Палацу дитячої та юнацької творчості</t>
  </si>
  <si>
    <t>Проведено капітальний ремонт будівлі загальноосвітніх закладів №42,49,47,81,97 та гімназії №2</t>
  </si>
  <si>
    <t>Придбано кондиціонер та жалюзі для служби технічного нагляду</t>
  </si>
  <si>
    <t xml:space="preserve">Виконані проектні роботи, проведено експертизу проекту </t>
  </si>
  <si>
    <t>Придбано 16 шт. медичного обладнання, медичні меблі, побутову техніку, автомобіль; по КУ "Запорізька міська багатопрофільна клінічна лікарня №9" проведено капітальний ремонт покрівлі кардіологічного та травматологічного корпусів, по КУ„Міська лікарня №8” проведено капітальний ремонт котельні та мережі гарячого водопостачання, по КУ„Центральна лікарня Орджонікідзевського району” проведено капітальний ремонт мереж пожежно-питного водоводу та трубопроводу гарячої води, капітальний ремонт зовнішніх мереж опалення та гарячого водопостачання, по КУ“Запорізька міська багатопрофільна дитяча лікарня №5”  проведено капітальний ремонт зливової каналізації, киснепровода, ліфтів, навісу</t>
  </si>
  <si>
    <t>Придбано 18 шт. медичного обладнання, побутову техніку, комп'ютер, меблі медичні; по КУ“Центральна поліклініка №1 Хортицького району” проведено капітальний ремонт мереж холодної та гарячої води, по  КУ„Центральна поліклініка Жовтневого району” проведено капітальний ремонт покрівлі рентгенкабінету, по КУ"Центральна районна поліклініка Шевченківського району" проведена аварійна заміна труби подачі холодної води, по КУ "Міська дитяча клінічна поліклініка №2" проведено кап.ремонт даху корпусу денного стаціонару, заміну вікон на другому поверсі, по Дитячій поліклініці №3 проведено ремонт покрівлі</t>
  </si>
  <si>
    <t>Виконано заміну вікон - 352 кв.м, дверей -  210 кв.м, підлоги - 996 кв.м, гіпсокартонні стелі - 300 кв.м</t>
  </si>
  <si>
    <t xml:space="preserve">Виконано повну реконструкцію відділення - 765 кв.м. Об"єкт введено в експлуатацію. </t>
  </si>
  <si>
    <t>Виконано внутрішньо-оздоблювальні роботи приміщень на 1-му та 3-му поверхах, здійснено заміну проступей на сходових маршах</t>
  </si>
  <si>
    <t>Виконано проектні роботи, будівельно - монтажні роботи з установкою перегородок</t>
  </si>
  <si>
    <t>Придбано комп"ютери та оргтехніку для районних відділів соціального захисту</t>
  </si>
  <si>
    <t xml:space="preserve">Придбано театральні костюми </t>
  </si>
  <si>
    <t>Було придбано: комп"ютери - 9 шт., ноутбук - 1 шт., принтери - 2 шт., сканер - 1 шт., копіювальний апарат для великих об"ємів - 1 шт., кондиціонери - 2 шт., комплект меблів для кабінету керівника - 1шт.</t>
  </si>
  <si>
    <t xml:space="preserve">Здійснено заходи з запобігання та ліквідації надзвичайних ситуацій та наслідків стихійного лиха </t>
  </si>
  <si>
    <t>Придбано 10 комп"ютерів,  МФУ та  міні АТС</t>
  </si>
  <si>
    <t xml:space="preserve">Підключено до мережі газопостачання вулиці Єйська, Приозерна, Кабардинська сел. Чапаєвка. Введено в експлуатацію газопровід довжиною 2195 п.м. </t>
  </si>
  <si>
    <t>Виконувалось будівництво опор, будівництво пілону, монтаж збірних залізобетонних балок , виконано  винесення інженерних комунікацій, бетонування плити проїзної частини мосту</t>
  </si>
  <si>
    <t>Придбано комп"ютер  та МФУ</t>
  </si>
  <si>
    <t>Виконано монтаж контрольно-вимірювального обладнання, антикорозійний захист внутрішньої поверхні баків №1, №2 котельні по вул. Хакаська</t>
  </si>
  <si>
    <t>Будівництво дорожнього полотна провулку Ставропольського (проектні та будівельні роботи)</t>
  </si>
  <si>
    <t>Збудовано тротуар довжиною 312,2 п.м. В Хортицькому районі. Об'єкт введено в експлуатацію.</t>
  </si>
  <si>
    <t>Збудовано тротуар довжиною 122,2 п.м. в Ленінському районі. Об'єкт введено в експлуатацію.</t>
  </si>
  <si>
    <t>Виконано проектні роботи, проведено експертизу проекту . Здійснено укладку 751,4 м2 плитки, влаштовано асфальтове покриття на переїзді 1436,6 м2 та на тротуарі - 111,4 м2</t>
  </si>
  <si>
    <t>Придбано спеціальну техніку для: КП "ЕЛУАШ" - асфальтобетонна установка малої потужності 56 т/год; рукавний фільтр для асфальтобетонної установки; підмітально-прибиральна машина Джонсон VТ -650 на шасі МАЗ-5551; КРБП "Зеленбуд" - трактор МТЗ-80 з снігоочисним обладнанням; поливо-мийна автомашина МДКЗ-10; КП "Запоріжміськсвітло" - УАЗ Hunter -            7 од.</t>
  </si>
  <si>
    <t>Виконано заміну вводів холодного водопостачання - 43 м.п., мережі опалення – 85 м.п., каналізаційні випуски – 34 м.п., здійснено ремонт 4 квартир, проведено  благоустрій території - 147 м кв.</t>
  </si>
  <si>
    <t xml:space="preserve">Проведено земляні роботи – 30 м3, здійснено реконструкцію холодного водопостачання -  866,5 м.п., встановлено 14 приладів обліку холодного водопостачання, здійснено ізоляцію трубопроводів – 866,5 м.п. </t>
  </si>
  <si>
    <t xml:space="preserve">Виконано укладку 18,57 м3 цегляної кладки для зовнішніх сходів </t>
  </si>
  <si>
    <t>Здійснено реконструкцію душевих кімнат-16 шт, ремонт 2 під"їздів з заміною вікон, здійснено реконструкцію системи електропостачання, встановлено 192 квартирних електроних лічильника.</t>
  </si>
  <si>
    <t>Здійснено ремонт покрівлі – 1151 м2, козирків - 66,5 м2, герметизацію швів – 3189 м.п., холодне водопостачання – 130 м.п.</t>
  </si>
  <si>
    <t>Здійснено реконструкцію 4 ганків,  мереж електропостачання - 680 м.п., каналізації - 85,1 м2, опалення -148,4 м.п., холодного водопостачання - 120 м.п.,  встановлено 43 світильника, встановлено 57 вікон</t>
  </si>
  <si>
    <t>Позашкільні заклади освіти, заходи із позашкільної роботи з дітьми</t>
  </si>
  <si>
    <t>Придбано спортивний інвентар для дитячо-юнацьких спортивних шкіл</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</si>
  <si>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</si>
  <si>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Проведено капітальний ремонт інфекціно-боксованого відділення КЗ "Дитяча лікарня №1" площею 505,5 кв.м; капітальний ремонт першого поверху хірургічного корпусу КУ "Міська клінічна лікарня екстреної та швидкої медичної допомоги" площею 319,8 кв.м; капітальний ремонт кардіологічного відділення КУ "Міська клінічна лікарня екстреної та швидкої медичної допомоги" площею 615 кв.м; капітальний ремонт поліклініки КУ "Запорізька міська багатопрофільна дитяча лікарня №5" площею 3212 кв.м</t>
  </si>
  <si>
    <t>Здійснено заміну вікон, дверей, внутрішньої системи водопостачання та каналізації, системи вентиляції</t>
  </si>
  <si>
    <t>Погашено кредиторську заборгованість загального фонду по капітальному ремонту приміщення. Придбано звукопідсилюючу апаратуру, 2 монітори для  КЗ ПК "Хортицький". Придбано ноутбук для  КЗ ПК "Орбіта"</t>
  </si>
  <si>
    <t xml:space="preserve">Придбано кондиціонер та  многофункціональний пристрій </t>
  </si>
  <si>
    <t>Облаштовано дитячий майданчик по вул.Суха,49, придбано гойдалки-2 од.</t>
  </si>
  <si>
    <t>Для створення контролю прийому громадян придбано обладнання для відеонагляду. Придбано комп"ютери - 3 од.,  багатофункціональний пристрій - 3 од., сканер.</t>
  </si>
  <si>
    <t>Для створення контролю прийому громадян придбано обладнання для відеонагляду.</t>
  </si>
  <si>
    <t>Встановлено системи відеоспостереження, яка забезпечила прозорість проведення прийому громадян</t>
  </si>
  <si>
    <t>до рішення від 23.02.2012  № 5</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</si>
</sst>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_-* #,##0.00\ _г_р_н_._-;\-* #,##0.00\ _г_р_н_._-;_-* &quot;-&quot;??\ _г_р_н_._-;_-@_-"/>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_-* #,##0\ _г_р_н_._-;\-* #,##0\ _г_р_н_._-;_-* &quot;-&quot;??\ _г_р_н_._-;_-@_-"/>
    <numFmt numFmtId="178" formatCode="#,##0.0000"/>
    <numFmt numFmtId="179" formatCode="_(* #,##0.000_);_(* \(#,##0.000\);_(* &quot;-&quot;??_);_(@_)"/>
    <numFmt numFmtId="180" formatCode="[$-FC19]d\ mmmm\ yyyy\ &quot;г.&quot;"/>
  </numFmts>
  <fonts count="50">
    <font>
      <sz val="11"/>
      <color theme="1"/>
      <name val="Calibri"/>
      <family val="2"/>
    </font>
    <font>
      <sz val="11"/>
      <color indexed="8"/>
      <name val="Calibri"/>
      <family val="2"/>
    </font>
    <font>
      <sz val="10"/>
      <name val="Arial Cyr"/>
      <family val="0"/>
    </font>
    <font>
      <sz val="13"/>
      <name val="Times New Roman"/>
      <family val="1"/>
    </font>
    <font>
      <sz val="12"/>
      <name val="Times New Roman"/>
      <family val="1"/>
    </font>
    <font>
      <sz val="14"/>
      <name val="Times New Roman"/>
      <family val="1"/>
    </font>
    <font>
      <b/>
      <sz val="14"/>
      <name val="Times New Roman"/>
      <family val="1"/>
    </font>
    <font>
      <sz val="8"/>
      <name val="Calibri"/>
      <family val="2"/>
    </font>
    <font>
      <u val="single"/>
      <sz val="6.6"/>
      <color indexed="12"/>
      <name val="Calibri"/>
      <family val="2"/>
    </font>
    <font>
      <u val="single"/>
      <sz val="6.6"/>
      <color indexed="36"/>
      <name val="Calibri"/>
      <family val="2"/>
    </font>
    <font>
      <sz val="14"/>
      <color indexed="8"/>
      <name val="Times New Roman"/>
      <family val="1"/>
    </font>
    <font>
      <sz val="10"/>
      <name val="Arial"/>
      <family val="2"/>
    </font>
    <font>
      <b/>
      <sz val="9"/>
      <name val="Tahoma"/>
      <family val="2"/>
    </font>
    <font>
      <sz val="18"/>
      <name val="Times New Roman"/>
      <family val="1"/>
    </font>
    <font>
      <b/>
      <sz val="18"/>
      <name val="Times New Roman"/>
      <family val="1"/>
    </font>
    <font>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1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medium"/>
      <right style="thin"/>
      <top style="medium"/>
      <bottom style="thin"/>
    </border>
    <border>
      <left style="thin"/>
      <right style="thin"/>
      <top style="thin"/>
      <bottom style="medium"/>
    </border>
    <border>
      <left style="thin"/>
      <right style="thin"/>
      <top>
        <color indexed="63"/>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1" fillId="0" borderId="0">
      <alignment/>
      <protection/>
    </xf>
    <xf numFmtId="0" fontId="11" fillId="0" borderId="0">
      <alignment/>
      <protection/>
    </xf>
    <xf numFmtId="0" fontId="2" fillId="0" borderId="0">
      <alignment/>
      <protection/>
    </xf>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144">
    <xf numFmtId="0" fontId="0" fillId="0" borderId="0" xfId="0" applyFont="1" applyAlignment="1">
      <alignment/>
    </xf>
    <xf numFmtId="0" fontId="5" fillId="0" borderId="0" xfId="0" applyFont="1" applyFill="1" applyAlignment="1">
      <alignment horizontal="center" vertical="center" wrapText="1"/>
    </xf>
    <xf numFmtId="0" fontId="5" fillId="0" borderId="0" xfId="0" applyFont="1" applyFill="1" applyBorder="1" applyAlignment="1">
      <alignment wrapText="1"/>
    </xf>
    <xf numFmtId="0" fontId="5" fillId="0" borderId="0" xfId="0" applyFont="1" applyFill="1" applyAlignment="1">
      <alignment horizontal="center"/>
    </xf>
    <xf numFmtId="0" fontId="5" fillId="0" borderId="0" xfId="0" applyFont="1" applyFill="1" applyAlignment="1">
      <alignment/>
    </xf>
    <xf numFmtId="0" fontId="6" fillId="0" borderId="10" xfId="55" applyFont="1" applyFill="1" applyBorder="1" applyAlignment="1">
      <alignment horizontal="left" vertical="center" wrapText="1"/>
      <protection/>
    </xf>
    <xf numFmtId="0" fontId="5" fillId="0" borderId="10" xfId="0" applyFont="1" applyFill="1" applyBorder="1" applyAlignment="1">
      <alignment wrapText="1"/>
    </xf>
    <xf numFmtId="0" fontId="5" fillId="0" borderId="0" xfId="0" applyFont="1" applyFill="1" applyAlignment="1">
      <alignment wrapText="1"/>
    </xf>
    <xf numFmtId="3" fontId="5" fillId="0" borderId="0" xfId="0" applyNumberFormat="1" applyFont="1" applyFill="1" applyAlignment="1">
      <alignment horizontal="center" vertical="center"/>
    </xf>
    <xf numFmtId="3" fontId="6" fillId="0" borderId="10" xfId="55"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0" xfId="0" applyFont="1" applyFill="1" applyBorder="1" applyAlignment="1">
      <alignment/>
    </xf>
    <xf numFmtId="167"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wrapText="1"/>
    </xf>
    <xf numFmtId="0" fontId="5"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Fill="1" applyAlignment="1">
      <alignment horizontal="left" wrapText="1"/>
    </xf>
    <xf numFmtId="3" fontId="5" fillId="0" borderId="0" xfId="0" applyNumberFormat="1" applyFont="1" applyFill="1" applyAlignment="1">
      <alignment horizontal="center" vertical="center" wrapText="1"/>
    </xf>
    <xf numFmtId="0" fontId="5" fillId="0" borderId="0" xfId="0" applyFont="1" applyFill="1" applyAlignment="1">
      <alignment horizontal="center" wrapText="1"/>
    </xf>
    <xf numFmtId="0" fontId="6" fillId="0" borderId="0" xfId="0" applyFont="1" applyFill="1" applyBorder="1" applyAlignment="1">
      <alignment wrapText="1"/>
    </xf>
    <xf numFmtId="0" fontId="6" fillId="0" borderId="0" xfId="0" applyFont="1" applyFill="1" applyAlignment="1">
      <alignment wrapText="1"/>
    </xf>
    <xf numFmtId="0" fontId="5" fillId="0" borderId="0" xfId="0" applyFont="1" applyFill="1" applyAlignment="1">
      <alignment horizontal="center" vertical="center"/>
    </xf>
    <xf numFmtId="3" fontId="5" fillId="0" borderId="0"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55" applyFont="1" applyFill="1" applyBorder="1" applyAlignment="1">
      <alignment horizontal="left" vertical="center" wrapText="1"/>
      <protection/>
    </xf>
    <xf numFmtId="0" fontId="5" fillId="0" borderId="14" xfId="0" applyFont="1" applyFill="1" applyBorder="1" applyAlignment="1">
      <alignment horizontal="left" vertical="center" wrapText="1"/>
    </xf>
    <xf numFmtId="3" fontId="5" fillId="0" borderId="14" xfId="0" applyNumberFormat="1" applyFont="1" applyFill="1" applyBorder="1" applyAlignment="1">
      <alignment horizontal="center" vertical="center"/>
    </xf>
    <xf numFmtId="166" fontId="5" fillId="0" borderId="14" xfId="0" applyNumberFormat="1" applyFont="1" applyFill="1" applyBorder="1" applyAlignment="1">
      <alignment horizontal="center" vertical="center" wrapText="1"/>
    </xf>
    <xf numFmtId="4" fontId="6" fillId="0" borderId="10" xfId="55" applyNumberFormat="1" applyFont="1" applyFill="1" applyBorder="1" applyAlignment="1">
      <alignment horizontal="center" vertical="center" wrapText="1"/>
      <protection/>
    </xf>
    <xf numFmtId="4" fontId="5" fillId="0" borderId="10" xfId="0" applyNumberFormat="1"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Alignment="1">
      <alignment wrapText="1"/>
    </xf>
    <xf numFmtId="0" fontId="5" fillId="33" borderId="0" xfId="0" applyFont="1" applyFill="1" applyBorder="1" applyAlignment="1">
      <alignment wrapText="1"/>
    </xf>
    <xf numFmtId="0" fontId="5" fillId="33" borderId="0" xfId="0" applyFont="1" applyFill="1" applyAlignment="1">
      <alignment wrapText="1"/>
    </xf>
    <xf numFmtId="3" fontId="5"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5" fillId="2" borderId="0" xfId="0" applyFont="1" applyFill="1" applyBorder="1" applyAlignment="1">
      <alignment wrapText="1"/>
    </xf>
    <xf numFmtId="0" fontId="5" fillId="2" borderId="0" xfId="0" applyFont="1" applyFill="1" applyAlignment="1">
      <alignment wrapText="1"/>
    </xf>
    <xf numFmtId="0" fontId="6" fillId="2" borderId="0" xfId="0" applyFont="1" applyFill="1" applyBorder="1" applyAlignment="1">
      <alignment wrapText="1"/>
    </xf>
    <xf numFmtId="0" fontId="6" fillId="2" borderId="0" xfId="0" applyFont="1" applyFill="1" applyAlignment="1">
      <alignment wrapText="1"/>
    </xf>
    <xf numFmtId="0" fontId="5" fillId="34" borderId="0" xfId="0" applyFont="1" applyFill="1" applyBorder="1" applyAlignment="1">
      <alignment wrapText="1"/>
    </xf>
    <xf numFmtId="0" fontId="6" fillId="35" borderId="10" xfId="0" applyFont="1" applyFill="1" applyBorder="1" applyAlignment="1">
      <alignment horizontal="left" vertical="center" wrapText="1"/>
    </xf>
    <xf numFmtId="3" fontId="6" fillId="35" borderId="10" xfId="0" applyNumberFormat="1" applyFont="1" applyFill="1" applyBorder="1" applyAlignment="1">
      <alignment horizontal="center" vertical="center" wrapText="1"/>
    </xf>
    <xf numFmtId="164" fontId="6" fillId="35" borderId="10" xfId="61" applyNumberFormat="1" applyFont="1" applyFill="1" applyBorder="1" applyAlignment="1">
      <alignment horizontal="center" vertical="center" wrapText="1"/>
    </xf>
    <xf numFmtId="4" fontId="6" fillId="35" borderId="10" xfId="0" applyNumberFormat="1"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164" fontId="5" fillId="35" borderId="10" xfId="61" applyNumberFormat="1" applyFont="1" applyFill="1" applyBorder="1" applyAlignment="1">
      <alignment horizontal="center" vertical="center" wrapText="1"/>
    </xf>
    <xf numFmtId="0" fontId="6" fillId="35" borderId="10" xfId="55" applyFont="1" applyFill="1" applyBorder="1" applyAlignment="1">
      <alignment horizontal="left" vertical="center" wrapText="1"/>
      <protection/>
    </xf>
    <xf numFmtId="0" fontId="5" fillId="35" borderId="10" xfId="55" applyFont="1" applyFill="1" applyBorder="1" applyAlignment="1">
      <alignment horizontal="center" vertical="center" wrapText="1"/>
      <protection/>
    </xf>
    <xf numFmtId="3" fontId="6" fillId="35" borderId="10" xfId="55" applyNumberFormat="1" applyFont="1" applyFill="1" applyBorder="1" applyAlignment="1">
      <alignment horizontal="center" vertical="center" wrapText="1"/>
      <protection/>
    </xf>
    <xf numFmtId="164" fontId="6" fillId="35" borderId="10" xfId="62" applyNumberFormat="1" applyFont="1" applyFill="1" applyBorder="1" applyAlignment="1">
      <alignment horizontal="center" vertical="center" wrapText="1"/>
    </xf>
    <xf numFmtId="4" fontId="6" fillId="35" borderId="10" xfId="55" applyNumberFormat="1" applyFont="1" applyFill="1" applyBorder="1" applyAlignment="1">
      <alignment horizontal="center" vertical="center" wrapText="1"/>
      <protection/>
    </xf>
    <xf numFmtId="164" fontId="5" fillId="35" borderId="10" xfId="0" applyNumberFormat="1"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165" fontId="5" fillId="35" borderId="10" xfId="0" applyNumberFormat="1" applyFont="1" applyFill="1" applyBorder="1" applyAlignment="1">
      <alignment horizontal="left" vertical="center" wrapText="1"/>
    </xf>
    <xf numFmtId="3" fontId="5" fillId="35" borderId="10" xfId="0" applyNumberFormat="1" applyFont="1" applyFill="1" applyBorder="1" applyAlignment="1">
      <alignment horizontal="center" vertical="center"/>
    </xf>
    <xf numFmtId="166" fontId="5" fillId="35" borderId="10" xfId="0" applyNumberFormat="1" applyFont="1" applyFill="1" applyBorder="1" applyAlignment="1">
      <alignment horizontal="center" vertical="center" wrapText="1"/>
    </xf>
    <xf numFmtId="4" fontId="5" fillId="35" borderId="10" xfId="0" applyNumberFormat="1" applyFont="1" applyFill="1" applyBorder="1" applyAlignment="1">
      <alignment horizontal="center" vertical="center"/>
    </xf>
    <xf numFmtId="9" fontId="6" fillId="35" borderId="10" xfId="62" applyFont="1" applyFill="1" applyBorder="1" applyAlignment="1">
      <alignment horizontal="center" vertical="center" wrapText="1"/>
    </xf>
    <xf numFmtId="0" fontId="5" fillId="35" borderId="10" xfId="0" applyFont="1" applyFill="1" applyBorder="1" applyAlignment="1">
      <alignment wrapText="1"/>
    </xf>
    <xf numFmtId="0" fontId="5" fillId="35" borderId="10" xfId="0" applyFont="1" applyFill="1" applyBorder="1" applyAlignment="1">
      <alignment vertical="center" wrapText="1"/>
    </xf>
    <xf numFmtId="0" fontId="6" fillId="35" borderId="10" xfId="55" applyFont="1" applyFill="1" applyBorder="1" applyAlignment="1">
      <alignment horizontal="center" vertical="center" wrapText="1"/>
      <protection/>
    </xf>
    <xf numFmtId="49" fontId="5" fillId="35" borderId="10" xfId="0" applyNumberFormat="1" applyFont="1" applyFill="1" applyBorder="1" applyAlignment="1">
      <alignment horizontal="left" vertical="center" wrapText="1"/>
    </xf>
    <xf numFmtId="49" fontId="5" fillId="35" borderId="10" xfId="55" applyNumberFormat="1" applyFont="1" applyFill="1" applyBorder="1" applyAlignment="1">
      <alignment horizontal="left" vertical="center" wrapText="1"/>
      <protection/>
    </xf>
    <xf numFmtId="3" fontId="5" fillId="35" borderId="10" xfId="61" applyNumberFormat="1" applyFont="1" applyFill="1" applyBorder="1" applyAlignment="1">
      <alignment horizontal="center" vertical="center" wrapText="1"/>
    </xf>
    <xf numFmtId="0" fontId="5" fillId="35" borderId="10" xfId="55" applyFont="1" applyFill="1" applyBorder="1" applyAlignment="1">
      <alignment horizontal="left" vertical="center" wrapText="1"/>
      <protection/>
    </xf>
    <xf numFmtId="0" fontId="5" fillId="35" borderId="10" xfId="55" applyFont="1" applyFill="1" applyBorder="1" applyAlignment="1">
      <alignment vertical="center" wrapText="1"/>
      <protection/>
    </xf>
    <xf numFmtId="0" fontId="5" fillId="35" borderId="10" xfId="0" applyFont="1" applyFill="1" applyBorder="1" applyAlignment="1">
      <alignment horizontal="left" vertical="center" wrapText="1"/>
    </xf>
    <xf numFmtId="3" fontId="5" fillId="35" borderId="10" xfId="55" applyNumberFormat="1" applyFont="1" applyFill="1" applyBorder="1" applyAlignment="1">
      <alignment horizontal="center" vertical="center" wrapText="1"/>
      <protection/>
    </xf>
    <xf numFmtId="164" fontId="5" fillId="35" borderId="10" xfId="62"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5" fillId="0" borderId="0" xfId="0" applyFont="1" applyFill="1" applyAlignment="1">
      <alignment horizontal="center" vertical="top" wrapText="1"/>
    </xf>
    <xf numFmtId="4" fontId="5" fillId="35" borderId="10" xfId="55" applyNumberFormat="1" applyFont="1" applyFill="1" applyBorder="1" applyAlignment="1">
      <alignment horizontal="center" vertical="center" wrapText="1"/>
      <protection/>
    </xf>
    <xf numFmtId="0" fontId="13" fillId="0" borderId="0" xfId="0" applyFont="1" applyFill="1" applyAlignment="1">
      <alignment horizontal="left" vertical="top" wrapText="1"/>
    </xf>
    <xf numFmtId="0" fontId="13" fillId="35" borderId="0" xfId="0" applyFont="1" applyFill="1" applyAlignment="1">
      <alignment vertical="center" wrapText="1"/>
    </xf>
    <xf numFmtId="0" fontId="13" fillId="35" borderId="0" xfId="0" applyFont="1" applyFill="1" applyAlignment="1">
      <alignment horizontal="center" vertical="center" wrapText="1"/>
    </xf>
    <xf numFmtId="3" fontId="13" fillId="35" borderId="0" xfId="0" applyNumberFormat="1" applyFont="1" applyFill="1" applyBorder="1" applyAlignment="1">
      <alignment horizontal="center" vertical="center" wrapText="1"/>
    </xf>
    <xf numFmtId="0" fontId="13" fillId="35" borderId="0" xfId="0" applyFont="1" applyFill="1" applyAlignment="1">
      <alignment horizontal="center" wrapText="1"/>
    </xf>
    <xf numFmtId="0" fontId="13" fillId="35" borderId="0" xfId="55" applyFont="1" applyFill="1" applyAlignment="1">
      <alignment horizontal="center" wrapText="1"/>
      <protection/>
    </xf>
    <xf numFmtId="4" fontId="5" fillId="35" borderId="10" xfId="0" applyNumberFormat="1" applyFont="1" applyFill="1" applyBorder="1" applyAlignment="1">
      <alignment horizontal="left" vertical="center" wrapText="1"/>
    </xf>
    <xf numFmtId="0" fontId="5" fillId="35" borderId="10" xfId="0" applyFont="1" applyFill="1" applyBorder="1" applyAlignment="1">
      <alignment horizontal="left" vertical="top" wrapText="1"/>
    </xf>
    <xf numFmtId="3" fontId="5" fillId="35" borderId="10" xfId="55" applyNumberFormat="1" applyFont="1" applyFill="1" applyBorder="1" applyAlignment="1">
      <alignment horizontal="left" vertical="center" wrapText="1"/>
      <protection/>
    </xf>
    <xf numFmtId="0" fontId="5" fillId="35" borderId="10" xfId="53" applyFont="1" applyFill="1" applyBorder="1" applyAlignment="1">
      <alignment horizontal="left" vertical="top" wrapText="1"/>
      <protection/>
    </xf>
    <xf numFmtId="0" fontId="5" fillId="35" borderId="10" xfId="54" applyFont="1" applyFill="1" applyBorder="1" applyAlignment="1">
      <alignment horizontal="left" vertical="top" wrapText="1"/>
      <protection/>
    </xf>
    <xf numFmtId="3" fontId="5" fillId="35" borderId="10" xfId="0" applyNumberFormat="1" applyFont="1" applyFill="1" applyBorder="1" applyAlignment="1">
      <alignment horizontal="left" vertical="center" wrapText="1"/>
    </xf>
    <xf numFmtId="3" fontId="13" fillId="35" borderId="0" xfId="0" applyNumberFormat="1" applyFont="1" applyFill="1" applyBorder="1" applyAlignment="1">
      <alignment horizontal="left" vertical="center" wrapText="1"/>
    </xf>
    <xf numFmtId="0" fontId="4" fillId="35" borderId="10" xfId="55" applyFont="1" applyFill="1" applyBorder="1" applyAlignment="1">
      <alignment horizontal="left" vertical="center" wrapText="1"/>
      <protection/>
    </xf>
    <xf numFmtId="3" fontId="5" fillId="35" borderId="10" xfId="55" applyNumberFormat="1" applyFont="1" applyFill="1" applyBorder="1" applyAlignment="1">
      <alignment vertical="center" wrapText="1"/>
      <protection/>
    </xf>
    <xf numFmtId="4" fontId="5" fillId="0" borderId="10" xfId="0" applyNumberFormat="1" applyFont="1" applyFill="1" applyBorder="1" applyAlignment="1">
      <alignment horizontal="left" vertical="center" wrapText="1"/>
    </xf>
    <xf numFmtId="49" fontId="6" fillId="0" borderId="10" xfId="55" applyNumberFormat="1" applyFont="1" applyFill="1" applyBorder="1" applyAlignment="1">
      <alignment horizontal="center" vertical="center" wrapText="1"/>
      <protection/>
    </xf>
    <xf numFmtId="3" fontId="6" fillId="0" borderId="10" xfId="55" applyNumberFormat="1" applyFont="1" applyFill="1" applyBorder="1" applyAlignment="1">
      <alignment horizontal="left" vertical="center" wrapText="1"/>
      <protection/>
    </xf>
    <xf numFmtId="49" fontId="5" fillId="35" borderId="10" xfId="55" applyNumberFormat="1" applyFont="1" applyFill="1" applyBorder="1" applyAlignment="1">
      <alignment horizontal="center" vertical="center" wrapText="1"/>
      <protection/>
    </xf>
    <xf numFmtId="49" fontId="6" fillId="35" borderId="10" xfId="55" applyNumberFormat="1" applyFont="1" applyFill="1" applyBorder="1" applyAlignment="1">
      <alignment horizontal="center" vertical="center" wrapText="1"/>
      <protection/>
    </xf>
    <xf numFmtId="3" fontId="6" fillId="35" borderId="10" xfId="55" applyNumberFormat="1" applyFont="1" applyFill="1" applyBorder="1" applyAlignment="1">
      <alignment horizontal="left" vertical="center" wrapText="1"/>
      <protection/>
    </xf>
    <xf numFmtId="0" fontId="5" fillId="35" borderId="10" xfId="0" applyNumberFormat="1" applyFont="1" applyFill="1" applyBorder="1" applyAlignment="1">
      <alignment horizontal="left" vertical="center" wrapText="1"/>
    </xf>
    <xf numFmtId="3" fontId="5" fillId="35" borderId="10" xfId="0" applyNumberFormat="1" applyFont="1" applyFill="1" applyBorder="1" applyAlignment="1">
      <alignment horizontal="left" vertical="center"/>
    </xf>
    <xf numFmtId="3" fontId="5" fillId="35" borderId="10" xfId="55" applyNumberFormat="1" applyFont="1" applyFill="1" applyBorder="1" applyAlignment="1">
      <alignment horizontal="left" vertical="top" wrapText="1"/>
      <protection/>
    </xf>
    <xf numFmtId="49" fontId="6" fillId="35" borderId="10" xfId="0" applyNumberFormat="1" applyFont="1" applyFill="1" applyBorder="1" applyAlignment="1">
      <alignment horizontal="center" vertical="center" wrapText="1"/>
    </xf>
    <xf numFmtId="3" fontId="6" fillId="35" borderId="10" xfId="0" applyNumberFormat="1" applyFont="1" applyFill="1" applyBorder="1" applyAlignment="1">
      <alignment horizontal="left" vertical="top" wrapText="1"/>
    </xf>
    <xf numFmtId="49" fontId="5" fillId="35" borderId="10" xfId="0" applyNumberFormat="1" applyFont="1" applyFill="1" applyBorder="1" applyAlignment="1">
      <alignment horizontal="center" vertical="center" wrapText="1"/>
    </xf>
    <xf numFmtId="3" fontId="6" fillId="35" borderId="10" xfId="0" applyNumberFormat="1" applyFont="1" applyFill="1" applyBorder="1" applyAlignment="1">
      <alignment horizontal="left" vertical="center" wrapText="1"/>
    </xf>
    <xf numFmtId="0" fontId="5" fillId="35" borderId="10" xfId="0" applyFont="1" applyFill="1" applyBorder="1" applyAlignment="1">
      <alignment horizontal="center" wrapText="1"/>
    </xf>
    <xf numFmtId="0" fontId="5" fillId="35" borderId="10" xfId="0" applyFont="1" applyFill="1" applyBorder="1" applyAlignment="1">
      <alignment horizontal="left" wrapText="1"/>
    </xf>
    <xf numFmtId="0" fontId="5" fillId="0" borderId="14" xfId="55" applyFont="1" applyFill="1" applyBorder="1" applyAlignment="1">
      <alignment horizontal="center" vertical="center"/>
      <protection/>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35" borderId="10" xfId="55" applyFont="1" applyFill="1" applyBorder="1" applyAlignment="1">
      <alignment horizontal="left" vertical="center" wrapText="1"/>
      <protection/>
    </xf>
    <xf numFmtId="0" fontId="3" fillId="35" borderId="10" xfId="0" applyFont="1" applyFill="1" applyBorder="1" applyAlignment="1">
      <alignment horizontal="left" vertical="center" wrapText="1"/>
    </xf>
    <xf numFmtId="3" fontId="3" fillId="35" borderId="10" xfId="55" applyNumberFormat="1" applyFont="1" applyFill="1" applyBorder="1" applyAlignment="1">
      <alignment horizontal="left" vertical="center" wrapText="1"/>
      <protection/>
    </xf>
    <xf numFmtId="3" fontId="5" fillId="0" borderId="10" xfId="55" applyNumberFormat="1" applyFont="1" applyFill="1" applyBorder="1" applyAlignment="1">
      <alignment horizontal="left" vertical="center" wrapText="1"/>
      <protection/>
    </xf>
    <xf numFmtId="3" fontId="5" fillId="35" borderId="10" xfId="0" applyNumberFormat="1"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0" xfId="55" applyFont="1" applyFill="1" applyBorder="1" applyAlignment="1">
      <alignment horizontal="left" vertical="center" wrapText="1"/>
      <protection/>
    </xf>
    <xf numFmtId="0" fontId="14" fillId="0" borderId="0" xfId="0" applyFont="1" applyFill="1" applyAlignment="1">
      <alignment horizontal="center" vertical="center"/>
    </xf>
    <xf numFmtId="0" fontId="13" fillId="0" borderId="0" xfId="0" applyFont="1" applyFill="1" applyAlignment="1">
      <alignment horizontal="left" vertical="center" wrapText="1"/>
    </xf>
    <xf numFmtId="3" fontId="5" fillId="35" borderId="10" xfId="55" applyNumberFormat="1" applyFont="1" applyFill="1" applyBorder="1" applyAlignment="1">
      <alignment horizontal="center" vertical="center" wrapText="1"/>
      <protection/>
    </xf>
    <xf numFmtId="164" fontId="5" fillId="35" borderId="10" xfId="0" applyNumberFormat="1" applyFont="1" applyFill="1" applyBorder="1" applyAlignment="1">
      <alignment horizontal="center" vertical="center" wrapText="1"/>
    </xf>
    <xf numFmtId="164" fontId="5" fillId="35" borderId="10" xfId="62" applyNumberFormat="1" applyFont="1" applyFill="1" applyBorder="1" applyAlignment="1">
      <alignment horizontal="center" vertical="center" wrapText="1"/>
    </xf>
    <xf numFmtId="0" fontId="5" fillId="35" borderId="10" xfId="55" applyFont="1" applyFill="1" applyBorder="1" applyAlignment="1">
      <alignment horizontal="left" vertical="center" wrapText="1"/>
      <protection/>
    </xf>
    <xf numFmtId="49" fontId="5" fillId="35" borderId="10" xfId="55" applyNumberFormat="1" applyFont="1" applyFill="1" applyBorder="1" applyAlignment="1">
      <alignment horizontal="center" vertical="center" wrapText="1"/>
      <protection/>
    </xf>
    <xf numFmtId="3" fontId="5" fillId="35" borderId="10" xfId="0" applyNumberFormat="1" applyFont="1" applyFill="1" applyBorder="1" applyAlignment="1">
      <alignment horizontal="left" vertical="center" wrapText="1"/>
    </xf>
    <xf numFmtId="3"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5" fillId="0" borderId="0" xfId="0" applyFont="1" applyFill="1" applyAlignment="1">
      <alignment horizontal="left" wrapText="1"/>
    </xf>
    <xf numFmtId="0" fontId="13" fillId="35" borderId="0" xfId="0" applyFont="1" applyFill="1" applyBorder="1" applyAlignment="1">
      <alignment horizontal="left" vertical="center" wrapText="1"/>
    </xf>
    <xf numFmtId="0" fontId="13" fillId="35" borderId="0" xfId="0" applyFont="1" applyFill="1" applyBorder="1" applyAlignment="1">
      <alignment horizontal="left" wrapText="1"/>
    </xf>
    <xf numFmtId="0" fontId="13" fillId="35" borderId="0" xfId="0" applyFont="1" applyFill="1" applyAlignment="1">
      <alignment horizontal="center" wrapText="1"/>
    </xf>
    <xf numFmtId="0" fontId="14" fillId="35" borderId="0" xfId="0"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35" borderId="10" xfId="55" applyFont="1" applyFill="1" applyBorder="1" applyAlignment="1">
      <alignment vertical="center" wrapText="1"/>
      <protection/>
    </xf>
    <xf numFmtId="0" fontId="5" fillId="35" borderId="10" xfId="55" applyFont="1" applyFill="1" applyBorder="1" applyAlignment="1">
      <alignment horizontal="center" vertical="center" wrapText="1"/>
      <protection/>
    </xf>
    <xf numFmtId="3" fontId="5" fillId="0" borderId="10" xfId="0" applyNumberFormat="1"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32" fillId="0" borderId="0" xfId="0" applyFont="1" applyFill="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5" xfId="55"/>
    <cellStyle name="Followed Hyperlink" xfId="56"/>
    <cellStyle name="Плохой" xfId="57"/>
    <cellStyle name="Пояснение" xfId="58"/>
    <cellStyle name="Примечание" xfId="59"/>
    <cellStyle name="Percent" xfId="60"/>
    <cellStyle name="Процентный 2" xfId="61"/>
    <cellStyle name="Процентный 5"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R204"/>
  <sheetViews>
    <sheetView tabSelected="1" view="pageBreakPreview" zoomScale="62" zoomScaleNormal="50" zoomScaleSheetLayoutView="62" zoomScalePageLayoutView="0" workbookViewId="0" topLeftCell="A1">
      <selection activeCell="H2" sqref="H2:I2"/>
    </sheetView>
  </sheetViews>
  <sheetFormatPr defaultColWidth="9.140625" defaultRowHeight="15"/>
  <cols>
    <col min="1" max="1" width="13.8515625" style="18" customWidth="1"/>
    <col min="2" max="2" width="32.00390625" style="7" customWidth="1"/>
    <col min="3" max="3" width="65.7109375" style="7" customWidth="1"/>
    <col min="4" max="4" width="16.8515625" style="1" customWidth="1"/>
    <col min="5" max="5" width="17.00390625" style="1" customWidth="1"/>
    <col min="6" max="6" width="16.421875" style="1" customWidth="1"/>
    <col min="7" max="7" width="14.8515625" style="1" customWidth="1"/>
    <col min="8" max="8" width="19.57421875" style="1" customWidth="1"/>
    <col min="9" max="9" width="41.28125" style="35" customWidth="1"/>
    <col min="10" max="14" width="29.28125" style="2" customWidth="1"/>
    <col min="15" max="16384" width="9.140625" style="7" customWidth="1"/>
  </cols>
  <sheetData>
    <row r="1" spans="1:9" ht="24.75" customHeight="1">
      <c r="A1" s="3"/>
      <c r="B1" s="4"/>
      <c r="C1" s="4"/>
      <c r="D1" s="8"/>
      <c r="E1" s="18"/>
      <c r="F1" s="18"/>
      <c r="G1" s="18"/>
      <c r="H1" s="117" t="s">
        <v>234</v>
      </c>
      <c r="I1" s="117"/>
    </row>
    <row r="2" spans="1:9" ht="72" customHeight="1">
      <c r="A2" s="3"/>
      <c r="B2" s="4"/>
      <c r="C2" s="4"/>
      <c r="D2" s="8"/>
      <c r="E2" s="18"/>
      <c r="F2" s="18"/>
      <c r="G2" s="18"/>
      <c r="H2" s="143" t="s">
        <v>303</v>
      </c>
      <c r="I2" s="117"/>
    </row>
    <row r="3" spans="1:9" ht="29.25" customHeight="1">
      <c r="A3" s="3"/>
      <c r="B3" s="4"/>
      <c r="C3" s="4"/>
      <c r="D3" s="8"/>
      <c r="E3" s="18"/>
      <c r="F3" s="18"/>
      <c r="G3" s="18"/>
      <c r="H3" s="73"/>
      <c r="I3" s="75"/>
    </row>
    <row r="4" spans="1:9" ht="30.75" customHeight="1">
      <c r="A4" s="116" t="s">
        <v>195</v>
      </c>
      <c r="B4" s="116"/>
      <c r="C4" s="116"/>
      <c r="D4" s="116"/>
      <c r="E4" s="116"/>
      <c r="F4" s="116"/>
      <c r="G4" s="116"/>
      <c r="H4" s="116"/>
      <c r="I4" s="116"/>
    </row>
    <row r="5" spans="1:9" ht="20.25" customHeight="1" thickBot="1">
      <c r="A5" s="3"/>
      <c r="B5" s="4"/>
      <c r="C5" s="4"/>
      <c r="D5" s="8"/>
      <c r="E5" s="21"/>
      <c r="F5" s="8"/>
      <c r="G5" s="8"/>
      <c r="H5" s="8"/>
      <c r="I5" s="10" t="s">
        <v>20</v>
      </c>
    </row>
    <row r="6" spans="1:9" ht="96.75" customHeight="1">
      <c r="A6" s="15" t="s">
        <v>30</v>
      </c>
      <c r="B6" s="14" t="s">
        <v>31</v>
      </c>
      <c r="C6" s="134" t="s">
        <v>0</v>
      </c>
      <c r="D6" s="132" t="s">
        <v>21</v>
      </c>
      <c r="E6" s="134" t="s">
        <v>22</v>
      </c>
      <c r="F6" s="132" t="s">
        <v>23</v>
      </c>
      <c r="G6" s="134" t="s">
        <v>193</v>
      </c>
      <c r="H6" s="141" t="s">
        <v>194</v>
      </c>
      <c r="I6" s="139" t="s">
        <v>239</v>
      </c>
    </row>
    <row r="7" spans="1:9" ht="77.25" customHeight="1" thickBot="1">
      <c r="A7" s="71" t="s">
        <v>32</v>
      </c>
      <c r="B7" s="23" t="s">
        <v>79</v>
      </c>
      <c r="C7" s="135"/>
      <c r="D7" s="133"/>
      <c r="E7" s="135"/>
      <c r="F7" s="133"/>
      <c r="G7" s="135"/>
      <c r="H7" s="142"/>
      <c r="I7" s="140"/>
    </row>
    <row r="8" spans="1:9" ht="19.5" thickBot="1">
      <c r="A8" s="106">
        <v>1</v>
      </c>
      <c r="B8" s="107">
        <v>2</v>
      </c>
      <c r="C8" s="107">
        <v>3</v>
      </c>
      <c r="D8" s="107">
        <v>4</v>
      </c>
      <c r="E8" s="107">
        <v>5</v>
      </c>
      <c r="F8" s="107">
        <v>6</v>
      </c>
      <c r="G8" s="107">
        <v>7</v>
      </c>
      <c r="H8" s="107">
        <v>8</v>
      </c>
      <c r="I8" s="108">
        <v>9</v>
      </c>
    </row>
    <row r="9" spans="1:14" s="4" customFormat="1" ht="77.25" customHeight="1">
      <c r="A9" s="105"/>
      <c r="B9" s="24"/>
      <c r="C9" s="25" t="s">
        <v>71</v>
      </c>
      <c r="D9" s="26">
        <v>35000000</v>
      </c>
      <c r="E9" s="27">
        <f>100-(F9/D9)*100</f>
        <v>28.57142857142857</v>
      </c>
      <c r="F9" s="26">
        <f>D9-10000000</f>
        <v>25000000</v>
      </c>
      <c r="G9" s="26">
        <v>25000000</v>
      </c>
      <c r="H9" s="26">
        <v>25000000</v>
      </c>
      <c r="I9" s="25" t="s">
        <v>240</v>
      </c>
      <c r="J9" s="12"/>
      <c r="K9" s="11"/>
      <c r="L9" s="11"/>
      <c r="M9" s="11"/>
      <c r="N9" s="11"/>
    </row>
    <row r="10" spans="1:10" ht="60.75" customHeight="1">
      <c r="A10" s="91">
        <v>230</v>
      </c>
      <c r="B10" s="5" t="s">
        <v>99</v>
      </c>
      <c r="C10" s="6"/>
      <c r="D10" s="9">
        <f>SUM(D11:D30)</f>
        <v>5346615795</v>
      </c>
      <c r="E10" s="9"/>
      <c r="F10" s="9">
        <f>SUM(F11:F30)</f>
        <v>4067944943.47</v>
      </c>
      <c r="G10" s="9">
        <f>SUM(G11:G31)-G11-G17-G21</f>
        <v>146117571</v>
      </c>
      <c r="H10" s="28">
        <f>SUM(H11:H31)-H11-H17-H21</f>
        <v>137887314.36999992</v>
      </c>
      <c r="I10" s="92"/>
      <c r="J10" s="13"/>
    </row>
    <row r="11" spans="1:10" ht="37.5">
      <c r="A11" s="122">
        <v>150101</v>
      </c>
      <c r="B11" s="136" t="s">
        <v>1</v>
      </c>
      <c r="C11" s="65" t="s">
        <v>2</v>
      </c>
      <c r="D11" s="68">
        <v>5226005939</v>
      </c>
      <c r="E11" s="52">
        <f>100-(F11/D11)*100</f>
        <v>24.151314325553813</v>
      </c>
      <c r="F11" s="68">
        <f>3963856818</f>
        <v>3963856818</v>
      </c>
      <c r="G11" s="45">
        <f>SUM(G13:G14)</f>
        <v>130796235</v>
      </c>
      <c r="H11" s="53">
        <f>SUM(H13:H14)</f>
        <v>128034780.27000001</v>
      </c>
      <c r="I11" s="138" t="s">
        <v>278</v>
      </c>
      <c r="J11" s="13"/>
    </row>
    <row r="12" spans="1:9" ht="18.75">
      <c r="A12" s="122"/>
      <c r="B12" s="136"/>
      <c r="C12" s="54" t="s">
        <v>38</v>
      </c>
      <c r="D12" s="68"/>
      <c r="E12" s="52"/>
      <c r="F12" s="68"/>
      <c r="G12" s="45"/>
      <c r="H12" s="53"/>
      <c r="I12" s="138"/>
    </row>
    <row r="13" spans="1:9" ht="18.75">
      <c r="A13" s="122"/>
      <c r="B13" s="136"/>
      <c r="C13" s="54" t="s">
        <v>39</v>
      </c>
      <c r="D13" s="68"/>
      <c r="E13" s="52"/>
      <c r="F13" s="68"/>
      <c r="G13" s="45">
        <f>200000000-72599900</f>
        <v>127400100</v>
      </c>
      <c r="H13" s="53">
        <v>127400003.76</v>
      </c>
      <c r="I13" s="138"/>
    </row>
    <row r="14" spans="1:9" ht="44.25" customHeight="1">
      <c r="A14" s="122"/>
      <c r="B14" s="136"/>
      <c r="C14" s="54" t="s">
        <v>40</v>
      </c>
      <c r="D14" s="68"/>
      <c r="E14" s="52"/>
      <c r="F14" s="68"/>
      <c r="G14" s="45">
        <v>3396135</v>
      </c>
      <c r="H14" s="53">
        <v>634776.51</v>
      </c>
      <c r="I14" s="138"/>
    </row>
    <row r="15" spans="1:9" ht="105" customHeight="1">
      <c r="A15" s="93">
        <v>150101</v>
      </c>
      <c r="B15" s="66" t="s">
        <v>1</v>
      </c>
      <c r="C15" s="67" t="s">
        <v>24</v>
      </c>
      <c r="D15" s="45">
        <v>616023</v>
      </c>
      <c r="E15" s="52">
        <f>100-(F15/D15)*100</f>
        <v>11.013182949337931</v>
      </c>
      <c r="F15" s="68">
        <f>D15-67843.74</f>
        <v>548179.26</v>
      </c>
      <c r="G15" s="55">
        <f>228700+70800-1671</f>
        <v>297829</v>
      </c>
      <c r="H15" s="57">
        <v>297828.01</v>
      </c>
      <c r="I15" s="90" t="s">
        <v>277</v>
      </c>
    </row>
    <row r="16" spans="1:9" ht="65.25" customHeight="1">
      <c r="A16" s="93">
        <v>150101</v>
      </c>
      <c r="B16" s="66" t="s">
        <v>1</v>
      </c>
      <c r="C16" s="67" t="s">
        <v>47</v>
      </c>
      <c r="D16" s="45">
        <v>3836200</v>
      </c>
      <c r="E16" s="56">
        <v>6.705492675043018</v>
      </c>
      <c r="F16" s="68">
        <f>SUM(D16-28536)</f>
        <v>3807664</v>
      </c>
      <c r="G16" s="45">
        <v>228700</v>
      </c>
      <c r="H16" s="29">
        <v>0</v>
      </c>
      <c r="I16" s="81" t="s">
        <v>206</v>
      </c>
    </row>
    <row r="17" spans="1:9" ht="27.75" customHeight="1">
      <c r="A17" s="122">
        <v>150101</v>
      </c>
      <c r="B17" s="136" t="s">
        <v>1</v>
      </c>
      <c r="C17" s="67" t="s">
        <v>180</v>
      </c>
      <c r="D17" s="68">
        <v>8185995</v>
      </c>
      <c r="E17" s="56">
        <f>100-(F17/D17)*100</f>
        <v>0.032400215245672825</v>
      </c>
      <c r="F17" s="68">
        <f>SUM(D17-2652.28)</f>
        <v>8183342.72</v>
      </c>
      <c r="G17" s="55">
        <f>SUM(G19:G20)</f>
        <v>4945183</v>
      </c>
      <c r="H17" s="57">
        <f>SUM(H19:H20)</f>
        <v>1455442.1600000001</v>
      </c>
      <c r="I17" s="123" t="s">
        <v>235</v>
      </c>
    </row>
    <row r="18" spans="1:9" ht="20.25" customHeight="1">
      <c r="A18" s="122"/>
      <c r="B18" s="136"/>
      <c r="C18" s="67" t="s">
        <v>38</v>
      </c>
      <c r="D18" s="68"/>
      <c r="E18" s="56"/>
      <c r="F18" s="68"/>
      <c r="G18" s="55"/>
      <c r="H18" s="57"/>
      <c r="I18" s="123"/>
    </row>
    <row r="19" spans="1:9" ht="40.5" customHeight="1">
      <c r="A19" s="122"/>
      <c r="B19" s="136"/>
      <c r="C19" s="67" t="s">
        <v>184</v>
      </c>
      <c r="D19" s="68"/>
      <c r="E19" s="56"/>
      <c r="F19" s="68"/>
      <c r="G19" s="55">
        <v>3320145</v>
      </c>
      <c r="H19" s="57">
        <v>1231392.82</v>
      </c>
      <c r="I19" s="123"/>
    </row>
    <row r="20" spans="1:9" ht="23.25" customHeight="1">
      <c r="A20" s="122"/>
      <c r="B20" s="136"/>
      <c r="C20" s="67" t="s">
        <v>181</v>
      </c>
      <c r="D20" s="68"/>
      <c r="E20" s="56"/>
      <c r="F20" s="68"/>
      <c r="G20" s="55">
        <v>1625038</v>
      </c>
      <c r="H20" s="57">
        <v>224049.34</v>
      </c>
      <c r="I20" s="123"/>
    </row>
    <row r="21" spans="1:9" ht="60" customHeight="1">
      <c r="A21" s="137">
        <v>150101</v>
      </c>
      <c r="B21" s="136" t="s">
        <v>1</v>
      </c>
      <c r="C21" s="67" t="s">
        <v>150</v>
      </c>
      <c r="D21" s="45">
        <v>5039885</v>
      </c>
      <c r="E21" s="56">
        <f>100-(F21/D21)*100</f>
        <v>0</v>
      </c>
      <c r="F21" s="68">
        <f>D21</f>
        <v>5039885</v>
      </c>
      <c r="G21" s="45">
        <f>SUM(G23:G24)</f>
        <v>5039885</v>
      </c>
      <c r="H21" s="53">
        <f>SUM(H23:H24)</f>
        <v>4237304.73</v>
      </c>
      <c r="I21" s="123" t="s">
        <v>236</v>
      </c>
    </row>
    <row r="22" spans="1:9" ht="20.25" customHeight="1">
      <c r="A22" s="137"/>
      <c r="B22" s="136"/>
      <c r="C22" s="67" t="s">
        <v>38</v>
      </c>
      <c r="D22" s="68"/>
      <c r="E22" s="56"/>
      <c r="F22" s="68"/>
      <c r="G22" s="55"/>
      <c r="H22" s="57"/>
      <c r="I22" s="123"/>
    </row>
    <row r="23" spans="1:9" ht="40.5" customHeight="1">
      <c r="A23" s="137"/>
      <c r="B23" s="136"/>
      <c r="C23" s="67" t="s">
        <v>184</v>
      </c>
      <c r="D23" s="68"/>
      <c r="E23" s="56"/>
      <c r="F23" s="68"/>
      <c r="G23" s="55">
        <v>3652580</v>
      </c>
      <c r="H23" s="57">
        <v>2900000</v>
      </c>
      <c r="I23" s="123"/>
    </row>
    <row r="24" spans="1:9" ht="23.25" customHeight="1">
      <c r="A24" s="137"/>
      <c r="B24" s="136"/>
      <c r="C24" s="67" t="s">
        <v>181</v>
      </c>
      <c r="D24" s="68"/>
      <c r="E24" s="56"/>
      <c r="F24" s="68"/>
      <c r="G24" s="55">
        <v>1387305</v>
      </c>
      <c r="H24" s="57">
        <v>1337304.73</v>
      </c>
      <c r="I24" s="123"/>
    </row>
    <row r="25" spans="1:9" ht="105.75" customHeight="1">
      <c r="A25" s="48">
        <v>150101</v>
      </c>
      <c r="B25" s="66" t="s">
        <v>1</v>
      </c>
      <c r="C25" s="67" t="s">
        <v>26</v>
      </c>
      <c r="D25" s="45">
        <v>3995810</v>
      </c>
      <c r="E25" s="56">
        <f aca="true" t="shared" si="0" ref="E25:E30">100-(F25/D25)*100</f>
        <v>87.46728823442555</v>
      </c>
      <c r="F25" s="68">
        <f>D25-3495026.65</f>
        <v>500783.3500000001</v>
      </c>
      <c r="G25" s="55">
        <v>444200</v>
      </c>
      <c r="H25" s="57">
        <v>352861.92</v>
      </c>
      <c r="I25" s="81" t="s">
        <v>280</v>
      </c>
    </row>
    <row r="26" spans="1:9" ht="55.5" customHeight="1">
      <c r="A26" s="93">
        <v>150101</v>
      </c>
      <c r="B26" s="65" t="s">
        <v>1</v>
      </c>
      <c r="C26" s="67" t="s">
        <v>25</v>
      </c>
      <c r="D26" s="45">
        <v>8469431</v>
      </c>
      <c r="E26" s="56">
        <f t="shared" si="0"/>
        <v>41.71536789189262</v>
      </c>
      <c r="F26" s="68">
        <f>SUM(D26-3533054.3)</f>
        <v>4936376.7</v>
      </c>
      <c r="G26" s="55">
        <f>30728+3546051</f>
        <v>3576779</v>
      </c>
      <c r="H26" s="57">
        <v>3259534.92</v>
      </c>
      <c r="I26" s="81" t="s">
        <v>241</v>
      </c>
    </row>
    <row r="27" spans="1:9" ht="100.5" customHeight="1">
      <c r="A27" s="93" t="s">
        <v>84</v>
      </c>
      <c r="B27" s="88" t="s">
        <v>85</v>
      </c>
      <c r="C27" s="67" t="s">
        <v>97</v>
      </c>
      <c r="D27" s="45">
        <v>16832623</v>
      </c>
      <c r="E27" s="56">
        <f t="shared" si="0"/>
        <v>52.21334755729989</v>
      </c>
      <c r="F27" s="55">
        <f>SUM(D27-8788875.95)</f>
        <v>8043747.050000001</v>
      </c>
      <c r="G27" s="55">
        <v>4260</v>
      </c>
      <c r="H27" s="57">
        <v>4260</v>
      </c>
      <c r="I27" s="86" t="s">
        <v>242</v>
      </c>
    </row>
    <row r="28" spans="1:9" ht="80.25" customHeight="1">
      <c r="A28" s="93">
        <v>150101</v>
      </c>
      <c r="B28" s="65" t="s">
        <v>1</v>
      </c>
      <c r="C28" s="67" t="s">
        <v>41</v>
      </c>
      <c r="D28" s="45">
        <v>31254782</v>
      </c>
      <c r="E28" s="56">
        <f t="shared" si="0"/>
        <v>0.9897800918912196</v>
      </c>
      <c r="F28" s="68">
        <f>D28-309353.61</f>
        <v>30945428.39</v>
      </c>
      <c r="G28" s="55">
        <f>200000</f>
        <v>200000</v>
      </c>
      <c r="H28" s="57">
        <v>138644.21</v>
      </c>
      <c r="I28" s="81" t="s">
        <v>237</v>
      </c>
    </row>
    <row r="29" spans="1:9" ht="46.5" customHeight="1">
      <c r="A29" s="93">
        <v>150101</v>
      </c>
      <c r="B29" s="65" t="s">
        <v>1</v>
      </c>
      <c r="C29" s="67" t="s">
        <v>83</v>
      </c>
      <c r="D29" s="45">
        <v>200000</v>
      </c>
      <c r="E29" s="56">
        <f>100-(F29/D29)*100</f>
        <v>0</v>
      </c>
      <c r="F29" s="68">
        <f>D29</f>
        <v>200000</v>
      </c>
      <c r="G29" s="55">
        <v>200000</v>
      </c>
      <c r="H29" s="57">
        <v>99212.96</v>
      </c>
      <c r="I29" s="81" t="s">
        <v>206</v>
      </c>
    </row>
    <row r="30" spans="1:9" ht="57.75" customHeight="1">
      <c r="A30" s="93">
        <v>150101</v>
      </c>
      <c r="B30" s="65" t="s">
        <v>1</v>
      </c>
      <c r="C30" s="65" t="s">
        <v>48</v>
      </c>
      <c r="D30" s="68">
        <v>42179107</v>
      </c>
      <c r="E30" s="52">
        <f t="shared" si="0"/>
        <v>0.7026891299524181</v>
      </c>
      <c r="F30" s="68">
        <f>D30-296388</f>
        <v>41882719</v>
      </c>
      <c r="G30" s="45">
        <v>378000</v>
      </c>
      <c r="H30" s="53">
        <v>7445.19</v>
      </c>
      <c r="I30" s="81" t="s">
        <v>238</v>
      </c>
    </row>
    <row r="31" spans="1:9" ht="42.75" customHeight="1">
      <c r="A31" s="93" t="s">
        <v>33</v>
      </c>
      <c r="B31" s="65" t="s">
        <v>34</v>
      </c>
      <c r="C31" s="67" t="s">
        <v>35</v>
      </c>
      <c r="D31" s="68"/>
      <c r="E31" s="52"/>
      <c r="F31" s="68"/>
      <c r="G31" s="45">
        <v>6500</v>
      </c>
      <c r="H31" s="53">
        <v>0</v>
      </c>
      <c r="I31" s="83" t="s">
        <v>201</v>
      </c>
    </row>
    <row r="32" spans="1:14" s="20" customFormat="1" ht="60" customHeight="1">
      <c r="A32" s="61">
        <v>220</v>
      </c>
      <c r="B32" s="47" t="s">
        <v>100</v>
      </c>
      <c r="C32" s="47"/>
      <c r="D32" s="49">
        <f>SUM(D33)</f>
        <v>0</v>
      </c>
      <c r="E32" s="49"/>
      <c r="F32" s="49">
        <f>SUM(F33)</f>
        <v>0</v>
      </c>
      <c r="G32" s="49">
        <f>SUM(G33)</f>
        <v>30000</v>
      </c>
      <c r="H32" s="51">
        <f>SUM(H33)</f>
        <v>0</v>
      </c>
      <c r="I32" s="83"/>
      <c r="J32" s="19"/>
      <c r="K32" s="19"/>
      <c r="L32" s="19"/>
      <c r="M32" s="19"/>
      <c r="N32" s="19"/>
    </row>
    <row r="33" spans="1:15" ht="41.25" customHeight="1">
      <c r="A33" s="93" t="s">
        <v>33</v>
      </c>
      <c r="B33" s="65" t="s">
        <v>34</v>
      </c>
      <c r="C33" s="67" t="s">
        <v>35</v>
      </c>
      <c r="D33" s="45"/>
      <c r="E33" s="56"/>
      <c r="F33" s="55"/>
      <c r="G33" s="55">
        <v>30000</v>
      </c>
      <c r="H33" s="57">
        <v>0</v>
      </c>
      <c r="I33" s="83" t="s">
        <v>201</v>
      </c>
      <c r="O33" s="2"/>
    </row>
    <row r="34" spans="1:9" ht="62.25" customHeight="1">
      <c r="A34" s="94" t="s">
        <v>3</v>
      </c>
      <c r="B34" s="47" t="s">
        <v>134</v>
      </c>
      <c r="C34" s="48"/>
      <c r="D34" s="49">
        <f>SUM(D35:D35)</f>
        <v>0</v>
      </c>
      <c r="E34" s="58"/>
      <c r="F34" s="49">
        <f>SUM(F35:F35)</f>
        <v>0</v>
      </c>
      <c r="G34" s="49">
        <f>SUM(G35:G35)</f>
        <v>12000</v>
      </c>
      <c r="H34" s="49">
        <f>SUM(H35:H35)</f>
        <v>12000</v>
      </c>
      <c r="I34" s="95"/>
    </row>
    <row r="35" spans="1:9" ht="57" customHeight="1">
      <c r="A35" s="93" t="s">
        <v>33</v>
      </c>
      <c r="B35" s="65" t="s">
        <v>34</v>
      </c>
      <c r="C35" s="65" t="s">
        <v>35</v>
      </c>
      <c r="D35" s="68"/>
      <c r="E35" s="56"/>
      <c r="F35" s="68"/>
      <c r="G35" s="68">
        <v>12000</v>
      </c>
      <c r="H35" s="68">
        <v>12000</v>
      </c>
      <c r="I35" s="83" t="s">
        <v>243</v>
      </c>
    </row>
    <row r="36" spans="1:9" ht="79.5" customHeight="1">
      <c r="A36" s="94" t="s">
        <v>3</v>
      </c>
      <c r="B36" s="47" t="s">
        <v>101</v>
      </c>
      <c r="C36" s="48"/>
      <c r="D36" s="49">
        <f>SUM(D37:D73)</f>
        <v>127101756</v>
      </c>
      <c r="E36" s="58"/>
      <c r="F36" s="49">
        <f>SUM(F37:F73)</f>
        <v>99813288.42</v>
      </c>
      <c r="G36" s="49">
        <f>SUM(G37:G73)-G47</f>
        <v>34591206</v>
      </c>
      <c r="H36" s="51">
        <f>SUM(H37:H73)-H47</f>
        <v>17899700.840000004</v>
      </c>
      <c r="I36" s="95"/>
    </row>
    <row r="37" spans="1:9" ht="387.75" customHeight="1">
      <c r="A37" s="93" t="s">
        <v>69</v>
      </c>
      <c r="B37" s="65" t="s">
        <v>65</v>
      </c>
      <c r="C37" s="67" t="s">
        <v>35</v>
      </c>
      <c r="D37" s="68"/>
      <c r="E37" s="56"/>
      <c r="F37" s="68"/>
      <c r="G37" s="68">
        <v>1749733</v>
      </c>
      <c r="H37" s="74">
        <v>1190365.26</v>
      </c>
      <c r="I37" s="83" t="s">
        <v>244</v>
      </c>
    </row>
    <row r="38" spans="1:9" ht="135.75" customHeight="1">
      <c r="A38" s="48">
        <v>150101</v>
      </c>
      <c r="B38" s="65" t="s">
        <v>1</v>
      </c>
      <c r="C38" s="65" t="s">
        <v>42</v>
      </c>
      <c r="D38" s="68">
        <v>33418000</v>
      </c>
      <c r="E38" s="52">
        <f aca="true" t="shared" si="1" ref="E38:E89">100-(F38/D38)*100</f>
        <v>55.56362777545035</v>
      </c>
      <c r="F38" s="68">
        <f>D38-18568253.13</f>
        <v>14849746.870000001</v>
      </c>
      <c r="G38" s="55">
        <f>4000000+42488</f>
        <v>4042488</v>
      </c>
      <c r="H38" s="57">
        <v>3853699.96</v>
      </c>
      <c r="I38" s="96" t="s">
        <v>197</v>
      </c>
    </row>
    <row r="39" spans="1:16" ht="37.5">
      <c r="A39" s="48">
        <v>150101</v>
      </c>
      <c r="B39" s="65" t="s">
        <v>1</v>
      </c>
      <c r="C39" s="65" t="s">
        <v>151</v>
      </c>
      <c r="D39" s="68">
        <v>13492940</v>
      </c>
      <c r="E39" s="52">
        <f t="shared" si="1"/>
        <v>21.184069594914092</v>
      </c>
      <c r="F39" s="68">
        <f>D39-2858353.8</f>
        <v>10634586.2</v>
      </c>
      <c r="G39" s="55">
        <f>1500000</f>
        <v>1500000</v>
      </c>
      <c r="H39" s="57">
        <v>0</v>
      </c>
      <c r="I39" s="67" t="s">
        <v>206</v>
      </c>
      <c r="O39" s="2"/>
      <c r="P39" s="2"/>
    </row>
    <row r="40" spans="1:18" ht="38.25" customHeight="1">
      <c r="A40" s="48">
        <v>150101</v>
      </c>
      <c r="B40" s="65" t="s">
        <v>1</v>
      </c>
      <c r="C40" s="65" t="s">
        <v>152</v>
      </c>
      <c r="D40" s="68">
        <v>2463195</v>
      </c>
      <c r="E40" s="52">
        <f>100-(F40/D40)*100</f>
        <v>0</v>
      </c>
      <c r="F40" s="68">
        <f>SUM(D40)</f>
        <v>2463195</v>
      </c>
      <c r="G40" s="55">
        <f>1500000+963195</f>
        <v>2463195</v>
      </c>
      <c r="H40" s="57">
        <v>3485.24</v>
      </c>
      <c r="I40" s="81" t="s">
        <v>238</v>
      </c>
      <c r="J40" s="22"/>
      <c r="K40" s="22"/>
      <c r="L40" s="22"/>
      <c r="M40" s="10"/>
      <c r="O40" s="2"/>
      <c r="P40" s="2"/>
      <c r="Q40" s="2"/>
      <c r="R40" s="2"/>
    </row>
    <row r="41" spans="1:18" ht="39" customHeight="1">
      <c r="A41" s="48">
        <v>150101</v>
      </c>
      <c r="B41" s="65" t="s">
        <v>1</v>
      </c>
      <c r="C41" s="65" t="s">
        <v>153</v>
      </c>
      <c r="D41" s="68">
        <v>1497004</v>
      </c>
      <c r="E41" s="52">
        <f>100-(F41/D41)*100</f>
        <v>8.724625986303309</v>
      </c>
      <c r="F41" s="68">
        <f>SUM(D41-130608)</f>
        <v>1366396</v>
      </c>
      <c r="G41" s="55">
        <v>1366396</v>
      </c>
      <c r="H41" s="57">
        <v>9783.44</v>
      </c>
      <c r="I41" s="81" t="s">
        <v>238</v>
      </c>
      <c r="J41" s="22"/>
      <c r="K41" s="22"/>
      <c r="L41" s="22"/>
      <c r="M41" s="10"/>
      <c r="O41" s="2"/>
      <c r="P41" s="2"/>
      <c r="Q41" s="2"/>
      <c r="R41" s="2"/>
    </row>
    <row r="42" spans="1:9" ht="41.25" customHeight="1">
      <c r="A42" s="48">
        <v>150101</v>
      </c>
      <c r="B42" s="65" t="s">
        <v>1</v>
      </c>
      <c r="C42" s="115" t="s">
        <v>281</v>
      </c>
      <c r="D42" s="68">
        <v>500000</v>
      </c>
      <c r="E42" s="52">
        <f t="shared" si="1"/>
        <v>0</v>
      </c>
      <c r="F42" s="68">
        <f>SUM(D42)</f>
        <v>500000</v>
      </c>
      <c r="G42" s="55">
        <v>500000</v>
      </c>
      <c r="H42" s="57">
        <v>75937.82</v>
      </c>
      <c r="I42" s="86" t="s">
        <v>245</v>
      </c>
    </row>
    <row r="43" spans="1:9" ht="62.25" customHeight="1">
      <c r="A43" s="48">
        <v>150101</v>
      </c>
      <c r="B43" s="65" t="s">
        <v>1</v>
      </c>
      <c r="C43" s="65" t="s">
        <v>139</v>
      </c>
      <c r="D43" s="68">
        <v>16581867</v>
      </c>
      <c r="E43" s="52">
        <f t="shared" si="1"/>
        <v>29.53689569455598</v>
      </c>
      <c r="F43" s="68">
        <f>SUM(D43-4897768.76)</f>
        <v>11684098.24</v>
      </c>
      <c r="G43" s="55">
        <v>98524</v>
      </c>
      <c r="H43" s="57">
        <v>98523.15</v>
      </c>
      <c r="I43" s="86" t="s">
        <v>198</v>
      </c>
    </row>
    <row r="44" spans="1:9" ht="61.5" customHeight="1">
      <c r="A44" s="48">
        <v>150101</v>
      </c>
      <c r="B44" s="65" t="s">
        <v>1</v>
      </c>
      <c r="C44" s="65" t="s">
        <v>88</v>
      </c>
      <c r="D44" s="68">
        <v>217775</v>
      </c>
      <c r="E44" s="52">
        <f t="shared" si="1"/>
        <v>37.757612214441515</v>
      </c>
      <c r="F44" s="68">
        <f>SUM(D44-82226.64)</f>
        <v>135548.36</v>
      </c>
      <c r="G44" s="55">
        <v>135380</v>
      </c>
      <c r="H44" s="57">
        <v>106056.7</v>
      </c>
      <c r="I44" s="113" t="s">
        <v>282</v>
      </c>
    </row>
    <row r="45" spans="1:9" ht="57.75" customHeight="1">
      <c r="A45" s="48">
        <v>150101</v>
      </c>
      <c r="B45" s="65" t="s">
        <v>1</v>
      </c>
      <c r="C45" s="65" t="s">
        <v>102</v>
      </c>
      <c r="D45" s="68">
        <v>96935</v>
      </c>
      <c r="E45" s="52">
        <f t="shared" si="1"/>
        <v>71.8084283282612</v>
      </c>
      <c r="F45" s="68">
        <f>SUM(D45-69607.5)</f>
        <v>27327.5</v>
      </c>
      <c r="G45" s="55">
        <v>1396</v>
      </c>
      <c r="H45" s="57">
        <v>1395.12</v>
      </c>
      <c r="I45" s="113" t="s">
        <v>283</v>
      </c>
    </row>
    <row r="46" spans="1:9" ht="43.5" customHeight="1">
      <c r="A46" s="48">
        <v>150101</v>
      </c>
      <c r="B46" s="65" t="s">
        <v>1</v>
      </c>
      <c r="C46" s="67" t="s">
        <v>169</v>
      </c>
      <c r="D46" s="68">
        <v>2206524</v>
      </c>
      <c r="E46" s="52">
        <f t="shared" si="1"/>
        <v>0</v>
      </c>
      <c r="F46" s="68">
        <f>SUM(D46)</f>
        <v>2206524</v>
      </c>
      <c r="G46" s="55">
        <f>2206524-222693</f>
        <v>1983831</v>
      </c>
      <c r="H46" s="57">
        <v>1983830.48</v>
      </c>
      <c r="I46" s="86" t="s">
        <v>198</v>
      </c>
    </row>
    <row r="47" spans="1:9" ht="43.5" customHeight="1">
      <c r="A47" s="137">
        <v>150101</v>
      </c>
      <c r="B47" s="121" t="s">
        <v>1</v>
      </c>
      <c r="C47" s="65" t="s">
        <v>182</v>
      </c>
      <c r="D47" s="68">
        <v>1279309</v>
      </c>
      <c r="E47" s="56">
        <f t="shared" si="1"/>
        <v>7.6769146468914045</v>
      </c>
      <c r="F47" s="68">
        <f>SUM(D47-98211.46)</f>
        <v>1181097.54</v>
      </c>
      <c r="G47" s="55">
        <f>SUM(G49:G50)</f>
        <v>1181098</v>
      </c>
      <c r="H47" s="57">
        <f>SUM(H49:H50)</f>
        <v>379963.36</v>
      </c>
      <c r="I47" s="123" t="s">
        <v>246</v>
      </c>
    </row>
    <row r="48" spans="1:9" ht="22.5" customHeight="1">
      <c r="A48" s="137"/>
      <c r="B48" s="121"/>
      <c r="C48" s="65" t="s">
        <v>38</v>
      </c>
      <c r="D48" s="68"/>
      <c r="E48" s="56"/>
      <c r="F48" s="68"/>
      <c r="G48" s="55"/>
      <c r="H48" s="57"/>
      <c r="I48" s="123"/>
    </row>
    <row r="49" spans="1:9" ht="41.25" customHeight="1">
      <c r="A49" s="137"/>
      <c r="B49" s="121"/>
      <c r="C49" s="65" t="s">
        <v>184</v>
      </c>
      <c r="D49" s="68"/>
      <c r="E49" s="56"/>
      <c r="F49" s="68"/>
      <c r="G49" s="55">
        <v>987275</v>
      </c>
      <c r="H49" s="57">
        <v>283547.91</v>
      </c>
      <c r="I49" s="123"/>
    </row>
    <row r="50" spans="1:9" ht="22.5" customHeight="1">
      <c r="A50" s="137"/>
      <c r="B50" s="121"/>
      <c r="C50" s="67" t="s">
        <v>181</v>
      </c>
      <c r="D50" s="68"/>
      <c r="E50" s="56"/>
      <c r="F50" s="68"/>
      <c r="G50" s="55">
        <v>193823</v>
      </c>
      <c r="H50" s="57">
        <v>96415.45</v>
      </c>
      <c r="I50" s="123"/>
    </row>
    <row r="51" spans="1:9" ht="51.75" customHeight="1">
      <c r="A51" s="48">
        <v>150101</v>
      </c>
      <c r="B51" s="65" t="s">
        <v>1</v>
      </c>
      <c r="C51" s="65" t="s">
        <v>177</v>
      </c>
      <c r="D51" s="68">
        <v>169307</v>
      </c>
      <c r="E51" s="56">
        <f>100-(F51/D51)*100</f>
        <v>0</v>
      </c>
      <c r="F51" s="68">
        <f>SUM(D51)</f>
        <v>169307</v>
      </c>
      <c r="G51" s="55">
        <v>169307</v>
      </c>
      <c r="H51" s="57">
        <v>0</v>
      </c>
      <c r="I51" s="97" t="s">
        <v>201</v>
      </c>
    </row>
    <row r="52" spans="1:9" ht="51.75" customHeight="1">
      <c r="A52" s="48">
        <v>150101</v>
      </c>
      <c r="B52" s="65" t="s">
        <v>1</v>
      </c>
      <c r="C52" s="65" t="s">
        <v>178</v>
      </c>
      <c r="D52" s="68">
        <v>33408</v>
      </c>
      <c r="E52" s="56">
        <f>100-(F52/D52)*100</f>
        <v>0</v>
      </c>
      <c r="F52" s="68">
        <f>SUM(D52)</f>
        <v>33408</v>
      </c>
      <c r="G52" s="55">
        <v>33408</v>
      </c>
      <c r="H52" s="57">
        <v>0</v>
      </c>
      <c r="I52" s="97" t="s">
        <v>201</v>
      </c>
    </row>
    <row r="53" spans="1:9" ht="40.5" customHeight="1">
      <c r="A53" s="48">
        <v>150101</v>
      </c>
      <c r="B53" s="65" t="s">
        <v>1</v>
      </c>
      <c r="C53" s="65" t="s">
        <v>43</v>
      </c>
      <c r="D53" s="68">
        <v>336323</v>
      </c>
      <c r="E53" s="56">
        <f t="shared" si="1"/>
        <v>0.12309595240289184</v>
      </c>
      <c r="F53" s="68">
        <f>SUM(D53-414)</f>
        <v>335909</v>
      </c>
      <c r="G53" s="55">
        <v>335909</v>
      </c>
      <c r="H53" s="57">
        <v>300850.44</v>
      </c>
      <c r="I53" s="86" t="s">
        <v>247</v>
      </c>
    </row>
    <row r="54" spans="1:9" ht="39" customHeight="1">
      <c r="A54" s="48">
        <v>150101</v>
      </c>
      <c r="B54" s="65" t="s">
        <v>1</v>
      </c>
      <c r="C54" s="65" t="s">
        <v>49</v>
      </c>
      <c r="D54" s="68">
        <v>1000000</v>
      </c>
      <c r="E54" s="52">
        <f t="shared" si="1"/>
        <v>7.9512</v>
      </c>
      <c r="F54" s="68">
        <f>SUM(D54-79512)</f>
        <v>920488</v>
      </c>
      <c r="G54" s="55">
        <v>375000</v>
      </c>
      <c r="H54" s="57">
        <v>136904</v>
      </c>
      <c r="I54" s="86" t="s">
        <v>206</v>
      </c>
    </row>
    <row r="55" spans="1:9" ht="37.5">
      <c r="A55" s="48">
        <v>150101</v>
      </c>
      <c r="B55" s="65" t="s">
        <v>1</v>
      </c>
      <c r="C55" s="65" t="s">
        <v>149</v>
      </c>
      <c r="D55" s="68">
        <v>300000</v>
      </c>
      <c r="E55" s="52">
        <f t="shared" si="1"/>
        <v>20</v>
      </c>
      <c r="F55" s="68">
        <f>D55-60000</f>
        <v>240000</v>
      </c>
      <c r="G55" s="55">
        <f>240000-50000</f>
        <v>190000</v>
      </c>
      <c r="H55" s="57">
        <v>1521.1</v>
      </c>
      <c r="I55" s="86" t="s">
        <v>206</v>
      </c>
    </row>
    <row r="56" spans="1:9" ht="45" customHeight="1">
      <c r="A56" s="48">
        <v>150101</v>
      </c>
      <c r="B56" s="65" t="s">
        <v>1</v>
      </c>
      <c r="C56" s="65" t="s">
        <v>90</v>
      </c>
      <c r="D56" s="68">
        <v>17355089</v>
      </c>
      <c r="E56" s="52">
        <f t="shared" si="1"/>
        <v>1.2488587065154064</v>
      </c>
      <c r="F56" s="68">
        <f>D56-216740.54</f>
        <v>17138348.46</v>
      </c>
      <c r="G56" s="55">
        <v>260000</v>
      </c>
      <c r="H56" s="57">
        <v>0</v>
      </c>
      <c r="I56" s="97" t="s">
        <v>201</v>
      </c>
    </row>
    <row r="57" spans="1:9" ht="39.75" customHeight="1">
      <c r="A57" s="48">
        <v>150101</v>
      </c>
      <c r="B57" s="65" t="s">
        <v>1</v>
      </c>
      <c r="C57" s="65" t="s">
        <v>50</v>
      </c>
      <c r="D57" s="68">
        <v>417647</v>
      </c>
      <c r="E57" s="52">
        <f t="shared" si="1"/>
        <v>14.45067245784118</v>
      </c>
      <c r="F57" s="68">
        <f>D57-60352.8</f>
        <v>357294.2</v>
      </c>
      <c r="G57" s="55">
        <v>354947</v>
      </c>
      <c r="H57" s="57">
        <v>37081.2</v>
      </c>
      <c r="I57" s="86" t="s">
        <v>206</v>
      </c>
    </row>
    <row r="58" spans="1:9" ht="57.75" customHeight="1">
      <c r="A58" s="48">
        <v>150101</v>
      </c>
      <c r="B58" s="65" t="s">
        <v>1</v>
      </c>
      <c r="C58" s="65" t="s">
        <v>51</v>
      </c>
      <c r="D58" s="68">
        <v>2800000</v>
      </c>
      <c r="E58" s="56">
        <f t="shared" si="1"/>
        <v>0</v>
      </c>
      <c r="F58" s="68">
        <f>SUM(D58)</f>
        <v>2800000</v>
      </c>
      <c r="G58" s="55">
        <v>256000</v>
      </c>
      <c r="H58" s="57">
        <v>106637.82</v>
      </c>
      <c r="I58" s="86" t="s">
        <v>206</v>
      </c>
    </row>
    <row r="59" spans="1:9" ht="56.25">
      <c r="A59" s="48">
        <v>150101</v>
      </c>
      <c r="B59" s="65" t="s">
        <v>1</v>
      </c>
      <c r="C59" s="65" t="s">
        <v>52</v>
      </c>
      <c r="D59" s="68">
        <v>4500000</v>
      </c>
      <c r="E59" s="56">
        <f t="shared" si="1"/>
        <v>0</v>
      </c>
      <c r="F59" s="68">
        <f>SUM(D59)</f>
        <v>4500000</v>
      </c>
      <c r="G59" s="55">
        <v>256000</v>
      </c>
      <c r="H59" s="57">
        <v>169644</v>
      </c>
      <c r="I59" s="86" t="s">
        <v>206</v>
      </c>
    </row>
    <row r="60" spans="1:9" ht="37.5">
      <c r="A60" s="48">
        <v>150101</v>
      </c>
      <c r="B60" s="65" t="s">
        <v>1</v>
      </c>
      <c r="C60" s="65" t="s">
        <v>53</v>
      </c>
      <c r="D60" s="68">
        <v>160000</v>
      </c>
      <c r="E60" s="56">
        <f t="shared" si="1"/>
        <v>0</v>
      </c>
      <c r="F60" s="68">
        <f>SUM(D60)</f>
        <v>160000</v>
      </c>
      <c r="G60" s="55">
        <v>160000</v>
      </c>
      <c r="H60" s="57">
        <v>0</v>
      </c>
      <c r="I60" s="86" t="s">
        <v>201</v>
      </c>
    </row>
    <row r="61" spans="1:9" ht="40.5" customHeight="1">
      <c r="A61" s="48">
        <v>150101</v>
      </c>
      <c r="B61" s="65" t="s">
        <v>1</v>
      </c>
      <c r="C61" s="65" t="s">
        <v>91</v>
      </c>
      <c r="D61" s="68">
        <v>1951998</v>
      </c>
      <c r="E61" s="52">
        <f t="shared" si="1"/>
        <v>0</v>
      </c>
      <c r="F61" s="68">
        <f>D61</f>
        <v>1951998</v>
      </c>
      <c r="G61" s="55">
        <f>260000+1000-161000</f>
        <v>100000</v>
      </c>
      <c r="H61" s="57">
        <v>83807.03</v>
      </c>
      <c r="I61" s="86" t="s">
        <v>206</v>
      </c>
    </row>
    <row r="62" spans="1:9" ht="41.25" customHeight="1">
      <c r="A62" s="48">
        <v>150101</v>
      </c>
      <c r="B62" s="65" t="s">
        <v>1</v>
      </c>
      <c r="C62" s="65" t="s">
        <v>92</v>
      </c>
      <c r="D62" s="68">
        <v>8418251</v>
      </c>
      <c r="E62" s="52">
        <f t="shared" si="1"/>
        <v>1.9101354901392256</v>
      </c>
      <c r="F62" s="68">
        <f>SUM(D62-160800)</f>
        <v>8257451</v>
      </c>
      <c r="G62" s="55">
        <v>14000</v>
      </c>
      <c r="H62" s="57">
        <v>10817.28</v>
      </c>
      <c r="I62" s="86" t="s">
        <v>238</v>
      </c>
    </row>
    <row r="63" spans="1:9" ht="39.75" customHeight="1">
      <c r="A63" s="48">
        <v>150101</v>
      </c>
      <c r="B63" s="65" t="s">
        <v>1</v>
      </c>
      <c r="C63" s="65" t="s">
        <v>166</v>
      </c>
      <c r="D63" s="68">
        <v>2002752</v>
      </c>
      <c r="E63" s="52">
        <f>100-(F63/D63)*100</f>
        <v>0</v>
      </c>
      <c r="F63" s="68">
        <f>SUM(D63)</f>
        <v>2002752</v>
      </c>
      <c r="G63" s="55">
        <v>2002752</v>
      </c>
      <c r="H63" s="57">
        <v>147342.07</v>
      </c>
      <c r="I63" s="86" t="s">
        <v>245</v>
      </c>
    </row>
    <row r="64" spans="1:9" ht="57.75" customHeight="1">
      <c r="A64" s="48">
        <v>150101</v>
      </c>
      <c r="B64" s="65" t="s">
        <v>1</v>
      </c>
      <c r="C64" s="59" t="s">
        <v>157</v>
      </c>
      <c r="D64" s="68">
        <v>199000</v>
      </c>
      <c r="E64" s="52">
        <f t="shared" si="1"/>
        <v>0</v>
      </c>
      <c r="F64" s="68">
        <f>D64</f>
        <v>199000</v>
      </c>
      <c r="G64" s="55">
        <f>199000-42488</f>
        <v>156512</v>
      </c>
      <c r="H64" s="57">
        <v>0</v>
      </c>
      <c r="I64" s="86" t="s">
        <v>201</v>
      </c>
    </row>
    <row r="65" spans="1:9" ht="41.25" customHeight="1">
      <c r="A65" s="48">
        <v>150101</v>
      </c>
      <c r="B65" s="65" t="s">
        <v>1</v>
      </c>
      <c r="C65" s="60" t="s">
        <v>158</v>
      </c>
      <c r="D65" s="68">
        <v>299000</v>
      </c>
      <c r="E65" s="52">
        <f>100-(F65/D65)*100</f>
        <v>0</v>
      </c>
      <c r="F65" s="68">
        <f>D65</f>
        <v>299000</v>
      </c>
      <c r="G65" s="55">
        <v>100000</v>
      </c>
      <c r="H65" s="57">
        <v>100000</v>
      </c>
      <c r="I65" s="86" t="s">
        <v>208</v>
      </c>
    </row>
    <row r="66" spans="1:9" ht="99.75" customHeight="1">
      <c r="A66" s="48">
        <v>150101</v>
      </c>
      <c r="B66" s="65" t="s">
        <v>1</v>
      </c>
      <c r="C66" s="65" t="s">
        <v>154</v>
      </c>
      <c r="D66" s="68">
        <v>253937</v>
      </c>
      <c r="E66" s="56">
        <f t="shared" si="1"/>
        <v>0</v>
      </c>
      <c r="F66" s="68">
        <f>SUM(D66)</f>
        <v>253937</v>
      </c>
      <c r="G66" s="55">
        <v>253937</v>
      </c>
      <c r="H66" s="57">
        <v>253936</v>
      </c>
      <c r="I66" s="86" t="s">
        <v>199</v>
      </c>
    </row>
    <row r="67" spans="1:9" ht="99.75" customHeight="1">
      <c r="A67" s="48">
        <v>150101</v>
      </c>
      <c r="B67" s="65" t="s">
        <v>1</v>
      </c>
      <c r="C67" s="60" t="s">
        <v>136</v>
      </c>
      <c r="D67" s="68">
        <v>322200</v>
      </c>
      <c r="E67" s="56">
        <f t="shared" si="1"/>
        <v>0</v>
      </c>
      <c r="F67" s="68">
        <f>SUM(D67)</f>
        <v>322200</v>
      </c>
      <c r="G67" s="68">
        <v>322200</v>
      </c>
      <c r="H67" s="74">
        <v>307024.58</v>
      </c>
      <c r="I67" s="83" t="s">
        <v>248</v>
      </c>
    </row>
    <row r="68" spans="1:9" ht="94.5" customHeight="1">
      <c r="A68" s="48">
        <v>150101</v>
      </c>
      <c r="B68" s="65" t="s">
        <v>1</v>
      </c>
      <c r="C68" s="60" t="s">
        <v>137</v>
      </c>
      <c r="D68" s="68">
        <v>332800</v>
      </c>
      <c r="E68" s="56">
        <f t="shared" si="1"/>
        <v>0</v>
      </c>
      <c r="F68" s="68">
        <f>SUM(D68)</f>
        <v>332800</v>
      </c>
      <c r="G68" s="68">
        <v>332800</v>
      </c>
      <c r="H68" s="74">
        <v>319641.32</v>
      </c>
      <c r="I68" s="83" t="s">
        <v>249</v>
      </c>
    </row>
    <row r="69" spans="1:9" ht="78" customHeight="1">
      <c r="A69" s="48">
        <v>150101</v>
      </c>
      <c r="B69" s="65" t="s">
        <v>1</v>
      </c>
      <c r="C69" s="65" t="s">
        <v>93</v>
      </c>
      <c r="D69" s="68">
        <v>13239293</v>
      </c>
      <c r="E69" s="56">
        <f>100-(F69/D69)*100</f>
        <v>0.042441465718752625</v>
      </c>
      <c r="F69" s="68">
        <f>SUM(D69-5618.95)</f>
        <v>13233674.05</v>
      </c>
      <c r="G69" s="55">
        <v>13111</v>
      </c>
      <c r="H69" s="57">
        <v>13110.88</v>
      </c>
      <c r="I69" s="86" t="s">
        <v>238</v>
      </c>
    </row>
    <row r="70" spans="1:9" ht="40.5" customHeight="1">
      <c r="A70" s="48">
        <v>150101</v>
      </c>
      <c r="B70" s="65" t="s">
        <v>1</v>
      </c>
      <c r="C70" s="65" t="s">
        <v>144</v>
      </c>
      <c r="D70" s="68">
        <v>50000</v>
      </c>
      <c r="E70" s="56">
        <f>100-(F70/D70)*100</f>
        <v>0</v>
      </c>
      <c r="F70" s="68">
        <f>SUM(D70)</f>
        <v>50000</v>
      </c>
      <c r="G70" s="55">
        <v>50000</v>
      </c>
      <c r="H70" s="57">
        <v>0</v>
      </c>
      <c r="I70" s="86" t="s">
        <v>201</v>
      </c>
    </row>
    <row r="71" spans="1:9" ht="40.5" customHeight="1">
      <c r="A71" s="48">
        <v>150101</v>
      </c>
      <c r="B71" s="65" t="s">
        <v>1</v>
      </c>
      <c r="C71" s="65" t="s">
        <v>143</v>
      </c>
      <c r="D71" s="68">
        <v>210000</v>
      </c>
      <c r="E71" s="56">
        <f>100-(F71/D71)*100</f>
        <v>0</v>
      </c>
      <c r="F71" s="68">
        <f>SUM(D71)</f>
        <v>210000</v>
      </c>
      <c r="G71" s="55">
        <v>210000</v>
      </c>
      <c r="H71" s="57">
        <v>90747.59</v>
      </c>
      <c r="I71" s="86" t="s">
        <v>206</v>
      </c>
    </row>
    <row r="72" spans="1:9" ht="131.25" customHeight="1">
      <c r="A72" s="48">
        <v>150101</v>
      </c>
      <c r="B72" s="65" t="s">
        <v>1</v>
      </c>
      <c r="C72" s="65" t="s">
        <v>165</v>
      </c>
      <c r="D72" s="68">
        <v>997202</v>
      </c>
      <c r="E72" s="56">
        <f>100-(F72/D72)*100</f>
        <v>0</v>
      </c>
      <c r="F72" s="68">
        <f>SUM(D72)</f>
        <v>997202</v>
      </c>
      <c r="G72" s="55">
        <v>997202</v>
      </c>
      <c r="H72" s="57">
        <v>318565</v>
      </c>
      <c r="I72" s="113" t="s">
        <v>284</v>
      </c>
    </row>
    <row r="73" spans="1:9" ht="252" customHeight="1">
      <c r="A73" s="48">
        <v>180409</v>
      </c>
      <c r="B73" s="65" t="s">
        <v>58</v>
      </c>
      <c r="C73" s="65" t="s">
        <v>59</v>
      </c>
      <c r="D73" s="68"/>
      <c r="E73" s="56"/>
      <c r="F73" s="68"/>
      <c r="G73" s="55">
        <f>12200000+450000-23920</f>
        <v>12626080</v>
      </c>
      <c r="H73" s="57">
        <v>7799030</v>
      </c>
      <c r="I73" s="113" t="s">
        <v>285</v>
      </c>
    </row>
    <row r="74" spans="1:9" ht="78" customHeight="1">
      <c r="A74" s="94" t="s">
        <v>4</v>
      </c>
      <c r="B74" s="47" t="s">
        <v>163</v>
      </c>
      <c r="C74" s="61"/>
      <c r="D74" s="49">
        <f>SUM(D75:D100)</f>
        <v>28707350</v>
      </c>
      <c r="E74" s="50"/>
      <c r="F74" s="49">
        <f>SUM(F75:F100)</f>
        <v>21786795.230000004</v>
      </c>
      <c r="G74" s="49">
        <f>SUM(G75:G100)</f>
        <v>43541114</v>
      </c>
      <c r="H74" s="51">
        <f>SUM(H75:H100)</f>
        <v>30373901.06</v>
      </c>
      <c r="I74" s="95"/>
    </row>
    <row r="75" spans="1:9" ht="169.5" customHeight="1">
      <c r="A75" s="93" t="s">
        <v>63</v>
      </c>
      <c r="B75" s="65" t="s">
        <v>64</v>
      </c>
      <c r="C75" s="67" t="s">
        <v>35</v>
      </c>
      <c r="D75" s="68"/>
      <c r="E75" s="56"/>
      <c r="F75" s="68"/>
      <c r="G75" s="68">
        <v>32947766</v>
      </c>
      <c r="H75" s="74">
        <v>25328963.71</v>
      </c>
      <c r="I75" s="98" t="s">
        <v>250</v>
      </c>
    </row>
    <row r="76" spans="1:9" ht="36.75" customHeight="1">
      <c r="A76" s="48">
        <v>150101</v>
      </c>
      <c r="B76" s="65" t="s">
        <v>1</v>
      </c>
      <c r="C76" s="65" t="s">
        <v>54</v>
      </c>
      <c r="D76" s="68">
        <v>3036560</v>
      </c>
      <c r="E76" s="52">
        <f t="shared" si="1"/>
        <v>29.14202255183497</v>
      </c>
      <c r="F76" s="68">
        <f>D76-884915</f>
        <v>2151645</v>
      </c>
      <c r="G76" s="68">
        <v>500000</v>
      </c>
      <c r="H76" s="74">
        <v>52978.79</v>
      </c>
      <c r="I76" s="82" t="s">
        <v>207</v>
      </c>
    </row>
    <row r="77" spans="1:9" ht="38.25" customHeight="1">
      <c r="A77" s="48">
        <v>150101</v>
      </c>
      <c r="B77" s="65" t="s">
        <v>1</v>
      </c>
      <c r="C77" s="65" t="s">
        <v>55</v>
      </c>
      <c r="D77" s="68">
        <v>840000</v>
      </c>
      <c r="E77" s="52">
        <f t="shared" si="1"/>
        <v>0</v>
      </c>
      <c r="F77" s="68">
        <f>D77</f>
        <v>840000</v>
      </c>
      <c r="G77" s="68">
        <f>550000-298000+42649</f>
        <v>294649</v>
      </c>
      <c r="H77" s="74">
        <v>0</v>
      </c>
      <c r="I77" s="98" t="s">
        <v>201</v>
      </c>
    </row>
    <row r="78" spans="1:9" ht="114.75" customHeight="1">
      <c r="A78" s="48">
        <v>150101</v>
      </c>
      <c r="B78" s="65" t="s">
        <v>1</v>
      </c>
      <c r="C78" s="65" t="s">
        <v>82</v>
      </c>
      <c r="D78" s="68">
        <v>497535</v>
      </c>
      <c r="E78" s="56">
        <f t="shared" si="1"/>
        <v>0</v>
      </c>
      <c r="F78" s="45">
        <f>SUM(D78)</f>
        <v>497535</v>
      </c>
      <c r="G78" s="68">
        <f>900000-416516+14051</f>
        <v>497535</v>
      </c>
      <c r="H78" s="74">
        <v>463806.1</v>
      </c>
      <c r="I78" s="82" t="s">
        <v>251</v>
      </c>
    </row>
    <row r="79" spans="1:9" ht="116.25" customHeight="1">
      <c r="A79" s="48">
        <v>150101</v>
      </c>
      <c r="B79" s="65" t="s">
        <v>1</v>
      </c>
      <c r="C79" s="65" t="s">
        <v>204</v>
      </c>
      <c r="D79" s="68">
        <v>1043002</v>
      </c>
      <c r="E79" s="52">
        <f t="shared" si="1"/>
        <v>8.364416367370339</v>
      </c>
      <c r="F79" s="45">
        <f>D79-87241.03</f>
        <v>955760.97</v>
      </c>
      <c r="G79" s="68">
        <f>202759+157404</f>
        <v>360163</v>
      </c>
      <c r="H79" s="74">
        <v>298999.97</v>
      </c>
      <c r="I79" s="82" t="s">
        <v>286</v>
      </c>
    </row>
    <row r="80" spans="1:9" ht="61.5" customHeight="1">
      <c r="A80" s="48">
        <v>150101</v>
      </c>
      <c r="B80" s="65" t="s">
        <v>1</v>
      </c>
      <c r="C80" s="65" t="s">
        <v>141</v>
      </c>
      <c r="D80" s="68">
        <v>480880</v>
      </c>
      <c r="E80" s="56">
        <f t="shared" si="1"/>
        <v>0</v>
      </c>
      <c r="F80" s="45">
        <f>SUM(D80)</f>
        <v>480880</v>
      </c>
      <c r="G80" s="68">
        <f>442288+38592</f>
        <v>480880</v>
      </c>
      <c r="H80" s="74">
        <v>185552.06</v>
      </c>
      <c r="I80" s="82" t="s">
        <v>209</v>
      </c>
    </row>
    <row r="81" spans="1:9" ht="135" customHeight="1">
      <c r="A81" s="48">
        <v>150101</v>
      </c>
      <c r="B81" s="65" t="s">
        <v>1</v>
      </c>
      <c r="C81" s="65" t="s">
        <v>192</v>
      </c>
      <c r="D81" s="68">
        <v>1512000</v>
      </c>
      <c r="E81" s="52">
        <f t="shared" si="1"/>
        <v>0</v>
      </c>
      <c r="F81" s="45">
        <f>D81</f>
        <v>1512000</v>
      </c>
      <c r="G81" s="68">
        <f>600000+32352</f>
        <v>632352</v>
      </c>
      <c r="H81" s="74">
        <v>509506.4</v>
      </c>
      <c r="I81" s="82" t="s">
        <v>287</v>
      </c>
    </row>
    <row r="82" spans="1:9" ht="62.25" customHeight="1">
      <c r="A82" s="48">
        <v>150101</v>
      </c>
      <c r="B82" s="65" t="s">
        <v>1</v>
      </c>
      <c r="C82" s="65" t="s">
        <v>188</v>
      </c>
      <c r="D82" s="68">
        <v>298864</v>
      </c>
      <c r="E82" s="56">
        <f t="shared" si="1"/>
        <v>0</v>
      </c>
      <c r="F82" s="45">
        <f>SUM(D82)</f>
        <v>298864</v>
      </c>
      <c r="G82" s="68">
        <v>298864</v>
      </c>
      <c r="H82" s="74">
        <v>0</v>
      </c>
      <c r="I82" s="82" t="s">
        <v>210</v>
      </c>
    </row>
    <row r="83" spans="1:9" ht="38.25" customHeight="1">
      <c r="A83" s="48">
        <v>150101</v>
      </c>
      <c r="B83" s="65" t="s">
        <v>1</v>
      </c>
      <c r="C83" s="65" t="s">
        <v>189</v>
      </c>
      <c r="D83" s="68">
        <v>3231882</v>
      </c>
      <c r="E83" s="56">
        <f>100-(F83/D83)*100</f>
        <v>64.97761985121981</v>
      </c>
      <c r="F83" s="45">
        <f>SUM(D83-2100000)</f>
        <v>1131882</v>
      </c>
      <c r="G83" s="68">
        <v>153421</v>
      </c>
      <c r="H83" s="74">
        <v>44945.82</v>
      </c>
      <c r="I83" s="98" t="s">
        <v>288</v>
      </c>
    </row>
    <row r="84" spans="1:9" ht="39" customHeight="1">
      <c r="A84" s="48">
        <v>150101</v>
      </c>
      <c r="B84" s="65" t="s">
        <v>1</v>
      </c>
      <c r="C84" s="65" t="s">
        <v>6</v>
      </c>
      <c r="D84" s="68">
        <v>1062000</v>
      </c>
      <c r="E84" s="56">
        <f t="shared" si="1"/>
        <v>30.07741054613936</v>
      </c>
      <c r="F84" s="45">
        <f>SUM(D84-219382.68-100039.42)</f>
        <v>742577.9</v>
      </c>
      <c r="G84" s="68">
        <f>525289+220578-3289</f>
        <v>742578</v>
      </c>
      <c r="H84" s="74">
        <v>220577.56</v>
      </c>
      <c r="I84" s="82" t="s">
        <v>211</v>
      </c>
    </row>
    <row r="85" spans="1:9" ht="98.25" customHeight="1">
      <c r="A85" s="48">
        <v>150101</v>
      </c>
      <c r="B85" s="65" t="s">
        <v>1</v>
      </c>
      <c r="C85" s="65" t="s">
        <v>5</v>
      </c>
      <c r="D85" s="68">
        <v>1181842</v>
      </c>
      <c r="E85" s="52">
        <f t="shared" si="1"/>
        <v>36.92788799179585</v>
      </c>
      <c r="F85" s="45">
        <f>D85-280929.2-155500.09</f>
        <v>745412.7100000001</v>
      </c>
      <c r="G85" s="68">
        <f>356295+47891+249148+92079</f>
        <v>745413</v>
      </c>
      <c r="H85" s="74">
        <v>701327.25</v>
      </c>
      <c r="I85" s="82" t="s">
        <v>252</v>
      </c>
    </row>
    <row r="86" spans="1:9" ht="116.25" customHeight="1">
      <c r="A86" s="48">
        <v>150101</v>
      </c>
      <c r="B86" s="65" t="s">
        <v>1</v>
      </c>
      <c r="C86" s="65" t="s">
        <v>44</v>
      </c>
      <c r="D86" s="68">
        <v>2664013</v>
      </c>
      <c r="E86" s="52">
        <f t="shared" si="1"/>
        <v>19.85053976838701</v>
      </c>
      <c r="F86" s="45">
        <f>D86-150834.96-377986</f>
        <v>2135192.04</v>
      </c>
      <c r="G86" s="68">
        <f>700000+399166</f>
        <v>1099166</v>
      </c>
      <c r="H86" s="74">
        <v>859349.84</v>
      </c>
      <c r="I86" s="82" t="s">
        <v>289</v>
      </c>
    </row>
    <row r="87" spans="1:9" ht="56.25">
      <c r="A87" s="48">
        <v>150101</v>
      </c>
      <c r="B87" s="65" t="s">
        <v>1</v>
      </c>
      <c r="C87" s="65" t="s">
        <v>56</v>
      </c>
      <c r="D87" s="68">
        <v>110000</v>
      </c>
      <c r="E87" s="56">
        <f t="shared" si="1"/>
        <v>0</v>
      </c>
      <c r="F87" s="45">
        <f>SUM(D87)</f>
        <v>110000</v>
      </c>
      <c r="G87" s="68">
        <v>110000</v>
      </c>
      <c r="H87" s="74">
        <v>110000</v>
      </c>
      <c r="I87" s="82" t="s">
        <v>206</v>
      </c>
    </row>
    <row r="88" spans="1:9" ht="59.25" customHeight="1">
      <c r="A88" s="48">
        <v>150101</v>
      </c>
      <c r="B88" s="65" t="s">
        <v>1</v>
      </c>
      <c r="C88" s="65" t="s">
        <v>179</v>
      </c>
      <c r="D88" s="68">
        <v>298000</v>
      </c>
      <c r="E88" s="56">
        <f>100-(F88/D88)*100</f>
        <v>0</v>
      </c>
      <c r="F88" s="45">
        <f>SUM(D88)</f>
        <v>298000</v>
      </c>
      <c r="G88" s="68">
        <v>298000</v>
      </c>
      <c r="H88" s="74">
        <v>87000</v>
      </c>
      <c r="I88" s="82" t="s">
        <v>253</v>
      </c>
    </row>
    <row r="89" spans="1:9" ht="40.5" customHeight="1">
      <c r="A89" s="48">
        <v>150101</v>
      </c>
      <c r="B89" s="65" t="s">
        <v>1</v>
      </c>
      <c r="C89" s="65" t="s">
        <v>57</v>
      </c>
      <c r="D89" s="68">
        <v>3212630</v>
      </c>
      <c r="E89" s="52">
        <f t="shared" si="1"/>
        <v>0</v>
      </c>
      <c r="F89" s="45">
        <f>D89</f>
        <v>3212630</v>
      </c>
      <c r="G89" s="68">
        <v>400000</v>
      </c>
      <c r="H89" s="74">
        <v>41222.3</v>
      </c>
      <c r="I89" s="82" t="s">
        <v>207</v>
      </c>
    </row>
    <row r="90" spans="1:9" ht="116.25" customHeight="1">
      <c r="A90" s="48">
        <v>150101</v>
      </c>
      <c r="B90" s="65" t="s">
        <v>1</v>
      </c>
      <c r="C90" s="65" t="s">
        <v>66</v>
      </c>
      <c r="D90" s="68">
        <v>1761670</v>
      </c>
      <c r="E90" s="52">
        <f aca="true" t="shared" si="2" ref="E90:E99">100-(F90/D90)*100</f>
        <v>0</v>
      </c>
      <c r="F90" s="45">
        <f>D90</f>
        <v>1761670</v>
      </c>
      <c r="G90" s="68">
        <f>500000+324437</f>
        <v>824437</v>
      </c>
      <c r="H90" s="74">
        <v>710445.74</v>
      </c>
      <c r="I90" s="82" t="s">
        <v>212</v>
      </c>
    </row>
    <row r="91" spans="1:9" ht="37.5">
      <c r="A91" s="48">
        <v>150101</v>
      </c>
      <c r="B91" s="65" t="s">
        <v>1</v>
      </c>
      <c r="C91" s="65" t="s">
        <v>67</v>
      </c>
      <c r="D91" s="68">
        <v>800000</v>
      </c>
      <c r="E91" s="52">
        <f t="shared" si="2"/>
        <v>0</v>
      </c>
      <c r="F91" s="45">
        <f>D91</f>
        <v>800000</v>
      </c>
      <c r="G91" s="68">
        <f>450000-447837</f>
        <v>2163</v>
      </c>
      <c r="H91" s="74">
        <v>2162.03</v>
      </c>
      <c r="I91" s="82" t="s">
        <v>206</v>
      </c>
    </row>
    <row r="92" spans="1:9" ht="75.75" customHeight="1">
      <c r="A92" s="48">
        <v>150101</v>
      </c>
      <c r="B92" s="65" t="s">
        <v>1</v>
      </c>
      <c r="C92" s="65" t="s">
        <v>68</v>
      </c>
      <c r="D92" s="68">
        <v>1664934</v>
      </c>
      <c r="E92" s="52">
        <f t="shared" si="2"/>
        <v>0</v>
      </c>
      <c r="F92" s="45">
        <f>D92</f>
        <v>1664934</v>
      </c>
      <c r="G92" s="68">
        <v>550000</v>
      </c>
      <c r="H92" s="74">
        <v>0</v>
      </c>
      <c r="I92" s="82" t="s">
        <v>290</v>
      </c>
    </row>
    <row r="93" spans="1:9" ht="56.25" customHeight="1">
      <c r="A93" s="48">
        <v>150101</v>
      </c>
      <c r="B93" s="65" t="s">
        <v>1</v>
      </c>
      <c r="C93" s="65" t="s">
        <v>94</v>
      </c>
      <c r="D93" s="68">
        <v>1489466</v>
      </c>
      <c r="E93" s="56">
        <f t="shared" si="2"/>
        <v>78.53613711222681</v>
      </c>
      <c r="F93" s="45">
        <f>SUM(D93-1169769.06)</f>
        <v>319696.93999999994</v>
      </c>
      <c r="G93" s="68">
        <v>319540</v>
      </c>
      <c r="H93" s="74">
        <v>148811.5</v>
      </c>
      <c r="I93" s="82" t="s">
        <v>213</v>
      </c>
    </row>
    <row r="94" spans="1:9" ht="98.25" customHeight="1">
      <c r="A94" s="48">
        <v>150101</v>
      </c>
      <c r="B94" s="65" t="s">
        <v>1</v>
      </c>
      <c r="C94" s="65" t="s">
        <v>95</v>
      </c>
      <c r="D94" s="68">
        <v>487500</v>
      </c>
      <c r="E94" s="56">
        <f t="shared" si="2"/>
        <v>0</v>
      </c>
      <c r="F94" s="45">
        <f>SUM(D94)</f>
        <v>487500</v>
      </c>
      <c r="G94" s="68">
        <v>487500</v>
      </c>
      <c r="H94" s="74">
        <v>142952.43</v>
      </c>
      <c r="I94" s="82" t="s">
        <v>214</v>
      </c>
    </row>
    <row r="95" spans="1:9" ht="116.25" customHeight="1">
      <c r="A95" s="48">
        <v>150101</v>
      </c>
      <c r="B95" s="65" t="s">
        <v>1</v>
      </c>
      <c r="C95" s="65" t="s">
        <v>138</v>
      </c>
      <c r="D95" s="68">
        <v>382584</v>
      </c>
      <c r="E95" s="56">
        <f t="shared" si="2"/>
        <v>0</v>
      </c>
      <c r="F95" s="45">
        <f>SUM(D95)</f>
        <v>382584</v>
      </c>
      <c r="G95" s="68">
        <v>382584</v>
      </c>
      <c r="H95" s="74">
        <v>37095.53</v>
      </c>
      <c r="I95" s="98" t="s">
        <v>291</v>
      </c>
    </row>
    <row r="96" spans="1:9" ht="97.5" customHeight="1">
      <c r="A96" s="48">
        <v>150101</v>
      </c>
      <c r="B96" s="65" t="s">
        <v>1</v>
      </c>
      <c r="C96" s="65" t="s">
        <v>103</v>
      </c>
      <c r="D96" s="68">
        <v>294000</v>
      </c>
      <c r="E96" s="56">
        <f t="shared" si="2"/>
        <v>0</v>
      </c>
      <c r="F96" s="45">
        <f>SUM(D96)</f>
        <v>294000</v>
      </c>
      <c r="G96" s="68">
        <v>294000</v>
      </c>
      <c r="H96" s="74">
        <v>86200</v>
      </c>
      <c r="I96" s="98" t="s">
        <v>254</v>
      </c>
    </row>
    <row r="97" spans="1:9" ht="41.25" customHeight="1">
      <c r="A97" s="48">
        <v>150101</v>
      </c>
      <c r="B97" s="65" t="s">
        <v>1</v>
      </c>
      <c r="C97" s="65" t="s">
        <v>168</v>
      </c>
      <c r="D97" s="68">
        <v>208610</v>
      </c>
      <c r="E97" s="56">
        <f>100-(F97/D97)*100</f>
        <v>0</v>
      </c>
      <c r="F97" s="45">
        <f>SUM(D97)</f>
        <v>208610</v>
      </c>
      <c r="G97" s="68">
        <v>180420</v>
      </c>
      <c r="H97" s="74">
        <v>0</v>
      </c>
      <c r="I97" s="98" t="s">
        <v>201</v>
      </c>
    </row>
    <row r="98" spans="1:9" ht="61.5" customHeight="1">
      <c r="A98" s="48">
        <v>150101</v>
      </c>
      <c r="B98" s="65" t="s">
        <v>1</v>
      </c>
      <c r="C98" s="65" t="s">
        <v>183</v>
      </c>
      <c r="D98" s="68">
        <v>297778</v>
      </c>
      <c r="E98" s="56">
        <f>100-(F98/D98)*100</f>
        <v>0</v>
      </c>
      <c r="F98" s="45">
        <f>SUM(D98)</f>
        <v>297778</v>
      </c>
      <c r="G98" s="68">
        <v>297778</v>
      </c>
      <c r="H98" s="74">
        <v>0</v>
      </c>
      <c r="I98" s="82" t="s">
        <v>206</v>
      </c>
    </row>
    <row r="99" spans="1:9" ht="60" customHeight="1">
      <c r="A99" s="48">
        <v>150101</v>
      </c>
      <c r="B99" s="65" t="s">
        <v>1</v>
      </c>
      <c r="C99" s="65" t="s">
        <v>27</v>
      </c>
      <c r="D99" s="68">
        <v>1851600</v>
      </c>
      <c r="E99" s="56">
        <f t="shared" si="2"/>
        <v>75.28393443508318</v>
      </c>
      <c r="F99" s="45">
        <f>SUM(D99-1393957.33)</f>
        <v>457642.6699999999</v>
      </c>
      <c r="G99" s="68">
        <f>457643-115638</f>
        <v>342005</v>
      </c>
      <c r="H99" s="74">
        <v>342004.03</v>
      </c>
      <c r="I99" s="98" t="s">
        <v>233</v>
      </c>
    </row>
    <row r="100" spans="1:9" ht="36" customHeight="1">
      <c r="A100" s="48">
        <v>250404</v>
      </c>
      <c r="B100" s="65" t="s">
        <v>36</v>
      </c>
      <c r="C100" s="67" t="s">
        <v>35</v>
      </c>
      <c r="D100" s="68"/>
      <c r="E100" s="56"/>
      <c r="F100" s="45"/>
      <c r="G100" s="68">
        <v>299900</v>
      </c>
      <c r="H100" s="74">
        <v>0</v>
      </c>
      <c r="I100" s="98" t="s">
        <v>201</v>
      </c>
    </row>
    <row r="101" spans="1:9" ht="42.75" customHeight="1">
      <c r="A101" s="99" t="s">
        <v>29</v>
      </c>
      <c r="B101" s="41" t="s">
        <v>104</v>
      </c>
      <c r="C101" s="70"/>
      <c r="D101" s="42">
        <f>SUM(D102:D107)</f>
        <v>607000</v>
      </c>
      <c r="E101" s="42"/>
      <c r="F101" s="42">
        <f>SUM(F102:F107)</f>
        <v>607000</v>
      </c>
      <c r="G101" s="42">
        <f>SUM(G102:G107)</f>
        <v>2497207</v>
      </c>
      <c r="H101" s="44">
        <f>SUM(H102:H107)</f>
        <v>1940501.63</v>
      </c>
      <c r="I101" s="100"/>
    </row>
    <row r="102" spans="1:9" ht="132.75" customHeight="1">
      <c r="A102" s="101" t="s">
        <v>33</v>
      </c>
      <c r="B102" s="67" t="s">
        <v>34</v>
      </c>
      <c r="C102" s="67" t="s">
        <v>35</v>
      </c>
      <c r="D102" s="45"/>
      <c r="E102" s="56"/>
      <c r="F102" s="56"/>
      <c r="G102" s="45">
        <v>761862</v>
      </c>
      <c r="H102" s="53">
        <v>529571.02</v>
      </c>
      <c r="I102" s="86" t="s">
        <v>255</v>
      </c>
    </row>
    <row r="103" spans="1:9" ht="45.75" customHeight="1">
      <c r="A103" s="101" t="s">
        <v>98</v>
      </c>
      <c r="B103" s="67" t="s">
        <v>36</v>
      </c>
      <c r="C103" s="67" t="s">
        <v>35</v>
      </c>
      <c r="D103" s="45"/>
      <c r="E103" s="56"/>
      <c r="F103" s="56"/>
      <c r="G103" s="45">
        <v>608345</v>
      </c>
      <c r="H103" s="53">
        <v>608345</v>
      </c>
      <c r="I103" s="86" t="s">
        <v>215</v>
      </c>
    </row>
    <row r="104" spans="1:9" ht="60" customHeight="1">
      <c r="A104" s="48">
        <v>150118</v>
      </c>
      <c r="B104" s="65" t="s">
        <v>105</v>
      </c>
      <c r="C104" s="67" t="s">
        <v>78</v>
      </c>
      <c r="D104" s="45"/>
      <c r="E104" s="56"/>
      <c r="F104" s="56"/>
      <c r="G104" s="45">
        <f>500000-50000</f>
        <v>450000</v>
      </c>
      <c r="H104" s="53">
        <v>450000</v>
      </c>
      <c r="I104" s="86" t="s">
        <v>256</v>
      </c>
    </row>
    <row r="105" spans="1:9" ht="61.5" customHeight="1">
      <c r="A105" s="93">
        <v>150101</v>
      </c>
      <c r="B105" s="65" t="s">
        <v>1</v>
      </c>
      <c r="C105" s="67" t="s">
        <v>86</v>
      </c>
      <c r="D105" s="45">
        <v>305000</v>
      </c>
      <c r="E105" s="56">
        <f>100-(F105/D105)*100</f>
        <v>0</v>
      </c>
      <c r="F105" s="68">
        <f>SUM(D105)</f>
        <v>305000</v>
      </c>
      <c r="G105" s="55">
        <v>305000</v>
      </c>
      <c r="H105" s="57">
        <v>282585.61</v>
      </c>
      <c r="I105" s="86" t="s">
        <v>228</v>
      </c>
    </row>
    <row r="106" spans="1:9" ht="60" customHeight="1">
      <c r="A106" s="93">
        <v>150101</v>
      </c>
      <c r="B106" s="65" t="s">
        <v>1</v>
      </c>
      <c r="C106" s="67" t="s">
        <v>87</v>
      </c>
      <c r="D106" s="45">
        <v>302000</v>
      </c>
      <c r="E106" s="56">
        <f>100-(F106/D106)*100</f>
        <v>0</v>
      </c>
      <c r="F106" s="68">
        <f>SUM(D106)</f>
        <v>302000</v>
      </c>
      <c r="G106" s="55">
        <v>302000</v>
      </c>
      <c r="H106" s="57">
        <v>0</v>
      </c>
      <c r="I106" s="97" t="s">
        <v>201</v>
      </c>
    </row>
    <row r="107" spans="1:9" ht="68.25" customHeight="1">
      <c r="A107" s="48">
        <v>180409</v>
      </c>
      <c r="B107" s="109" t="s">
        <v>58</v>
      </c>
      <c r="C107" s="65" t="s">
        <v>89</v>
      </c>
      <c r="D107" s="68"/>
      <c r="E107" s="56"/>
      <c r="F107" s="68"/>
      <c r="G107" s="55">
        <v>70000</v>
      </c>
      <c r="H107" s="57">
        <v>70000</v>
      </c>
      <c r="I107" s="86" t="s">
        <v>257</v>
      </c>
    </row>
    <row r="108" spans="1:9" ht="57" customHeight="1">
      <c r="A108" s="94" t="s">
        <v>7</v>
      </c>
      <c r="B108" s="47" t="s">
        <v>108</v>
      </c>
      <c r="C108" s="61"/>
      <c r="D108" s="49">
        <f>SUM(D109:D126)-D112</f>
        <v>42560907</v>
      </c>
      <c r="E108" s="69"/>
      <c r="F108" s="49">
        <f>SUM(F109:F126)-F112</f>
        <v>35648494.49</v>
      </c>
      <c r="G108" s="49">
        <f>SUM(G109:G126)-G112-G110-G114</f>
        <v>15011976</v>
      </c>
      <c r="H108" s="51">
        <f>SUM(H109:H126)-H112-H110-H114</f>
        <v>9363037.96</v>
      </c>
      <c r="I108" s="95"/>
    </row>
    <row r="109" spans="1:9" ht="55.5" customHeight="1">
      <c r="A109" s="122" t="s">
        <v>109</v>
      </c>
      <c r="B109" s="65" t="s">
        <v>110</v>
      </c>
      <c r="C109" s="65" t="s">
        <v>35</v>
      </c>
      <c r="D109" s="68"/>
      <c r="E109" s="69"/>
      <c r="F109" s="68"/>
      <c r="G109" s="68">
        <v>1694048</v>
      </c>
      <c r="H109" s="68">
        <v>1473351</v>
      </c>
      <c r="I109" s="89" t="s">
        <v>259</v>
      </c>
    </row>
    <row r="110" spans="1:9" ht="132.75" customHeight="1">
      <c r="A110" s="122"/>
      <c r="B110" s="67" t="s">
        <v>111</v>
      </c>
      <c r="C110" s="65"/>
      <c r="D110" s="68"/>
      <c r="E110" s="69"/>
      <c r="F110" s="68"/>
      <c r="G110" s="68">
        <v>920000</v>
      </c>
      <c r="H110" s="68">
        <v>722984</v>
      </c>
      <c r="I110" s="89" t="s">
        <v>258</v>
      </c>
    </row>
    <row r="111" spans="1:9" ht="100.5" customHeight="1">
      <c r="A111" s="122" t="s">
        <v>37</v>
      </c>
      <c r="B111" s="67" t="s">
        <v>70</v>
      </c>
      <c r="C111" s="67" t="s">
        <v>35</v>
      </c>
      <c r="D111" s="68"/>
      <c r="E111" s="56"/>
      <c r="F111" s="56"/>
      <c r="G111" s="68">
        <v>7586477</v>
      </c>
      <c r="H111" s="74">
        <v>5943671.57</v>
      </c>
      <c r="I111" s="89" t="s">
        <v>260</v>
      </c>
    </row>
    <row r="112" spans="1:9" ht="119.25" customHeight="1">
      <c r="A112" s="122"/>
      <c r="B112" s="67" t="s">
        <v>111</v>
      </c>
      <c r="C112" s="67"/>
      <c r="D112" s="68"/>
      <c r="E112" s="56"/>
      <c r="F112" s="56"/>
      <c r="G112" s="68">
        <v>5150000</v>
      </c>
      <c r="H112" s="74">
        <v>4062965.21</v>
      </c>
      <c r="I112" s="89" t="s">
        <v>263</v>
      </c>
    </row>
    <row r="113" spans="1:9" ht="75" customHeight="1">
      <c r="A113" s="122" t="s">
        <v>112</v>
      </c>
      <c r="B113" s="114" t="s">
        <v>292</v>
      </c>
      <c r="C113" s="67" t="s">
        <v>35</v>
      </c>
      <c r="D113" s="68"/>
      <c r="E113" s="56"/>
      <c r="F113" s="56"/>
      <c r="G113" s="68">
        <v>1045520</v>
      </c>
      <c r="H113" s="68">
        <v>602605</v>
      </c>
      <c r="I113" s="89" t="s">
        <v>261</v>
      </c>
    </row>
    <row r="114" spans="1:9" ht="135" customHeight="1">
      <c r="A114" s="122"/>
      <c r="B114" s="67" t="s">
        <v>111</v>
      </c>
      <c r="C114" s="67"/>
      <c r="D114" s="68"/>
      <c r="E114" s="56"/>
      <c r="F114" s="56"/>
      <c r="G114" s="68">
        <v>930000</v>
      </c>
      <c r="H114" s="68">
        <v>488105</v>
      </c>
      <c r="I114" s="89" t="s">
        <v>262</v>
      </c>
    </row>
    <row r="115" spans="1:9" ht="57.75" customHeight="1">
      <c r="A115" s="93" t="s">
        <v>113</v>
      </c>
      <c r="B115" s="67" t="s">
        <v>114</v>
      </c>
      <c r="C115" s="67" t="s">
        <v>35</v>
      </c>
      <c r="D115" s="68"/>
      <c r="E115" s="56"/>
      <c r="F115" s="56"/>
      <c r="G115" s="68">
        <v>14700</v>
      </c>
      <c r="H115" s="74">
        <v>14699.2</v>
      </c>
      <c r="I115" s="83" t="s">
        <v>264</v>
      </c>
    </row>
    <row r="116" spans="1:9" ht="59.25" customHeight="1">
      <c r="A116" s="93" t="s">
        <v>115</v>
      </c>
      <c r="B116" s="67" t="s">
        <v>116</v>
      </c>
      <c r="C116" s="67" t="s">
        <v>35</v>
      </c>
      <c r="D116" s="68"/>
      <c r="E116" s="56"/>
      <c r="F116" s="56"/>
      <c r="G116" s="68">
        <v>54100</v>
      </c>
      <c r="H116" s="68">
        <v>54078</v>
      </c>
      <c r="I116" s="112" t="s">
        <v>279</v>
      </c>
    </row>
    <row r="117" spans="1:9" ht="63" customHeight="1">
      <c r="A117" s="93" t="s">
        <v>145</v>
      </c>
      <c r="B117" s="67" t="s">
        <v>146</v>
      </c>
      <c r="C117" s="67" t="s">
        <v>35</v>
      </c>
      <c r="D117" s="68"/>
      <c r="E117" s="56"/>
      <c r="F117" s="56"/>
      <c r="G117" s="68">
        <v>5000</v>
      </c>
      <c r="H117" s="68">
        <v>5000</v>
      </c>
      <c r="I117" s="83" t="s">
        <v>293</v>
      </c>
    </row>
    <row r="118" spans="1:9" ht="62.25" customHeight="1">
      <c r="A118" s="48">
        <v>150101</v>
      </c>
      <c r="B118" s="65" t="s">
        <v>1</v>
      </c>
      <c r="C118" s="65" t="s">
        <v>142</v>
      </c>
      <c r="D118" s="68">
        <v>300000</v>
      </c>
      <c r="E118" s="52">
        <f>100-(F118/D118)*100</f>
        <v>0</v>
      </c>
      <c r="F118" s="68">
        <f>D118</f>
        <v>300000</v>
      </c>
      <c r="G118" s="55">
        <v>300000</v>
      </c>
      <c r="H118" s="57">
        <v>285872.66</v>
      </c>
      <c r="I118" s="67" t="s">
        <v>207</v>
      </c>
    </row>
    <row r="119" spans="1:9" ht="59.25" customHeight="1">
      <c r="A119" s="48">
        <v>150101</v>
      </c>
      <c r="B119" s="65" t="s">
        <v>1</v>
      </c>
      <c r="C119" s="65" t="s">
        <v>72</v>
      </c>
      <c r="D119" s="68">
        <v>9459239</v>
      </c>
      <c r="E119" s="52">
        <f>100-(F119/D119)*100</f>
        <v>9.952787956832466</v>
      </c>
      <c r="F119" s="68">
        <f>D119-941458</f>
        <v>8517781</v>
      </c>
      <c r="G119" s="55">
        <f>55000+14500-1572</f>
        <v>67928</v>
      </c>
      <c r="H119" s="57">
        <v>67927.53</v>
      </c>
      <c r="I119" s="67" t="s">
        <v>265</v>
      </c>
    </row>
    <row r="120" spans="1:9" ht="59.25" customHeight="1">
      <c r="A120" s="48">
        <v>150101</v>
      </c>
      <c r="B120" s="65" t="s">
        <v>1</v>
      </c>
      <c r="C120" s="67" t="s">
        <v>73</v>
      </c>
      <c r="D120" s="68">
        <v>13094882</v>
      </c>
      <c r="E120" s="56">
        <f aca="true" t="shared" si="3" ref="E120:E126">100-(F120/D120)*100</f>
        <v>1.5435468605215448</v>
      </c>
      <c r="F120" s="45">
        <f>SUM(D120-202125.64)</f>
        <v>12892756.36</v>
      </c>
      <c r="G120" s="55">
        <f>1898874-1780936</f>
        <v>117938</v>
      </c>
      <c r="H120" s="57">
        <v>117937.06</v>
      </c>
      <c r="I120" s="67" t="s">
        <v>265</v>
      </c>
    </row>
    <row r="121" spans="1:9" ht="60" customHeight="1">
      <c r="A121" s="70">
        <v>150101</v>
      </c>
      <c r="B121" s="67" t="s">
        <v>1</v>
      </c>
      <c r="C121" s="115" t="s">
        <v>294</v>
      </c>
      <c r="D121" s="68">
        <v>399000</v>
      </c>
      <c r="E121" s="56">
        <f>100-(F121/D121)*100</f>
        <v>0</v>
      </c>
      <c r="F121" s="45">
        <f>SUM(D121)</f>
        <v>399000</v>
      </c>
      <c r="G121" s="55">
        <v>399000</v>
      </c>
      <c r="H121" s="57">
        <v>21297.19</v>
      </c>
      <c r="I121" s="67" t="s">
        <v>265</v>
      </c>
    </row>
    <row r="122" spans="1:9" ht="78.75" customHeight="1">
      <c r="A122" s="70">
        <v>150101</v>
      </c>
      <c r="B122" s="67" t="s">
        <v>1</v>
      </c>
      <c r="C122" s="65" t="s">
        <v>28</v>
      </c>
      <c r="D122" s="68">
        <v>2105695</v>
      </c>
      <c r="E122" s="56">
        <f t="shared" si="3"/>
        <v>0</v>
      </c>
      <c r="F122" s="45">
        <f>SUM(D122)</f>
        <v>2105695</v>
      </c>
      <c r="G122" s="55">
        <f>313641-272910+400000</f>
        <v>440731</v>
      </c>
      <c r="H122" s="57">
        <v>158600.85</v>
      </c>
      <c r="I122" s="67" t="s">
        <v>216</v>
      </c>
    </row>
    <row r="123" spans="1:9" ht="98.25" customHeight="1">
      <c r="A123" s="70">
        <v>150101</v>
      </c>
      <c r="B123" s="67" t="s">
        <v>1</v>
      </c>
      <c r="C123" s="65" t="s">
        <v>8</v>
      </c>
      <c r="D123" s="68">
        <v>3519492</v>
      </c>
      <c r="E123" s="52">
        <f t="shared" si="3"/>
        <v>31.88812192214104</v>
      </c>
      <c r="F123" s="68">
        <f>SUM(D123-1122299.9)</f>
        <v>2397192.1</v>
      </c>
      <c r="G123" s="55">
        <f>900000+91038+182182</f>
        <v>1173220</v>
      </c>
      <c r="H123" s="57">
        <v>182181.6</v>
      </c>
      <c r="I123" s="67" t="s">
        <v>217</v>
      </c>
    </row>
    <row r="124" spans="1:9" ht="76.5" customHeight="1">
      <c r="A124" s="70">
        <v>150101</v>
      </c>
      <c r="B124" s="67" t="s">
        <v>1</v>
      </c>
      <c r="C124" s="65" t="s">
        <v>9</v>
      </c>
      <c r="D124" s="68">
        <v>2335982</v>
      </c>
      <c r="E124" s="56">
        <f t="shared" si="3"/>
        <v>66.15967760025548</v>
      </c>
      <c r="F124" s="45">
        <f>SUM(D124-1545478.16)</f>
        <v>790503.8400000001</v>
      </c>
      <c r="G124" s="55">
        <f>687804+3240</f>
        <v>691044</v>
      </c>
      <c r="H124" s="57">
        <v>3239.96</v>
      </c>
      <c r="I124" s="67" t="s">
        <v>218</v>
      </c>
    </row>
    <row r="125" spans="1:9" ht="62.25" customHeight="1">
      <c r="A125" s="70">
        <v>150101</v>
      </c>
      <c r="B125" s="67" t="s">
        <v>1</v>
      </c>
      <c r="C125" s="65" t="s">
        <v>96</v>
      </c>
      <c r="D125" s="68">
        <v>4967478</v>
      </c>
      <c r="E125" s="56">
        <f t="shared" si="3"/>
        <v>21.53405812768571</v>
      </c>
      <c r="F125" s="45">
        <f>SUM(D125-1069699.6)</f>
        <v>3897778.4</v>
      </c>
      <c r="G125" s="55">
        <f>194258+15000</f>
        <v>209258</v>
      </c>
      <c r="H125" s="57">
        <v>206469.24</v>
      </c>
      <c r="I125" s="67" t="s">
        <v>265</v>
      </c>
    </row>
    <row r="126" spans="1:9" ht="42" customHeight="1">
      <c r="A126" s="126">
        <v>150101</v>
      </c>
      <c r="B126" s="125" t="s">
        <v>1</v>
      </c>
      <c r="C126" s="65" t="s">
        <v>10</v>
      </c>
      <c r="D126" s="68">
        <v>6379139</v>
      </c>
      <c r="E126" s="52">
        <f t="shared" si="3"/>
        <v>31.843658054793906</v>
      </c>
      <c r="F126" s="68">
        <f>SUM(D126-2031351.21)</f>
        <v>4347787.79</v>
      </c>
      <c r="G126" s="55">
        <f>SUM(G128:G129)</f>
        <v>1213012</v>
      </c>
      <c r="H126" s="57">
        <f>SUM(H128:H129)</f>
        <v>226107.1</v>
      </c>
      <c r="I126" s="123" t="s">
        <v>219</v>
      </c>
    </row>
    <row r="127" spans="1:9" ht="20.25" customHeight="1">
      <c r="A127" s="126"/>
      <c r="B127" s="125"/>
      <c r="C127" s="67" t="s">
        <v>38</v>
      </c>
      <c r="D127" s="68"/>
      <c r="E127" s="56"/>
      <c r="F127" s="68"/>
      <c r="G127" s="55"/>
      <c r="H127" s="57"/>
      <c r="I127" s="123"/>
    </row>
    <row r="128" spans="1:9" ht="40.5" customHeight="1">
      <c r="A128" s="126"/>
      <c r="B128" s="125"/>
      <c r="C128" s="67" t="s">
        <v>184</v>
      </c>
      <c r="D128" s="68"/>
      <c r="E128" s="56"/>
      <c r="F128" s="68"/>
      <c r="G128" s="55">
        <v>1020000</v>
      </c>
      <c r="H128" s="57">
        <v>181131</v>
      </c>
      <c r="I128" s="123"/>
    </row>
    <row r="129" spans="1:9" ht="23.25" customHeight="1">
      <c r="A129" s="126"/>
      <c r="B129" s="125"/>
      <c r="C129" s="67" t="s">
        <v>181</v>
      </c>
      <c r="D129" s="68"/>
      <c r="E129" s="56"/>
      <c r="F129" s="68"/>
      <c r="G129" s="55">
        <v>193012</v>
      </c>
      <c r="H129" s="57">
        <v>44976.1</v>
      </c>
      <c r="I129" s="123"/>
    </row>
    <row r="130" spans="1:9" ht="60" customHeight="1">
      <c r="A130" s="94" t="s">
        <v>11</v>
      </c>
      <c r="B130" s="47" t="s">
        <v>117</v>
      </c>
      <c r="C130" s="48"/>
      <c r="D130" s="49">
        <f>SUM(D131:D148)-D135-D139</f>
        <v>33679089</v>
      </c>
      <c r="E130" s="69"/>
      <c r="F130" s="49">
        <f>SUM(F133:F148)</f>
        <v>19884591.050000004</v>
      </c>
      <c r="G130" s="49">
        <f>SUM(G131+G134+G137+G138+G132+G133+G140+G142+G143+G144+G145+G146+G147+G148+G141+G152)</f>
        <v>13237140</v>
      </c>
      <c r="H130" s="49">
        <f>SUM(H131+H134+H137+H138+H132+H133+H140+H142+H143+H144+H145+H146+H147+H148+H141+H152)</f>
        <v>11344675.87</v>
      </c>
      <c r="I130" s="95"/>
    </row>
    <row r="131" spans="1:10" ht="84" customHeight="1">
      <c r="A131" s="93" t="s">
        <v>33</v>
      </c>
      <c r="B131" s="65" t="s">
        <v>34</v>
      </c>
      <c r="C131" s="65" t="s">
        <v>35</v>
      </c>
      <c r="D131" s="68"/>
      <c r="E131" s="69"/>
      <c r="F131" s="68"/>
      <c r="G131" s="68">
        <v>19000</v>
      </c>
      <c r="H131" s="74">
        <v>18780.4</v>
      </c>
      <c r="I131" s="83" t="s">
        <v>200</v>
      </c>
      <c r="J131" s="40"/>
    </row>
    <row r="132" spans="1:9" ht="77.25" customHeight="1">
      <c r="A132" s="93" t="s">
        <v>76</v>
      </c>
      <c r="B132" s="67" t="s">
        <v>77</v>
      </c>
      <c r="C132" s="67" t="s">
        <v>35</v>
      </c>
      <c r="D132" s="68"/>
      <c r="E132" s="56"/>
      <c r="F132" s="56"/>
      <c r="G132" s="68">
        <v>53600</v>
      </c>
      <c r="H132" s="74">
        <v>33076</v>
      </c>
      <c r="I132" s="83" t="s">
        <v>203</v>
      </c>
    </row>
    <row r="133" spans="1:9" ht="58.5" customHeight="1">
      <c r="A133" s="48">
        <v>150101</v>
      </c>
      <c r="B133" s="65" t="s">
        <v>1</v>
      </c>
      <c r="C133" s="62" t="s">
        <v>140</v>
      </c>
      <c r="D133" s="68">
        <v>340850</v>
      </c>
      <c r="E133" s="52">
        <f>100-(F133/D133)*100</f>
        <v>0</v>
      </c>
      <c r="F133" s="68">
        <f>D133</f>
        <v>340850</v>
      </c>
      <c r="G133" s="55">
        <f>300000+40850</f>
        <v>340850</v>
      </c>
      <c r="H133" s="57">
        <v>277148.55</v>
      </c>
      <c r="I133" s="86" t="s">
        <v>230</v>
      </c>
    </row>
    <row r="134" spans="1:9" ht="368.25" customHeight="1">
      <c r="A134" s="122" t="s">
        <v>61</v>
      </c>
      <c r="B134" s="65" t="s">
        <v>62</v>
      </c>
      <c r="C134" s="67" t="s">
        <v>35</v>
      </c>
      <c r="D134" s="68"/>
      <c r="E134" s="56"/>
      <c r="F134" s="56"/>
      <c r="G134" s="68">
        <v>4790061</v>
      </c>
      <c r="H134" s="74">
        <v>4034990</v>
      </c>
      <c r="I134" s="111" t="s">
        <v>266</v>
      </c>
    </row>
    <row r="135" spans="1:9" ht="312" customHeight="1">
      <c r="A135" s="122"/>
      <c r="B135" s="125" t="s">
        <v>111</v>
      </c>
      <c r="C135" s="126"/>
      <c r="D135" s="118"/>
      <c r="E135" s="120"/>
      <c r="F135" s="118"/>
      <c r="G135" s="68">
        <f>1752500+95556</f>
        <v>1848056</v>
      </c>
      <c r="H135" s="74">
        <v>1624020.63</v>
      </c>
      <c r="I135" s="83" t="s">
        <v>295</v>
      </c>
    </row>
    <row r="136" spans="1:9" ht="40.5" customHeight="1">
      <c r="A136" s="122"/>
      <c r="B136" s="125"/>
      <c r="C136" s="126"/>
      <c r="D136" s="118"/>
      <c r="E136" s="120"/>
      <c r="F136" s="118"/>
      <c r="G136" s="68">
        <f>1000000-95556</f>
        <v>904444</v>
      </c>
      <c r="H136" s="74">
        <v>794752</v>
      </c>
      <c r="I136" s="83" t="s">
        <v>202</v>
      </c>
    </row>
    <row r="137" spans="1:9" ht="115.5" customHeight="1">
      <c r="A137" s="93" t="s">
        <v>147</v>
      </c>
      <c r="B137" s="67" t="s">
        <v>148</v>
      </c>
      <c r="C137" s="67" t="s">
        <v>35</v>
      </c>
      <c r="D137" s="68"/>
      <c r="E137" s="69"/>
      <c r="F137" s="68"/>
      <c r="G137" s="68">
        <v>10000</v>
      </c>
      <c r="H137" s="74">
        <v>10000</v>
      </c>
      <c r="I137" s="83" t="s">
        <v>220</v>
      </c>
    </row>
    <row r="138" spans="1:9" ht="350.25" customHeight="1">
      <c r="A138" s="122" t="s">
        <v>74</v>
      </c>
      <c r="B138" s="67" t="s">
        <v>75</v>
      </c>
      <c r="C138" s="67" t="s">
        <v>35</v>
      </c>
      <c r="D138" s="68"/>
      <c r="E138" s="56"/>
      <c r="F138" s="56"/>
      <c r="G138" s="68">
        <v>1094215</v>
      </c>
      <c r="H138" s="74">
        <v>979127.58</v>
      </c>
      <c r="I138" s="83" t="s">
        <v>267</v>
      </c>
    </row>
    <row r="139" spans="1:9" ht="103.5" customHeight="1">
      <c r="A139" s="122"/>
      <c r="B139" s="110" t="s">
        <v>111</v>
      </c>
      <c r="C139" s="67"/>
      <c r="D139" s="68"/>
      <c r="E139" s="69"/>
      <c r="F139" s="68"/>
      <c r="G139" s="68">
        <v>247500</v>
      </c>
      <c r="H139" s="53">
        <v>246648</v>
      </c>
      <c r="I139" s="83" t="s">
        <v>205</v>
      </c>
    </row>
    <row r="140" spans="1:9" ht="79.5" customHeight="1">
      <c r="A140" s="48">
        <v>150101</v>
      </c>
      <c r="B140" s="65" t="s">
        <v>1</v>
      </c>
      <c r="C140" s="63" t="s">
        <v>12</v>
      </c>
      <c r="D140" s="118">
        <v>7053562</v>
      </c>
      <c r="E140" s="119">
        <f aca="true" t="shared" si="4" ref="E140:E148">100-(F140/D140)*100</f>
        <v>16.371200253148686</v>
      </c>
      <c r="F140" s="118">
        <f>D140-1154752.76</f>
        <v>5898809.24</v>
      </c>
      <c r="G140" s="55">
        <v>2500</v>
      </c>
      <c r="H140" s="57">
        <v>2463.2</v>
      </c>
      <c r="I140" s="123" t="s">
        <v>296</v>
      </c>
    </row>
    <row r="141" spans="1:18" ht="97.5" customHeight="1">
      <c r="A141" s="48">
        <v>150101</v>
      </c>
      <c r="B141" s="65" t="s">
        <v>1</v>
      </c>
      <c r="C141" s="63" t="s">
        <v>187</v>
      </c>
      <c r="D141" s="118"/>
      <c r="E141" s="119"/>
      <c r="F141" s="118"/>
      <c r="G141" s="55">
        <v>2280300</v>
      </c>
      <c r="H141" s="53">
        <v>1732003.26</v>
      </c>
      <c r="I141" s="123"/>
      <c r="J141" s="22"/>
      <c r="K141" s="22"/>
      <c r="L141" s="22"/>
      <c r="M141" s="10"/>
      <c r="O141" s="2"/>
      <c r="P141" s="2"/>
      <c r="Q141" s="2"/>
      <c r="R141" s="2"/>
    </row>
    <row r="142" spans="1:9" ht="82.5" customHeight="1">
      <c r="A142" s="48">
        <v>150101</v>
      </c>
      <c r="B142" s="65" t="s">
        <v>1</v>
      </c>
      <c r="C142" s="67" t="s">
        <v>156</v>
      </c>
      <c r="D142" s="68">
        <v>200000</v>
      </c>
      <c r="E142" s="52">
        <f t="shared" si="4"/>
        <v>15.074399999999997</v>
      </c>
      <c r="F142" s="68">
        <f>D142-30148.8</f>
        <v>169851.2</v>
      </c>
      <c r="G142" s="55">
        <f>100000+40000</f>
        <v>140000</v>
      </c>
      <c r="H142" s="53">
        <v>136051.83</v>
      </c>
      <c r="I142" s="67" t="s">
        <v>245</v>
      </c>
    </row>
    <row r="143" spans="1:9" ht="111.75" customHeight="1">
      <c r="A143" s="48">
        <v>150101</v>
      </c>
      <c r="B143" s="65" t="s">
        <v>1</v>
      </c>
      <c r="C143" s="63" t="s">
        <v>13</v>
      </c>
      <c r="D143" s="68">
        <v>4750000</v>
      </c>
      <c r="E143" s="56">
        <f t="shared" si="4"/>
        <v>91.52431578947369</v>
      </c>
      <c r="F143" s="45">
        <f>SUM(D143-4347405)</f>
        <v>402595</v>
      </c>
      <c r="G143" s="55">
        <v>402595</v>
      </c>
      <c r="H143" s="53">
        <v>402595</v>
      </c>
      <c r="I143" s="67" t="s">
        <v>221</v>
      </c>
    </row>
    <row r="144" spans="1:9" ht="58.5" customHeight="1">
      <c r="A144" s="70">
        <v>150101</v>
      </c>
      <c r="B144" s="67" t="s">
        <v>1</v>
      </c>
      <c r="C144" s="63" t="s">
        <v>14</v>
      </c>
      <c r="D144" s="68">
        <v>6405982</v>
      </c>
      <c r="E144" s="56">
        <f t="shared" si="4"/>
        <v>69.4035980744248</v>
      </c>
      <c r="F144" s="45">
        <f>SUM(D144-1000000-610706-147669.64-487760.95-2047200-152645.41)</f>
        <v>1960000.0000000002</v>
      </c>
      <c r="G144" s="55">
        <f>2800000-840000-1382920</f>
        <v>577080</v>
      </c>
      <c r="H144" s="57">
        <v>569912.42</v>
      </c>
      <c r="I144" s="67" t="s">
        <v>268</v>
      </c>
    </row>
    <row r="145" spans="1:9" ht="68.25" customHeight="1">
      <c r="A145" s="70">
        <v>150101</v>
      </c>
      <c r="B145" s="67" t="s">
        <v>1</v>
      </c>
      <c r="C145" s="63" t="s">
        <v>60</v>
      </c>
      <c r="D145" s="45">
        <v>6538291</v>
      </c>
      <c r="E145" s="46">
        <f>100-(F145/D145)*100</f>
        <v>0.025311201352153034</v>
      </c>
      <c r="F145" s="45">
        <f>SUM(D145-1654.92)</f>
        <v>6536636.08</v>
      </c>
      <c r="G145" s="55">
        <f>3900</f>
        <v>3900</v>
      </c>
      <c r="H145" s="57">
        <v>3861.48</v>
      </c>
      <c r="I145" s="67" t="s">
        <v>238</v>
      </c>
    </row>
    <row r="146" spans="1:9" ht="57" customHeight="1">
      <c r="A146" s="70">
        <v>150101</v>
      </c>
      <c r="B146" s="67" t="s">
        <v>1</v>
      </c>
      <c r="C146" s="67" t="s">
        <v>15</v>
      </c>
      <c r="D146" s="55">
        <v>581015</v>
      </c>
      <c r="E146" s="56">
        <f>100-(F146/D146)*100</f>
        <v>0</v>
      </c>
      <c r="F146" s="45">
        <f>SUM(D146)</f>
        <v>581015</v>
      </c>
      <c r="G146" s="55">
        <v>581015</v>
      </c>
      <c r="H146" s="57">
        <v>202783.77</v>
      </c>
      <c r="I146" s="67" t="s">
        <v>222</v>
      </c>
    </row>
    <row r="147" spans="1:9" ht="59.25" customHeight="1">
      <c r="A147" s="70">
        <v>150101</v>
      </c>
      <c r="B147" s="67" t="s">
        <v>1</v>
      </c>
      <c r="C147" s="62" t="s">
        <v>16</v>
      </c>
      <c r="D147" s="45">
        <v>1537249</v>
      </c>
      <c r="E147" s="46">
        <f t="shared" si="4"/>
        <v>37.82567560622905</v>
      </c>
      <c r="F147" s="45">
        <f>D147-581474.82</f>
        <v>955774.18</v>
      </c>
      <c r="G147" s="55">
        <f>259160+315000-2836</f>
        <v>571324</v>
      </c>
      <c r="H147" s="57">
        <v>571323.59</v>
      </c>
      <c r="I147" s="67" t="s">
        <v>269</v>
      </c>
    </row>
    <row r="148" spans="1:9" ht="63" customHeight="1">
      <c r="A148" s="126">
        <v>150101</v>
      </c>
      <c r="B148" s="125" t="s">
        <v>1</v>
      </c>
      <c r="C148" s="62" t="s">
        <v>17</v>
      </c>
      <c r="D148" s="124">
        <v>6272140</v>
      </c>
      <c r="E148" s="119">
        <f t="shared" si="4"/>
        <v>51.546675456861614</v>
      </c>
      <c r="F148" s="118">
        <f>SUM(D148-3233079.65)</f>
        <v>3039060.35</v>
      </c>
      <c r="G148" s="55">
        <f>SUM(G150:G151)</f>
        <v>1204000</v>
      </c>
      <c r="H148" s="57">
        <f>SUM(H150:H151)</f>
        <v>1203858.79</v>
      </c>
      <c r="I148" s="123" t="s">
        <v>270</v>
      </c>
    </row>
    <row r="149" spans="1:9" ht="20.25" customHeight="1">
      <c r="A149" s="126"/>
      <c r="B149" s="125"/>
      <c r="C149" s="67" t="s">
        <v>38</v>
      </c>
      <c r="D149" s="124"/>
      <c r="E149" s="119"/>
      <c r="F149" s="118"/>
      <c r="G149" s="55"/>
      <c r="H149" s="57"/>
      <c r="I149" s="123"/>
    </row>
    <row r="150" spans="1:9" ht="40.5" customHeight="1">
      <c r="A150" s="126"/>
      <c r="B150" s="125"/>
      <c r="C150" s="67" t="s">
        <v>184</v>
      </c>
      <c r="D150" s="124"/>
      <c r="E150" s="119"/>
      <c r="F150" s="118"/>
      <c r="G150" s="55">
        <v>1020000</v>
      </c>
      <c r="H150" s="53">
        <v>1020000</v>
      </c>
      <c r="I150" s="123"/>
    </row>
    <row r="151" spans="1:9" ht="23.25" customHeight="1">
      <c r="A151" s="126"/>
      <c r="B151" s="125"/>
      <c r="C151" s="67" t="s">
        <v>181</v>
      </c>
      <c r="D151" s="124"/>
      <c r="E151" s="119"/>
      <c r="F151" s="118"/>
      <c r="G151" s="55">
        <v>184000</v>
      </c>
      <c r="H151" s="53">
        <v>183858.79</v>
      </c>
      <c r="I151" s="123"/>
    </row>
    <row r="152" spans="1:18" ht="95.25" customHeight="1">
      <c r="A152" s="70">
        <v>150101</v>
      </c>
      <c r="B152" s="67" t="s">
        <v>1</v>
      </c>
      <c r="C152" s="62" t="s">
        <v>155</v>
      </c>
      <c r="D152" s="45"/>
      <c r="E152" s="52"/>
      <c r="F152" s="68"/>
      <c r="G152" s="55">
        <v>1166700</v>
      </c>
      <c r="H152" s="57">
        <v>1166700</v>
      </c>
      <c r="I152" s="123"/>
      <c r="J152" s="22"/>
      <c r="K152" s="22"/>
      <c r="L152" s="22"/>
      <c r="M152" s="10"/>
      <c r="O152" s="2"/>
      <c r="P152" s="2"/>
      <c r="Q152" s="2"/>
      <c r="R152" s="2"/>
    </row>
    <row r="153" spans="1:9" ht="73.5" customHeight="1">
      <c r="A153" s="99" t="s">
        <v>45</v>
      </c>
      <c r="B153" s="41" t="s">
        <v>118</v>
      </c>
      <c r="C153" s="41"/>
      <c r="D153" s="42">
        <f>SUM(D154:D157)</f>
        <v>8406988</v>
      </c>
      <c r="E153" s="64"/>
      <c r="F153" s="42">
        <f>SUM(F154:F157)</f>
        <v>7144627.430000001</v>
      </c>
      <c r="G153" s="42">
        <f>SUM(G154:G157)</f>
        <v>3228322</v>
      </c>
      <c r="H153" s="44">
        <f>SUM(H154:H157)</f>
        <v>433050.77</v>
      </c>
      <c r="I153" s="102"/>
    </row>
    <row r="154" spans="1:9" ht="77.25" customHeight="1">
      <c r="A154" s="101" t="s">
        <v>119</v>
      </c>
      <c r="B154" s="67" t="s">
        <v>120</v>
      </c>
      <c r="C154" s="67" t="s">
        <v>35</v>
      </c>
      <c r="D154" s="45"/>
      <c r="E154" s="56"/>
      <c r="F154" s="56"/>
      <c r="G154" s="45">
        <v>10000</v>
      </c>
      <c r="H154" s="45">
        <v>9932</v>
      </c>
      <c r="I154" s="86" t="s">
        <v>232</v>
      </c>
    </row>
    <row r="155" spans="1:9" ht="48" customHeight="1">
      <c r="A155" s="101" t="s">
        <v>33</v>
      </c>
      <c r="B155" s="67" t="s">
        <v>34</v>
      </c>
      <c r="C155" s="67" t="s">
        <v>35</v>
      </c>
      <c r="D155" s="45"/>
      <c r="E155" s="56"/>
      <c r="F155" s="56"/>
      <c r="G155" s="45">
        <v>84640</v>
      </c>
      <c r="H155" s="53">
        <v>4991.16</v>
      </c>
      <c r="I155" s="86" t="s">
        <v>231</v>
      </c>
    </row>
    <row r="156" spans="1:9" ht="57" customHeight="1">
      <c r="A156" s="70">
        <v>150101</v>
      </c>
      <c r="B156" s="67" t="s">
        <v>1</v>
      </c>
      <c r="C156" s="67" t="s">
        <v>46</v>
      </c>
      <c r="D156" s="45">
        <v>3092609</v>
      </c>
      <c r="E156" s="46">
        <f>100-(F156/D156)*100</f>
        <v>28.417454647516053</v>
      </c>
      <c r="F156" s="45">
        <f>SUM(D156-878840.76)</f>
        <v>2213768.24</v>
      </c>
      <c r="G156" s="45">
        <f>200000+1344927</f>
        <v>1544927</v>
      </c>
      <c r="H156" s="53">
        <v>259252.51</v>
      </c>
      <c r="I156" s="86" t="s">
        <v>223</v>
      </c>
    </row>
    <row r="157" spans="1:9" ht="79.5" customHeight="1">
      <c r="A157" s="70">
        <v>150101</v>
      </c>
      <c r="B157" s="67" t="s">
        <v>1</v>
      </c>
      <c r="C157" s="67" t="s">
        <v>164</v>
      </c>
      <c r="D157" s="45">
        <v>5314379</v>
      </c>
      <c r="E157" s="56">
        <f>100-(F157/D157)*100</f>
        <v>7.216643939019022</v>
      </c>
      <c r="F157" s="45">
        <f>SUM(D157-383519.81)</f>
        <v>4930859.19</v>
      </c>
      <c r="G157" s="45">
        <v>1588755</v>
      </c>
      <c r="H157" s="53">
        <v>158875.1</v>
      </c>
      <c r="I157" s="67" t="s">
        <v>271</v>
      </c>
    </row>
    <row r="158" spans="1:9" ht="77.25" customHeight="1">
      <c r="A158" s="99" t="s">
        <v>45</v>
      </c>
      <c r="B158" s="41" t="s">
        <v>132</v>
      </c>
      <c r="C158" s="41"/>
      <c r="D158" s="42">
        <f>SUM(D159)</f>
        <v>0</v>
      </c>
      <c r="E158" s="64"/>
      <c r="F158" s="42">
        <f>SUM(F159)</f>
        <v>0</v>
      </c>
      <c r="G158" s="42">
        <f>SUM(G159)</f>
        <v>199266</v>
      </c>
      <c r="H158" s="44">
        <f>SUM(H159)</f>
        <v>199266</v>
      </c>
      <c r="I158" s="102"/>
    </row>
    <row r="159" spans="1:9" ht="40.5" customHeight="1">
      <c r="A159" s="101" t="s">
        <v>33</v>
      </c>
      <c r="B159" s="67" t="s">
        <v>34</v>
      </c>
      <c r="C159" s="70" t="s">
        <v>35</v>
      </c>
      <c r="D159" s="45" t="s">
        <v>135</v>
      </c>
      <c r="E159" s="56"/>
      <c r="F159" s="56"/>
      <c r="G159" s="45">
        <v>199266</v>
      </c>
      <c r="H159" s="53">
        <v>199266</v>
      </c>
      <c r="I159" s="86" t="s">
        <v>272</v>
      </c>
    </row>
    <row r="160" spans="1:14" s="37" customFormat="1" ht="79.5" customHeight="1">
      <c r="A160" s="94" t="s">
        <v>186</v>
      </c>
      <c r="B160" s="47" t="s">
        <v>185</v>
      </c>
      <c r="C160" s="48"/>
      <c r="D160" s="49">
        <f>SUM(D161:D161)</f>
        <v>0</v>
      </c>
      <c r="E160" s="50"/>
      <c r="F160" s="49">
        <f>SUM(F161:F161)</f>
        <v>0</v>
      </c>
      <c r="G160" s="49">
        <f>SUM(G161:G161)</f>
        <v>419379</v>
      </c>
      <c r="H160" s="51">
        <f>SUM(H161:H161)</f>
        <v>419244.64</v>
      </c>
      <c r="I160" s="95"/>
      <c r="J160" s="36"/>
      <c r="K160" s="36"/>
      <c r="L160" s="36"/>
      <c r="M160" s="36"/>
      <c r="N160" s="36"/>
    </row>
    <row r="161" spans="1:14" s="37" customFormat="1" ht="78" customHeight="1">
      <c r="A161" s="93" t="s">
        <v>33</v>
      </c>
      <c r="B161" s="65" t="s">
        <v>34</v>
      </c>
      <c r="C161" s="70" t="s">
        <v>35</v>
      </c>
      <c r="D161" s="68"/>
      <c r="E161" s="69"/>
      <c r="F161" s="68"/>
      <c r="G161" s="68">
        <v>419379</v>
      </c>
      <c r="H161" s="74">
        <v>419244.64</v>
      </c>
      <c r="I161" s="83" t="s">
        <v>196</v>
      </c>
      <c r="J161" s="36"/>
      <c r="K161" s="36"/>
      <c r="L161" s="36"/>
      <c r="M161" s="36"/>
      <c r="N161" s="36"/>
    </row>
    <row r="162" spans="1:14" s="37" customFormat="1" ht="56.25" customHeight="1">
      <c r="A162" s="94" t="s">
        <v>18</v>
      </c>
      <c r="B162" s="47" t="s">
        <v>123</v>
      </c>
      <c r="C162" s="48"/>
      <c r="D162" s="49">
        <f>SUM(D163:D165)</f>
        <v>0</v>
      </c>
      <c r="E162" s="50"/>
      <c r="F162" s="49">
        <f>SUM(F163:F165)</f>
        <v>0</v>
      </c>
      <c r="G162" s="49">
        <f>SUM(G163:G165)</f>
        <v>207965</v>
      </c>
      <c r="H162" s="49">
        <f>SUM(H163:H165)</f>
        <v>207965</v>
      </c>
      <c r="I162" s="95"/>
      <c r="J162" s="36"/>
      <c r="K162" s="36"/>
      <c r="L162" s="36"/>
      <c r="M162" s="36"/>
      <c r="N162" s="36"/>
    </row>
    <row r="163" spans="1:14" s="37" customFormat="1" ht="95.25" customHeight="1">
      <c r="A163" s="93" t="s">
        <v>124</v>
      </c>
      <c r="B163" s="65" t="s">
        <v>125</v>
      </c>
      <c r="C163" s="48" t="s">
        <v>35</v>
      </c>
      <c r="D163" s="68"/>
      <c r="E163" s="69"/>
      <c r="F163" s="68"/>
      <c r="G163" s="68">
        <v>110600</v>
      </c>
      <c r="H163" s="68">
        <v>110600</v>
      </c>
      <c r="I163" s="84" t="s">
        <v>229</v>
      </c>
      <c r="J163" s="36"/>
      <c r="K163" s="36"/>
      <c r="L163" s="36"/>
      <c r="M163" s="36"/>
      <c r="N163" s="36"/>
    </row>
    <row r="164" spans="1:14" s="37" customFormat="1" ht="23.25" customHeight="1">
      <c r="A164" s="93" t="s">
        <v>161</v>
      </c>
      <c r="B164" s="65" t="s">
        <v>162</v>
      </c>
      <c r="C164" s="65"/>
      <c r="D164" s="68"/>
      <c r="E164" s="69"/>
      <c r="F164" s="68"/>
      <c r="G164" s="68">
        <v>2500</v>
      </c>
      <c r="H164" s="68">
        <v>2500</v>
      </c>
      <c r="I164" s="98" t="s">
        <v>273</v>
      </c>
      <c r="J164" s="36"/>
      <c r="K164" s="36"/>
      <c r="L164" s="36"/>
      <c r="M164" s="36"/>
      <c r="N164" s="36"/>
    </row>
    <row r="165" spans="1:14" s="37" customFormat="1" ht="129" customHeight="1">
      <c r="A165" s="93" t="s">
        <v>126</v>
      </c>
      <c r="B165" s="65" t="s">
        <v>127</v>
      </c>
      <c r="C165" s="48" t="s">
        <v>35</v>
      </c>
      <c r="D165" s="68"/>
      <c r="E165" s="69"/>
      <c r="F165" s="68"/>
      <c r="G165" s="68">
        <v>94865</v>
      </c>
      <c r="H165" s="68">
        <v>94865</v>
      </c>
      <c r="I165" s="85" t="s">
        <v>297</v>
      </c>
      <c r="J165" s="36"/>
      <c r="K165" s="36"/>
      <c r="L165" s="36"/>
      <c r="M165" s="36"/>
      <c r="N165" s="36"/>
    </row>
    <row r="166" spans="1:14" s="20" customFormat="1" ht="95.25" customHeight="1">
      <c r="A166" s="99" t="s">
        <v>106</v>
      </c>
      <c r="B166" s="41" t="s">
        <v>107</v>
      </c>
      <c r="C166" s="41"/>
      <c r="D166" s="42">
        <f>SUM(D167)</f>
        <v>0</v>
      </c>
      <c r="E166" s="42"/>
      <c r="F166" s="42">
        <f>SUM(F167)</f>
        <v>0</v>
      </c>
      <c r="G166" s="42">
        <f>SUM(G167)</f>
        <v>87912</v>
      </c>
      <c r="H166" s="44">
        <f>SUM(H167)</f>
        <v>82527</v>
      </c>
      <c r="I166" s="102"/>
      <c r="J166" s="19"/>
      <c r="K166" s="19"/>
      <c r="L166" s="19"/>
      <c r="M166" s="19"/>
      <c r="N166" s="19"/>
    </row>
    <row r="167" spans="1:9" ht="114.75" customHeight="1">
      <c r="A167" s="101" t="s">
        <v>33</v>
      </c>
      <c r="B167" s="67" t="s">
        <v>34</v>
      </c>
      <c r="C167" s="70" t="s">
        <v>35</v>
      </c>
      <c r="D167" s="45"/>
      <c r="E167" s="46"/>
      <c r="F167" s="45"/>
      <c r="G167" s="45">
        <v>87912</v>
      </c>
      <c r="H167" s="53">
        <v>82527</v>
      </c>
      <c r="I167" s="86" t="s">
        <v>274</v>
      </c>
    </row>
    <row r="168" spans="1:14" s="20" customFormat="1" ht="115.5" customHeight="1">
      <c r="A168" s="99" t="s">
        <v>133</v>
      </c>
      <c r="B168" s="41" t="s">
        <v>121</v>
      </c>
      <c r="C168" s="41"/>
      <c r="D168" s="42">
        <f>SUM(D169)</f>
        <v>0</v>
      </c>
      <c r="E168" s="42"/>
      <c r="F168" s="42">
        <f>SUM(F169)</f>
        <v>0</v>
      </c>
      <c r="G168" s="42">
        <f>SUM(G169)</f>
        <v>499000</v>
      </c>
      <c r="H168" s="44">
        <f>SUM(H169)</f>
        <v>499000</v>
      </c>
      <c r="I168" s="102"/>
      <c r="J168" s="19"/>
      <c r="K168" s="19"/>
      <c r="L168" s="19"/>
      <c r="M168" s="19"/>
      <c r="N168" s="19"/>
    </row>
    <row r="169" spans="1:9" ht="80.25" customHeight="1">
      <c r="A169" s="70">
        <v>210105</v>
      </c>
      <c r="B169" s="67" t="s">
        <v>122</v>
      </c>
      <c r="C169" s="70" t="s">
        <v>35</v>
      </c>
      <c r="D169" s="45"/>
      <c r="E169" s="46"/>
      <c r="F169" s="45"/>
      <c r="G169" s="45">
        <v>499000</v>
      </c>
      <c r="H169" s="45">
        <v>499000</v>
      </c>
      <c r="I169" s="86" t="s">
        <v>275</v>
      </c>
    </row>
    <row r="170" spans="1:14" s="20" customFormat="1" ht="75.75" customHeight="1">
      <c r="A170" s="72">
        <v>160</v>
      </c>
      <c r="B170" s="41" t="s">
        <v>128</v>
      </c>
      <c r="C170" s="41"/>
      <c r="D170" s="42">
        <f>SUM(D171)</f>
        <v>0</v>
      </c>
      <c r="E170" s="42"/>
      <c r="F170" s="42">
        <f>SUM(F171)</f>
        <v>0</v>
      </c>
      <c r="G170" s="42">
        <f>SUM(G171)</f>
        <v>1098900</v>
      </c>
      <c r="H170" s="44">
        <f>SUM(H171)</f>
        <v>999997.1</v>
      </c>
      <c r="I170" s="102"/>
      <c r="J170" s="19"/>
      <c r="K170" s="19"/>
      <c r="L170" s="19"/>
      <c r="M170" s="19"/>
      <c r="N170" s="19"/>
    </row>
    <row r="171" spans="1:9" ht="114.75" customHeight="1">
      <c r="A171" s="70">
        <v>120100</v>
      </c>
      <c r="B171" s="67" t="s">
        <v>129</v>
      </c>
      <c r="C171" s="70" t="s">
        <v>35</v>
      </c>
      <c r="D171" s="45"/>
      <c r="E171" s="46"/>
      <c r="F171" s="45"/>
      <c r="G171" s="45">
        <v>1098900</v>
      </c>
      <c r="H171" s="53">
        <v>999997.1</v>
      </c>
      <c r="I171" s="86" t="s">
        <v>224</v>
      </c>
    </row>
    <row r="172" spans="1:14" s="20" customFormat="1" ht="38.25" customHeight="1">
      <c r="A172" s="72">
        <v>211</v>
      </c>
      <c r="B172" s="41" t="s">
        <v>130</v>
      </c>
      <c r="C172" s="72"/>
      <c r="D172" s="42">
        <f>SUM(D173)</f>
        <v>0</v>
      </c>
      <c r="E172" s="42"/>
      <c r="F172" s="42">
        <f>SUM(F173)</f>
        <v>0</v>
      </c>
      <c r="G172" s="42">
        <f>SUM(G173)</f>
        <v>40000</v>
      </c>
      <c r="H172" s="44">
        <f>SUM(H173)</f>
        <v>39895</v>
      </c>
      <c r="I172" s="102"/>
      <c r="J172" s="19"/>
      <c r="K172" s="19"/>
      <c r="L172" s="19"/>
      <c r="M172" s="19"/>
      <c r="N172" s="19"/>
    </row>
    <row r="173" spans="1:9" ht="42.75" customHeight="1">
      <c r="A173" s="101" t="s">
        <v>33</v>
      </c>
      <c r="B173" s="67" t="s">
        <v>34</v>
      </c>
      <c r="C173" s="70" t="s">
        <v>35</v>
      </c>
      <c r="D173" s="45"/>
      <c r="E173" s="46"/>
      <c r="F173" s="45"/>
      <c r="G173" s="45">
        <v>40000</v>
      </c>
      <c r="H173" s="53">
        <v>39895</v>
      </c>
      <c r="I173" s="86" t="s">
        <v>276</v>
      </c>
    </row>
    <row r="174" spans="1:14" s="20" customFormat="1" ht="57.75" customHeight="1">
      <c r="A174" s="72">
        <v>241</v>
      </c>
      <c r="B174" s="41" t="s">
        <v>176</v>
      </c>
      <c r="C174" s="72"/>
      <c r="D174" s="42">
        <f>SUM(D175)</f>
        <v>0</v>
      </c>
      <c r="E174" s="42"/>
      <c r="F174" s="42">
        <f>SUM(F175)</f>
        <v>0</v>
      </c>
      <c r="G174" s="42">
        <f>SUM(G175)</f>
        <v>47864</v>
      </c>
      <c r="H174" s="44">
        <f>SUM(H175)</f>
        <v>47265.13</v>
      </c>
      <c r="I174" s="102"/>
      <c r="J174" s="19"/>
      <c r="K174" s="19"/>
      <c r="L174" s="19"/>
      <c r="M174" s="19"/>
      <c r="N174" s="19"/>
    </row>
    <row r="175" spans="1:9" ht="45" customHeight="1">
      <c r="A175" s="101" t="s">
        <v>33</v>
      </c>
      <c r="B175" s="67" t="s">
        <v>34</v>
      </c>
      <c r="C175" s="70" t="s">
        <v>35</v>
      </c>
      <c r="D175" s="45"/>
      <c r="E175" s="46"/>
      <c r="F175" s="45"/>
      <c r="G175" s="45">
        <v>47864</v>
      </c>
      <c r="H175" s="53">
        <v>47265.13</v>
      </c>
      <c r="I175" s="86" t="s">
        <v>225</v>
      </c>
    </row>
    <row r="176" spans="1:14" s="20" customFormat="1" ht="60.75" customHeight="1">
      <c r="A176" s="72">
        <v>243</v>
      </c>
      <c r="B176" s="41" t="s">
        <v>131</v>
      </c>
      <c r="C176" s="72"/>
      <c r="D176" s="42">
        <f>SUM(D177)</f>
        <v>0</v>
      </c>
      <c r="E176" s="42"/>
      <c r="F176" s="42">
        <f>SUM(F177)</f>
        <v>0</v>
      </c>
      <c r="G176" s="42">
        <f>SUM(G177)</f>
        <v>18000</v>
      </c>
      <c r="H176" s="42">
        <f>SUM(H177)</f>
        <v>18000</v>
      </c>
      <c r="I176" s="102"/>
      <c r="J176" s="19"/>
      <c r="K176" s="19"/>
      <c r="L176" s="19"/>
      <c r="M176" s="19"/>
      <c r="N176" s="19"/>
    </row>
    <row r="177" spans="1:9" ht="44.25" customHeight="1">
      <c r="A177" s="101" t="s">
        <v>33</v>
      </c>
      <c r="B177" s="67" t="s">
        <v>34</v>
      </c>
      <c r="C177" s="70" t="s">
        <v>35</v>
      </c>
      <c r="D177" s="45"/>
      <c r="E177" s="46"/>
      <c r="F177" s="45"/>
      <c r="G177" s="45">
        <v>18000</v>
      </c>
      <c r="H177" s="45">
        <v>18000</v>
      </c>
      <c r="I177" s="113" t="s">
        <v>298</v>
      </c>
    </row>
    <row r="178" spans="1:14" s="20" customFormat="1" ht="60" customHeight="1">
      <c r="A178" s="72">
        <v>243</v>
      </c>
      <c r="B178" s="41" t="s">
        <v>167</v>
      </c>
      <c r="C178" s="72"/>
      <c r="D178" s="42">
        <f>SUM(D179)</f>
        <v>0</v>
      </c>
      <c r="E178" s="42"/>
      <c r="F178" s="42"/>
      <c r="G178" s="42">
        <f>SUM(G179)</f>
        <v>2995</v>
      </c>
      <c r="H178" s="44">
        <f>SUM(H179)</f>
        <v>2995</v>
      </c>
      <c r="I178" s="102"/>
      <c r="J178" s="19"/>
      <c r="K178" s="19"/>
      <c r="L178" s="19"/>
      <c r="M178" s="19"/>
      <c r="N178" s="19"/>
    </row>
    <row r="179" spans="1:9" ht="36.75" customHeight="1">
      <c r="A179" s="101" t="s">
        <v>33</v>
      </c>
      <c r="B179" s="67" t="s">
        <v>34</v>
      </c>
      <c r="C179" s="70" t="s">
        <v>35</v>
      </c>
      <c r="D179" s="45"/>
      <c r="E179" s="46"/>
      <c r="F179" s="45"/>
      <c r="G179" s="45">
        <v>2995</v>
      </c>
      <c r="H179" s="45">
        <v>2995</v>
      </c>
      <c r="I179" s="86" t="s">
        <v>227</v>
      </c>
    </row>
    <row r="180" spans="1:14" s="31" customFormat="1" ht="60" customHeight="1">
      <c r="A180" s="99" t="s">
        <v>29</v>
      </c>
      <c r="B180" s="41" t="s">
        <v>159</v>
      </c>
      <c r="C180" s="72"/>
      <c r="D180" s="42"/>
      <c r="E180" s="43"/>
      <c r="F180" s="42"/>
      <c r="G180" s="42">
        <f>SUM(G181:G182)</f>
        <v>37776</v>
      </c>
      <c r="H180" s="42">
        <f>SUM(H181:H182)</f>
        <v>37766</v>
      </c>
      <c r="I180" s="102"/>
      <c r="J180" s="30"/>
      <c r="K180" s="30"/>
      <c r="L180" s="30"/>
      <c r="M180" s="30"/>
      <c r="N180" s="30"/>
    </row>
    <row r="181" spans="1:14" s="33" customFormat="1" ht="40.5" customHeight="1">
      <c r="A181" s="101" t="s">
        <v>69</v>
      </c>
      <c r="B181" s="67" t="s">
        <v>160</v>
      </c>
      <c r="C181" s="70"/>
      <c r="D181" s="45"/>
      <c r="E181" s="46"/>
      <c r="F181" s="45"/>
      <c r="G181" s="45">
        <v>5000</v>
      </c>
      <c r="H181" s="45">
        <v>5000</v>
      </c>
      <c r="I181" s="113" t="s">
        <v>299</v>
      </c>
      <c r="J181" s="32"/>
      <c r="K181" s="32"/>
      <c r="L181" s="32"/>
      <c r="M181" s="32"/>
      <c r="N181" s="32"/>
    </row>
    <row r="182" spans="1:14" s="33" customFormat="1" ht="98.25" customHeight="1">
      <c r="A182" s="101" t="s">
        <v>33</v>
      </c>
      <c r="B182" s="67" t="s">
        <v>34</v>
      </c>
      <c r="C182" s="70" t="s">
        <v>35</v>
      </c>
      <c r="D182" s="45"/>
      <c r="E182" s="46"/>
      <c r="F182" s="45"/>
      <c r="G182" s="45">
        <v>32776</v>
      </c>
      <c r="H182" s="45">
        <v>32766</v>
      </c>
      <c r="I182" s="113" t="s">
        <v>300</v>
      </c>
      <c r="J182" s="32"/>
      <c r="K182" s="32"/>
      <c r="L182" s="32"/>
      <c r="M182" s="32"/>
      <c r="N182" s="32"/>
    </row>
    <row r="183" spans="1:14" s="39" customFormat="1" ht="57.75" customHeight="1">
      <c r="A183" s="99" t="s">
        <v>29</v>
      </c>
      <c r="B183" s="41" t="s">
        <v>170</v>
      </c>
      <c r="C183" s="72"/>
      <c r="D183" s="42"/>
      <c r="E183" s="43"/>
      <c r="F183" s="42"/>
      <c r="G183" s="42">
        <f>SUM(G184:G184)</f>
        <v>3715</v>
      </c>
      <c r="H183" s="42">
        <f>SUM(H184:H184)</f>
        <v>3715</v>
      </c>
      <c r="I183" s="102"/>
      <c r="J183" s="38"/>
      <c r="K183" s="38"/>
      <c r="L183" s="38"/>
      <c r="M183" s="38"/>
      <c r="N183" s="38"/>
    </row>
    <row r="184" spans="1:14" s="37" customFormat="1" ht="57" customHeight="1">
      <c r="A184" s="101" t="s">
        <v>33</v>
      </c>
      <c r="B184" s="67" t="s">
        <v>34</v>
      </c>
      <c r="C184" s="70" t="s">
        <v>35</v>
      </c>
      <c r="D184" s="45"/>
      <c r="E184" s="46"/>
      <c r="F184" s="45"/>
      <c r="G184" s="45">
        <v>3715</v>
      </c>
      <c r="H184" s="45">
        <v>3715</v>
      </c>
      <c r="I184" s="113" t="s">
        <v>301</v>
      </c>
      <c r="J184" s="36"/>
      <c r="K184" s="36"/>
      <c r="L184" s="36"/>
      <c r="M184" s="36"/>
      <c r="N184" s="36"/>
    </row>
    <row r="185" spans="1:14" s="39" customFormat="1" ht="58.5" customHeight="1">
      <c r="A185" s="99" t="s">
        <v>29</v>
      </c>
      <c r="B185" s="41" t="s">
        <v>171</v>
      </c>
      <c r="C185" s="72"/>
      <c r="D185" s="42"/>
      <c r="E185" s="43"/>
      <c r="F185" s="42"/>
      <c r="G185" s="42">
        <f>SUM(G186:G186)</f>
        <v>3715</v>
      </c>
      <c r="H185" s="42">
        <f>SUM(H186:H186)</f>
        <v>3715</v>
      </c>
      <c r="I185" s="102"/>
      <c r="J185" s="38"/>
      <c r="K185" s="38"/>
      <c r="L185" s="38"/>
      <c r="M185" s="38"/>
      <c r="N185" s="38"/>
    </row>
    <row r="186" spans="1:14" s="37" customFormat="1" ht="60.75" customHeight="1">
      <c r="A186" s="101" t="s">
        <v>33</v>
      </c>
      <c r="B186" s="67" t="s">
        <v>34</v>
      </c>
      <c r="C186" s="70" t="s">
        <v>35</v>
      </c>
      <c r="D186" s="45"/>
      <c r="E186" s="46"/>
      <c r="F186" s="45"/>
      <c r="G186" s="45">
        <v>3715</v>
      </c>
      <c r="H186" s="45">
        <v>3715</v>
      </c>
      <c r="I186" s="113" t="s">
        <v>301</v>
      </c>
      <c r="J186" s="36"/>
      <c r="K186" s="36"/>
      <c r="L186" s="36"/>
      <c r="M186" s="36"/>
      <c r="N186" s="36"/>
    </row>
    <row r="187" spans="1:14" s="39" customFormat="1" ht="76.5" customHeight="1">
      <c r="A187" s="99" t="s">
        <v>29</v>
      </c>
      <c r="B187" s="41" t="s">
        <v>172</v>
      </c>
      <c r="C187" s="72"/>
      <c r="D187" s="42"/>
      <c r="E187" s="43"/>
      <c r="F187" s="42"/>
      <c r="G187" s="42">
        <f>SUM(G188:G188)</f>
        <v>3715</v>
      </c>
      <c r="H187" s="42">
        <f>SUM(H188:H188)</f>
        <v>3715</v>
      </c>
      <c r="I187" s="102"/>
      <c r="J187" s="38"/>
      <c r="K187" s="38"/>
      <c r="L187" s="38"/>
      <c r="M187" s="38"/>
      <c r="N187" s="38"/>
    </row>
    <row r="188" spans="1:14" s="37" customFormat="1" ht="54" customHeight="1">
      <c r="A188" s="101" t="s">
        <v>33</v>
      </c>
      <c r="B188" s="67" t="s">
        <v>34</v>
      </c>
      <c r="C188" s="70" t="s">
        <v>35</v>
      </c>
      <c r="D188" s="45"/>
      <c r="E188" s="46"/>
      <c r="F188" s="45"/>
      <c r="G188" s="45">
        <v>3715</v>
      </c>
      <c r="H188" s="45">
        <v>3715</v>
      </c>
      <c r="I188" s="113" t="s">
        <v>301</v>
      </c>
      <c r="J188" s="36"/>
      <c r="K188" s="36"/>
      <c r="L188" s="36"/>
      <c r="M188" s="36"/>
      <c r="N188" s="36"/>
    </row>
    <row r="189" spans="1:14" s="39" customFormat="1" ht="58.5" customHeight="1">
      <c r="A189" s="99" t="s">
        <v>29</v>
      </c>
      <c r="B189" s="41" t="s">
        <v>173</v>
      </c>
      <c r="C189" s="72"/>
      <c r="D189" s="42"/>
      <c r="E189" s="43"/>
      <c r="F189" s="42"/>
      <c r="G189" s="42">
        <f>SUM(G190:G190)</f>
        <v>3715</v>
      </c>
      <c r="H189" s="42">
        <f>SUM(H190:H190)</f>
        <v>3715</v>
      </c>
      <c r="I189" s="102"/>
      <c r="J189" s="38"/>
      <c r="K189" s="38"/>
      <c r="L189" s="38"/>
      <c r="M189" s="38"/>
      <c r="N189" s="38"/>
    </row>
    <row r="190" spans="1:14" s="37" customFormat="1" ht="64.5" customHeight="1">
      <c r="A190" s="101" t="s">
        <v>33</v>
      </c>
      <c r="B190" s="67" t="s">
        <v>34</v>
      </c>
      <c r="C190" s="70" t="s">
        <v>35</v>
      </c>
      <c r="D190" s="45"/>
      <c r="E190" s="46"/>
      <c r="F190" s="45"/>
      <c r="G190" s="45">
        <v>3715</v>
      </c>
      <c r="H190" s="45">
        <v>3715</v>
      </c>
      <c r="I190" s="113" t="s">
        <v>301</v>
      </c>
      <c r="J190" s="36"/>
      <c r="K190" s="36"/>
      <c r="L190" s="36"/>
      <c r="M190" s="36"/>
      <c r="N190" s="36"/>
    </row>
    <row r="191" spans="1:14" s="20" customFormat="1" ht="60.75" customHeight="1">
      <c r="A191" s="99" t="s">
        <v>29</v>
      </c>
      <c r="B191" s="41" t="s">
        <v>174</v>
      </c>
      <c r="C191" s="72"/>
      <c r="D191" s="42"/>
      <c r="E191" s="43"/>
      <c r="F191" s="42"/>
      <c r="G191" s="42">
        <f>SUM(G192:G192)</f>
        <v>3715</v>
      </c>
      <c r="H191" s="44">
        <f>SUM(H192:H192)</f>
        <v>3715</v>
      </c>
      <c r="I191" s="102"/>
      <c r="J191" s="19"/>
      <c r="K191" s="19"/>
      <c r="L191" s="19"/>
      <c r="M191" s="19"/>
      <c r="N191" s="19"/>
    </row>
    <row r="192" spans="1:9" ht="59.25" customHeight="1">
      <c r="A192" s="101" t="s">
        <v>33</v>
      </c>
      <c r="B192" s="67" t="s">
        <v>34</v>
      </c>
      <c r="C192" s="70" t="s">
        <v>35</v>
      </c>
      <c r="D192" s="45"/>
      <c r="E192" s="46"/>
      <c r="F192" s="45"/>
      <c r="G192" s="45">
        <v>3715</v>
      </c>
      <c r="H192" s="53">
        <v>3715</v>
      </c>
      <c r="I192" s="113" t="s">
        <v>302</v>
      </c>
    </row>
    <row r="193" spans="1:14" s="20" customFormat="1" ht="54.75" customHeight="1">
      <c r="A193" s="99" t="s">
        <v>29</v>
      </c>
      <c r="B193" s="41" t="s">
        <v>175</v>
      </c>
      <c r="C193" s="72"/>
      <c r="D193" s="42"/>
      <c r="E193" s="43"/>
      <c r="F193" s="42"/>
      <c r="G193" s="42">
        <f>SUM(G194:G194)</f>
        <v>3715</v>
      </c>
      <c r="H193" s="44">
        <f>SUM(H194:H194)</f>
        <v>3715</v>
      </c>
      <c r="I193" s="102"/>
      <c r="J193" s="19"/>
      <c r="K193" s="19"/>
      <c r="L193" s="19"/>
      <c r="M193" s="19"/>
      <c r="N193" s="19"/>
    </row>
    <row r="194" spans="1:9" ht="78.75" customHeight="1">
      <c r="A194" s="101" t="s">
        <v>33</v>
      </c>
      <c r="B194" s="67" t="s">
        <v>34</v>
      </c>
      <c r="C194" s="70" t="s">
        <v>35</v>
      </c>
      <c r="D194" s="45"/>
      <c r="E194" s="46"/>
      <c r="F194" s="45"/>
      <c r="G194" s="45">
        <v>3715</v>
      </c>
      <c r="H194" s="53">
        <v>3715</v>
      </c>
      <c r="I194" s="113" t="s">
        <v>302</v>
      </c>
    </row>
    <row r="195" spans="1:14" s="20" customFormat="1" ht="76.5" customHeight="1">
      <c r="A195" s="99" t="s">
        <v>190</v>
      </c>
      <c r="B195" s="41" t="s">
        <v>191</v>
      </c>
      <c r="C195" s="72"/>
      <c r="D195" s="42"/>
      <c r="E195" s="43"/>
      <c r="F195" s="42"/>
      <c r="G195" s="42">
        <f>SUM(G196:G196)</f>
        <v>31072</v>
      </c>
      <c r="H195" s="44">
        <f>SUM(H196:H196)</f>
        <v>31071.6</v>
      </c>
      <c r="I195" s="102"/>
      <c r="J195" s="19"/>
      <c r="K195" s="19"/>
      <c r="L195" s="19"/>
      <c r="M195" s="19"/>
      <c r="N195" s="19"/>
    </row>
    <row r="196" spans="1:9" ht="55.5" customHeight="1">
      <c r="A196" s="101" t="s">
        <v>33</v>
      </c>
      <c r="B196" s="67" t="s">
        <v>34</v>
      </c>
      <c r="C196" s="70" t="s">
        <v>35</v>
      </c>
      <c r="D196" s="45"/>
      <c r="E196" s="46"/>
      <c r="F196" s="45"/>
      <c r="G196" s="45">
        <v>31072</v>
      </c>
      <c r="H196" s="53">
        <v>31071.6</v>
      </c>
      <c r="I196" s="86" t="s">
        <v>226</v>
      </c>
    </row>
    <row r="197" spans="1:9" ht="34.5" customHeight="1">
      <c r="A197" s="103"/>
      <c r="B197" s="104"/>
      <c r="C197" s="47" t="s">
        <v>19</v>
      </c>
      <c r="D197" s="49">
        <f>D9+D10+D32+D36+D74+D101+D108+D130+D162+D158+D166+D168+D170+D172+D178+D153+D34+D180+D176</f>
        <v>5622678885</v>
      </c>
      <c r="E197" s="49"/>
      <c r="F197" s="49">
        <f>F9+F10+F32+F36+F74+F101+F108+F130+F162+F158+F166+F168+F170+F172+F178+F153+F34+F180+F176</f>
        <v>4277829740.0899997</v>
      </c>
      <c r="G197" s="49">
        <f>G9+G10+G32+G36+G74+G101+G108+G130+G162+G158+G166+G168+G170+G172+G178+G153+G34+G180+G176+G183+G185+G187+G189+G191+G193+G174+G160+G195</f>
        <v>285978955</v>
      </c>
      <c r="H197" s="51">
        <f>H9+H10+H32+H36+H74+H101+H108+H130+H162+H158+H166+H168+H170+H172+H178+H153+H34+H180+H176+H183+H185+H187+H189+H191+H193+H174+H160+H195</f>
        <v>236861464.9699999</v>
      </c>
      <c r="I197" s="95"/>
    </row>
    <row r="198" spans="1:9" ht="23.25">
      <c r="A198" s="128"/>
      <c r="B198" s="128"/>
      <c r="C198" s="76"/>
      <c r="D198" s="77"/>
      <c r="E198" s="131"/>
      <c r="F198" s="131"/>
      <c r="G198" s="78"/>
      <c r="H198" s="78"/>
      <c r="I198" s="87"/>
    </row>
    <row r="199" spans="1:9" ht="39.75" customHeight="1">
      <c r="A199" s="79"/>
      <c r="B199" s="129" t="s">
        <v>80</v>
      </c>
      <c r="C199" s="129"/>
      <c r="D199" s="80"/>
      <c r="E199" s="130" t="s">
        <v>81</v>
      </c>
      <c r="F199" s="130"/>
      <c r="G199" s="130"/>
      <c r="H199" s="130"/>
      <c r="I199" s="130"/>
    </row>
    <row r="200" spans="1:9" ht="18.75">
      <c r="A200" s="127"/>
      <c r="B200" s="127"/>
      <c r="G200" s="17"/>
      <c r="H200" s="17"/>
      <c r="I200" s="34"/>
    </row>
    <row r="201" spans="1:9" ht="18.75">
      <c r="A201" s="127"/>
      <c r="B201" s="127"/>
      <c r="G201" s="17"/>
      <c r="H201" s="17"/>
      <c r="I201" s="34"/>
    </row>
    <row r="202" spans="1:9" ht="18.75">
      <c r="A202" s="16"/>
      <c r="G202" s="17"/>
      <c r="H202" s="17"/>
      <c r="I202" s="34"/>
    </row>
    <row r="203" spans="7:9" ht="18.75">
      <c r="G203" s="17"/>
      <c r="H203" s="17"/>
      <c r="I203" s="34"/>
    </row>
    <row r="204" spans="7:9" ht="18.75">
      <c r="G204" s="17"/>
      <c r="H204" s="17"/>
      <c r="I204" s="34"/>
    </row>
  </sheetData>
  <sheetProtection/>
  <mergeCells count="51">
    <mergeCell ref="G6:G7"/>
    <mergeCell ref="I11:I14"/>
    <mergeCell ref="I17:I20"/>
    <mergeCell ref="I21:I24"/>
    <mergeCell ref="I47:I50"/>
    <mergeCell ref="I6:I7"/>
    <mergeCell ref="H6:H7"/>
    <mergeCell ref="B11:B14"/>
    <mergeCell ref="C6:C7"/>
    <mergeCell ref="D6:D7"/>
    <mergeCell ref="A47:A50"/>
    <mergeCell ref="B17:B20"/>
    <mergeCell ref="A17:A20"/>
    <mergeCell ref="F6:F7"/>
    <mergeCell ref="E6:E7"/>
    <mergeCell ref="A134:A136"/>
    <mergeCell ref="D135:D136"/>
    <mergeCell ref="A111:A112"/>
    <mergeCell ref="C135:C136"/>
    <mergeCell ref="A109:A110"/>
    <mergeCell ref="B21:B24"/>
    <mergeCell ref="A21:A24"/>
    <mergeCell ref="A11:A14"/>
    <mergeCell ref="A200:B200"/>
    <mergeCell ref="A201:B201"/>
    <mergeCell ref="A198:B198"/>
    <mergeCell ref="B199:C199"/>
    <mergeCell ref="E199:I199"/>
    <mergeCell ref="F148:F151"/>
    <mergeCell ref="I148:I152"/>
    <mergeCell ref="E198:F198"/>
    <mergeCell ref="B148:B151"/>
    <mergeCell ref="A148:A151"/>
    <mergeCell ref="I126:I129"/>
    <mergeCell ref="I140:I141"/>
    <mergeCell ref="D148:D151"/>
    <mergeCell ref="E148:E151"/>
    <mergeCell ref="A138:A139"/>
    <mergeCell ref="B135:B136"/>
    <mergeCell ref="B126:B129"/>
    <mergeCell ref="A126:A129"/>
    <mergeCell ref="A4:I4"/>
    <mergeCell ref="H1:I1"/>
    <mergeCell ref="H2:I2"/>
    <mergeCell ref="D140:D141"/>
    <mergeCell ref="F140:F141"/>
    <mergeCell ref="E140:E141"/>
    <mergeCell ref="F135:F136"/>
    <mergeCell ref="E135:E136"/>
    <mergeCell ref="B47:B50"/>
    <mergeCell ref="A113:A114"/>
  </mergeCells>
  <printOptions/>
  <pageMargins left="0.2755905511811024" right="0.2755905511811024" top="0.6692913385826772" bottom="0.31496062992125984" header="0.5118110236220472" footer="0.2362204724409449"/>
  <pageSetup firstPageNumber="47" useFirstPageNumber="1" horizontalDpi="600" verticalDpi="600" orientation="landscape" paperSize="9" scale="60"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2011-04-11T11:40:41Z</cp:lastPrinted>
  <dcterms:created xsi:type="dcterms:W3CDTF">2006-09-28T05:33:49Z</dcterms:created>
  <dcterms:modified xsi:type="dcterms:W3CDTF">2012-03-02T13:26:29Z</dcterms:modified>
  <cp:category/>
  <cp:version/>
  <cp:contentType/>
  <cp:contentStatus/>
</cp:coreProperties>
</file>