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Таблиця 4.1" sheetId="1" r:id="rId1"/>
    <sheet name="Таблиця 4.2" sheetId="2" r:id="rId2"/>
  </sheets>
  <definedNames>
    <definedName name="_xlnm.Print_Titles" localSheetId="0">'Таблиця 4.1'!$15:$15</definedName>
    <definedName name="_xlnm.Print_Titles" localSheetId="1">'Таблиця 4.2'!$6:$6</definedName>
    <definedName name="_xlnm.Print_Area" localSheetId="0">'Таблиця 4.1'!$A$1:$H$133</definedName>
    <definedName name="_xlnm.Print_Area" localSheetId="1">'Таблиця 4.2'!$A$1:$D$58</definedName>
  </definedNames>
  <calcPr fullCalcOnLoad="1"/>
</workbook>
</file>

<file path=xl/sharedStrings.xml><?xml version="1.0" encoding="utf-8"?>
<sst xmlns="http://schemas.openxmlformats.org/spreadsheetml/2006/main" count="467" uniqueCount="210">
  <si>
    <t>п.9-п.10</t>
  </si>
  <si>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</si>
  <si>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</si>
  <si>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</si>
  <si>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100 - п.12 / п. 9 * 100</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</si>
  <si>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</si>
  <si>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</si>
  <si>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</si>
  <si>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</si>
  <si>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</si>
  <si>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</si>
  <si>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</si>
  <si>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</si>
  <si>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</si>
  <si>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</si>
  <si>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 xml:space="preserve">Перелік видатків,  які у 2012 році будуть проводитися за рахунок коштів бюджету розвитку  міста </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</si>
  <si>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</si>
  <si>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</si>
  <si>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</si>
  <si>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</si>
  <si>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</si>
  <si>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</si>
  <si>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</si>
  <si>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</si>
  <si>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</si>
  <si>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</si>
  <si>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</si>
  <si>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</si>
  <si>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</si>
  <si>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</si>
  <si>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</si>
  <si>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</si>
  <si>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</si>
  <si>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</si>
  <si>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</si>
  <si>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</si>
  <si>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</si>
  <si>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</si>
  <si>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</si>
  <si>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</si>
  <si>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</si>
  <si>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</si>
  <si>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Будівництво громадського туалету на Центральному пляжі</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</si>
  <si>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</si>
  <si>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</si>
  <si>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</si>
  <si>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</si>
  <si>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</si>
  <si>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</si>
  <si>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</si>
  <si>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</si>
  <si>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</si>
  <si>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</si>
  <si>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</si>
  <si>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 xml:space="preserve">Реконструкція приміщень будівлі по вул. 40 років Радянської України, 41а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</si>
  <si>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</si>
  <si>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</si>
  <si>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</si>
  <si>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</si>
  <si>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</si>
  <si>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</si>
  <si>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</si>
  <si>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</si>
  <si>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</si>
  <si>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</si>
  <si>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</si>
  <si>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</si>
  <si>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</si>
  <si>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</si>
  <si>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</si>
  <si>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</si>
  <si>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</si>
  <si>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</si>
  <si>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</si>
  <si>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</si>
  <si>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150121</t>
  </si>
  <si>
    <t>Будівництво житлового будинку № 11 в кварталі по вул. Алмазній у сел. Павло-Кічкас, м. Запоріжжя (проектні роботи)</t>
  </si>
  <si>
    <t xml:space="preserve">Реконструкція парку   «Перемоги» в м. Запоріжжя» (проектні та будівельні роботи)
</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</si>
  <si>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</si>
  <si>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</si>
  <si>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</si>
  <si>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 xml:space="preserve">Ліквідація аварійного стану автодороги, зливової та побутової каналізації по вул. М.Судця, м. Запоріжжя  </t>
  </si>
  <si>
    <t>Реконструкція скидного зливового колектору в районі насосної станції № 29 в Хортицькому районі (проектні роботи, експертиза)</t>
  </si>
  <si>
    <t>Будівництво системи захисту від техногенної загрози стадіону "Славутич Арена" (проектні та будівельні роботи)</t>
  </si>
  <si>
    <t>Комунальна установа «Запорізька міська багатопрофільна дитяча лікарня №5» - реконструкція - погашення заборгованості за минулі роки</t>
  </si>
  <si>
    <t xml:space="preserve">Реконструкція приміщень під амбулаторії сімейного лікаря по вул. Дорошенко, 3, Воронезька, 10 в Хортицькому районі </t>
  </si>
  <si>
    <t xml:space="preserve">Реконструкція нежитлового приміщення по вул. Новокузнецька, 20-а під амбулаторії сімейного лікаря в мікрорайоні "Південний"  Комунарського району </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</si>
  <si>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</si>
  <si>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</si>
  <si>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</si>
  <si>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</si>
  <si>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вул. Рекордної, м. Запоріжжя (проектні та будівельні роботи) - погашення заборгованості за минулі роки</t>
  </si>
  <si>
    <t>Реконструкція дороги по вул.Верхній в районі КНС-38 (проектні та будівельні роботи) - погашення заборгованості за минулі роки</t>
  </si>
  <si>
    <t>Будівництво локальної станції біологічного очищення стічних вод на о. Хортиця (проектні роботи та експертиза)</t>
  </si>
  <si>
    <t>Внески у статутні фонди комунальних підприємств міста (придбання спеціальної техніки) - погашення заборгованості за минулі роки</t>
  </si>
  <si>
    <t>Реконструкція, переобладнання та перепланування будівлі по вул. Таганська, 8 під соціальне житло (проектно-вишукувальні роботи)</t>
  </si>
  <si>
    <t>КП "УКБ"</t>
  </si>
  <si>
    <t>КП "Титан"</t>
  </si>
  <si>
    <t>КП "ЕЛУАШ", КП "Титан"</t>
  </si>
  <si>
    <t>КП "Центральний стадіон"</t>
  </si>
  <si>
    <t>Запорізький міський територіальний центр соціального обслуговування (надання соціальних послуг)</t>
  </si>
  <si>
    <t xml:space="preserve"> КП "ВРЕЖО №1-4, 6, 9-11, 13", КП "РЕПОГ"</t>
  </si>
  <si>
    <t>КП "ВРЕЖО № 9"</t>
  </si>
  <si>
    <t>КП "РЕПОГ"</t>
  </si>
  <si>
    <t>Реконструкція скверу "Прикордонників" з встановленням стели в м. Запоріжжя</t>
  </si>
  <si>
    <t>Реконструкція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</si>
  <si>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Будівництво постаменту "Футбольна бутса" на території прилеглої до головної арени стадіону "Славутич-Арена"</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</si>
  <si>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</si>
  <si>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</si>
  <si>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</si>
  <si>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</si>
  <si>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</si>
  <si>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</si>
  <si>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</si>
  <si>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</si>
  <si>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</si>
  <si>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</si>
  <si>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</si>
  <si>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</si>
  <si>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</si>
  <si>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</si>
  <si>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</si>
  <si>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</si>
  <si>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</si>
  <si>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</si>
  <si>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</si>
  <si>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</si>
  <si>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</si>
  <si>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 xml:space="preserve">Внески у статутні фонди комунальних підприємств міста (придбання спеціальної техніки та мобільних туалетних кабін) </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</si>
  <si>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</si>
  <si>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</si>
  <si>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</si>
  <si>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</si>
  <si>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</si>
  <si>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</si>
  <si>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</si>
  <si>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</si>
  <si>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</si>
  <si>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</si>
  <si>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</si>
  <si>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</si>
  <si>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</si>
  <si>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</si>
  <si>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</si>
  <si>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КП "ЕЛУАШ", КП "Запоріж-міськсвітло", СКП "Запорізька ритуальна служба", КП "Титан"</t>
  </si>
  <si>
    <t>до Програми економічного і соціального розвитку м. Запоріжжя                   на 2012 рік</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</si>
  <si>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</si>
  <si>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</si>
  <si>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Магістральна мережа теплопостачання по вул. Новокузнецька житлового масиву "Південний", м. Запоріжжя - реконструкція (другий пусковий комплекс)</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</si>
  <si>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</si>
  <si>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</si>
  <si>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</si>
  <si>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</si>
  <si>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Реконструкція полотна трамвайного переїзду вул.Іванова-просп.Моторобудівників-вул.8 Березня у Шевченківському районі м. Запоріжжя</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</si>
  <si>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</si>
  <si>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</si>
  <si>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</si>
  <si>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</si>
  <si>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</si>
  <si>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Реконструкція бульвару Будівельників в Хортицькому районі м. Запоріжжя (І етап)</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</si>
  <si>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</si>
  <si>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</si>
  <si>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</si>
  <si>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</si>
  <si>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</si>
  <si>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</si>
  <si>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</si>
  <si>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</si>
  <si>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</si>
  <si>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</si>
  <si>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Заводської підстанції швидкої медичної допомоги комунальної установи "Міська клінічна лікарня екстреної та швидкої медичної допомоги м. Запоріжжя" по вул.Демократичній, 127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</si>
  <si>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</si>
  <si>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</si>
  <si>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</si>
  <si>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</si>
  <si>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</si>
  <si>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</si>
  <si>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Реконструкція  пам'ятника "Металургам"  м. Запоріжжя (проектні та будівельні роботи)</t>
  </si>
  <si>
    <t>Реконструкція парку "Трудової слави" в м. Запоріжжя</t>
  </si>
  <si>
    <t>Внески у статутний фонд Запорізького комунального підприємства міського електротранспорту "Запоріжелектротранс" (проведення капітального ремонту понтонів)</t>
  </si>
  <si>
    <t>Реконструкція Палацу спорту "Юність" в м. Запоріжжя"</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</si>
  <si>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</si>
  <si>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</si>
  <si>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</si>
  <si>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</si>
  <si>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</si>
  <si>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</si>
  <si>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</si>
  <si>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</si>
  <si>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 xml:space="preserve">Комунальна установа «Міська клінічна лікарня екстреної та швидкої медичної допомоги м. Запоріжжя» -  реконструкція хірургічного корпусу </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</si>
  <si>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</si>
  <si>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</si>
  <si>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</si>
  <si>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Реконструкція вул.Рекордної від вул. Портова до вул.Алюмінієва (проектні роботи)</t>
  </si>
  <si>
    <t>Ліквідація аварійного стану на в"їзді до 1-го мосту ім.Преображенського (вул. Тюленіна)</t>
  </si>
  <si>
    <t xml:space="preserve">Реконструкція внутрішньоквартальних доріг, тротуарів в районі житлових будинків по вул. Кремлівській, 63а, 65 та вул.Трегубова, 42 </t>
  </si>
  <si>
    <t>Будівництво водогону Д=315 мм по вул.Сапожнікова, м.Запоріжжя</t>
  </si>
  <si>
    <t>Реконструкція громадського туалету на пл. Фестивальній  (бул.Центральний, 3б) в м. Запоріжжя (проектні роботи)</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</si>
  <si>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</si>
  <si>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</si>
  <si>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</si>
  <si>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Будівництво поліклініки в житловому масиві "Південний" м.Запоріжжя (проектні роботи)</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</si>
  <si>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</si>
  <si>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</si>
  <si>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</si>
  <si>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Секретар міської ради</t>
  </si>
  <si>
    <t>В.Ф. Кальцев</t>
  </si>
  <si>
    <t>ЗАТВЕРДЖЕНО</t>
  </si>
  <si>
    <t>Рішення міської ради</t>
  </si>
  <si>
    <t>23.02.2012  №  9</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</si>
</sst>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65">
    <font>
      <sz val="11"/>
      <color theme="1"/>
      <name val="Calibri"/>
      <family val="2"/>
    </font>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62"/>
      <name val="Calibri"/>
      <family val="2"/>
    </font>
    <font>
      <b/>
      <sz val="13"/>
      <color indexed="62"/>
      <name val="Calibri"/>
      <family val="2"/>
    </font>
    <font>
      <b/>
      <sz val="11"/>
      <color indexed="62"/>
      <name val="Calibri"/>
      <family val="2"/>
    </font>
    <font>
      <b/>
      <sz val="11"/>
      <color indexed="12"/>
      <name val="Calibri"/>
      <family val="2"/>
    </font>
    <font>
      <b/>
      <sz val="11"/>
      <color indexed="9"/>
      <name val="Calibri"/>
      <family val="2"/>
    </font>
    <font>
      <b/>
      <sz val="18"/>
      <color indexed="62"/>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sz val="18"/>
      <color indexed="12"/>
      <name val="Times New Roman"/>
      <family val="1"/>
    </font>
    <font>
      <b/>
      <u val="single"/>
      <sz val="1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color indexed="63"/>
      </right>
      <top style="medium"/>
      <bottom>
        <color indexed="6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2"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2" fillId="32" borderId="0" applyNumberFormat="0" applyBorder="0" applyAlignment="0" applyProtection="0"/>
  </cellStyleXfs>
  <cellXfs count="194">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54" applyFont="1" applyFill="1" applyBorder="1" applyAlignment="1">
      <alignment horizontal="left" vertical="center" wrapText="1"/>
      <protection/>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3" fillId="0" borderId="0" xfId="0" applyNumberFormat="1" applyFont="1" applyFill="1" applyBorder="1" applyAlignment="1">
      <alignment horizontal="left" vertical="center" wrapText="1"/>
    </xf>
    <xf numFmtId="0" fontId="63" fillId="0" borderId="0" xfId="0" applyFont="1" applyFill="1" applyAlignment="1">
      <alignment horizontal="center" vertical="center" wrapText="1"/>
    </xf>
    <xf numFmtId="49" fontId="4" fillId="0" borderId="0" xfId="0" applyNumberFormat="1" applyFont="1" applyFill="1" applyBorder="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0" fontId="63" fillId="0" borderId="0" xfId="0" applyFont="1" applyFill="1" applyBorder="1" applyAlignment="1">
      <alignment vertical="center" wrapText="1"/>
    </xf>
    <xf numFmtId="0" fontId="63" fillId="0" borderId="0" xfId="0" applyFont="1" applyFill="1" applyAlignment="1">
      <alignment vertical="center" wrapText="1"/>
    </xf>
    <xf numFmtId="0" fontId="14" fillId="0" borderId="10" xfId="0" applyFont="1" applyFill="1" applyBorder="1" applyAlignment="1">
      <alignment vertical="center" wrapText="1"/>
    </xf>
    <xf numFmtId="3" fontId="14" fillId="0" borderId="0" xfId="0" applyNumberFormat="1" applyFont="1" applyFill="1" applyBorder="1" applyAlignment="1">
      <alignment vertical="center" wrapText="1"/>
    </xf>
    <xf numFmtId="49" fontId="14" fillId="0" borderId="1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14" fillId="0" borderId="15" xfId="0" applyNumberFormat="1" applyFont="1" applyFill="1" applyBorder="1" applyAlignment="1">
      <alignment vertical="center" wrapText="1"/>
    </xf>
    <xf numFmtId="184" fontId="14" fillId="0" borderId="16"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184" fontId="3" fillId="0" borderId="19" xfId="0" applyNumberFormat="1" applyFont="1" applyFill="1" applyBorder="1" applyAlignment="1">
      <alignment horizontal="center" vertical="center" wrapText="1"/>
    </xf>
    <xf numFmtId="184" fontId="4" fillId="0" borderId="0" xfId="0" applyNumberFormat="1" applyFont="1" applyFill="1" applyBorder="1" applyAlignment="1">
      <alignment horizontal="right" vertical="center" wrapText="1"/>
    </xf>
    <xf numFmtId="184" fontId="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4" fillId="0" borderId="0" xfId="0" applyNumberFormat="1" applyFont="1" applyFill="1" applyBorder="1" applyAlignment="1">
      <alignment horizontal="right" vertical="center" wrapText="1"/>
    </xf>
    <xf numFmtId="184" fontId="63" fillId="0" borderId="0" xfId="0" applyNumberFormat="1" applyFont="1" applyFill="1" applyBorder="1" applyAlignment="1">
      <alignment horizontal="right" vertical="center" wrapText="1"/>
    </xf>
    <xf numFmtId="184" fontId="3" fillId="0" borderId="0"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4" fillId="0" borderId="15" xfId="0" applyFont="1" applyFill="1" applyBorder="1" applyAlignment="1">
      <alignment horizontal="left" vertical="center" wrapText="1"/>
    </xf>
    <xf numFmtId="0" fontId="17" fillId="33" borderId="0" xfId="0" applyFont="1" applyFill="1" applyBorder="1" applyAlignment="1">
      <alignment horizontal="center" vertical="center"/>
    </xf>
    <xf numFmtId="0" fontId="17" fillId="33" borderId="0" xfId="0" applyFont="1" applyFill="1" applyBorder="1" applyAlignment="1">
      <alignment horizontal="left" vertical="center" wrapText="1"/>
    </xf>
    <xf numFmtId="0" fontId="17" fillId="33" borderId="0" xfId="0" applyFont="1" applyFill="1" applyBorder="1" applyAlignment="1">
      <alignment horizontal="left" vertical="center"/>
    </xf>
    <xf numFmtId="172" fontId="17" fillId="33" borderId="0" xfId="0" applyNumberFormat="1" applyFont="1" applyFill="1" applyBorder="1" applyAlignment="1">
      <alignment horizontal="center" vertical="center"/>
    </xf>
    <xf numFmtId="0" fontId="17" fillId="33" borderId="0" xfId="0" applyFont="1" applyFill="1" applyAlignment="1">
      <alignment horizontal="center"/>
    </xf>
    <xf numFmtId="0" fontId="17" fillId="33" borderId="0" xfId="0" applyFont="1" applyFill="1" applyAlignment="1">
      <alignment horizontal="left"/>
    </xf>
    <xf numFmtId="0" fontId="17" fillId="33" borderId="0" xfId="0" applyFont="1" applyFill="1" applyAlignment="1">
      <alignment/>
    </xf>
    <xf numFmtId="0" fontId="17" fillId="33" borderId="0" xfId="0" applyFont="1" applyFill="1" applyAlignment="1">
      <alignment horizontal="center" vertical="center" wrapText="1"/>
    </xf>
    <xf numFmtId="0" fontId="17" fillId="33" borderId="0" xfId="0" applyFont="1" applyFill="1" applyAlignment="1">
      <alignment wrapText="1"/>
    </xf>
    <xf numFmtId="0" fontId="16" fillId="33" borderId="0" xfId="0" applyFont="1" applyFill="1" applyAlignment="1">
      <alignment horizontal="left" indent="8"/>
    </xf>
    <xf numFmtId="0" fontId="17" fillId="33" borderId="0" xfId="0" applyFont="1" applyFill="1" applyAlignment="1">
      <alignment vertical="center"/>
    </xf>
    <xf numFmtId="0" fontId="17" fillId="33" borderId="0" xfId="0" applyFont="1" applyFill="1" applyBorder="1" applyAlignment="1">
      <alignment wrapText="1"/>
    </xf>
    <xf numFmtId="0" fontId="17" fillId="33" borderId="0" xfId="0" applyFont="1" applyFill="1" applyAlignment="1">
      <alignment vertical="center" wrapText="1"/>
    </xf>
    <xf numFmtId="0" fontId="12" fillId="33" borderId="0" xfId="0" applyFont="1" applyFill="1" applyAlignment="1">
      <alignment horizontal="center"/>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horizontal="center" vertical="center" wrapText="1"/>
    </xf>
    <xf numFmtId="0" fontId="12" fillId="33" borderId="0" xfId="0" applyFont="1" applyFill="1" applyAlignment="1">
      <alignment vertical="center" wrapText="1"/>
    </xf>
    <xf numFmtId="0" fontId="4" fillId="33" borderId="0" xfId="0" applyFont="1" applyFill="1" applyBorder="1" applyAlignment="1">
      <alignment wrapText="1"/>
    </xf>
    <xf numFmtId="0" fontId="4" fillId="33" borderId="0" xfId="0" applyFont="1" applyFill="1" applyAlignment="1">
      <alignment wrapText="1"/>
    </xf>
    <xf numFmtId="0" fontId="19" fillId="33" borderId="0" xfId="0" applyFont="1" applyFill="1" applyBorder="1" applyAlignment="1">
      <alignment horizontal="center" vertical="center"/>
    </xf>
    <xf numFmtId="49" fontId="19" fillId="33" borderId="0" xfId="0" applyNumberFormat="1" applyFont="1" applyFill="1" applyBorder="1" applyAlignment="1">
      <alignment horizontal="center" vertical="center"/>
    </xf>
    <xf numFmtId="49" fontId="19" fillId="33" borderId="0" xfId="0" applyNumberFormat="1" applyFont="1" applyFill="1" applyBorder="1" applyAlignment="1">
      <alignment horizontal="left" vertical="center"/>
    </xf>
    <xf numFmtId="49" fontId="17" fillId="33" borderId="0" xfId="0" applyNumberFormat="1" applyFont="1" applyFill="1" applyBorder="1" applyAlignment="1">
      <alignment vertical="center"/>
    </xf>
    <xf numFmtId="49" fontId="16" fillId="33" borderId="0" xfId="0" applyNumberFormat="1" applyFont="1" applyFill="1" applyBorder="1" applyAlignment="1">
      <alignment horizontal="right"/>
    </xf>
    <xf numFmtId="0" fontId="4" fillId="33" borderId="0" xfId="0" applyFont="1" applyFill="1" applyBorder="1" applyAlignment="1">
      <alignment horizontal="center" vertical="center"/>
    </xf>
    <xf numFmtId="172" fontId="4" fillId="33" borderId="0" xfId="0" applyNumberFormat="1" applyFont="1" applyFill="1" applyBorder="1" applyAlignment="1">
      <alignment horizontal="center" vertical="center"/>
    </xf>
    <xf numFmtId="0" fontId="4" fillId="33" borderId="0" xfId="0" applyFont="1" applyFill="1" applyBorder="1" applyAlignment="1">
      <alignment horizontal="center" wrapText="1"/>
    </xf>
    <xf numFmtId="0" fontId="5" fillId="33" borderId="2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24" xfId="0" applyFont="1" applyFill="1" applyBorder="1" applyAlignment="1">
      <alignment horizontal="center" vertical="center"/>
    </xf>
    <xf numFmtId="0" fontId="3" fillId="33" borderId="25" xfId="0" applyFont="1" applyFill="1" applyBorder="1" applyAlignment="1">
      <alignment horizontal="center" vertical="center" wrapText="1"/>
    </xf>
    <xf numFmtId="0" fontId="3" fillId="33" borderId="25" xfId="0" applyFont="1" applyFill="1" applyBorder="1" applyAlignment="1">
      <alignment horizontal="left" vertical="center" wrapText="1"/>
    </xf>
    <xf numFmtId="172" fontId="3" fillId="33" borderId="25" xfId="0" applyNumberFormat="1" applyFont="1" applyFill="1" applyBorder="1" applyAlignment="1">
      <alignment horizontal="center" vertical="center" wrapText="1"/>
    </xf>
    <xf numFmtId="0" fontId="4"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wrapText="1"/>
    </xf>
    <xf numFmtId="1" fontId="3" fillId="33" borderId="28" xfId="0" applyNumberFormat="1" applyFont="1" applyFill="1" applyBorder="1" applyAlignment="1">
      <alignment horizontal="center" vertical="center" wrapText="1"/>
    </xf>
    <xf numFmtId="0" fontId="3" fillId="33" borderId="29" xfId="0" applyFont="1" applyFill="1" applyBorder="1" applyAlignment="1">
      <alignment horizontal="center" vertical="center"/>
    </xf>
    <xf numFmtId="0" fontId="15" fillId="33" borderId="20" xfId="0" applyFont="1" applyFill="1" applyBorder="1" applyAlignment="1">
      <alignment horizontal="center" vertical="center"/>
    </xf>
    <xf numFmtId="0" fontId="18" fillId="33" borderId="11" xfId="0" applyFont="1" applyFill="1" applyBorder="1" applyAlignment="1">
      <alignment horizontal="left" vertical="center" wrapText="1"/>
    </xf>
    <xf numFmtId="184" fontId="18" fillId="33" borderId="11" xfId="0" applyNumberFormat="1" applyFont="1" applyFill="1" applyBorder="1" applyAlignment="1">
      <alignment horizontal="center" vertical="center" wrapText="1"/>
    </xf>
    <xf numFmtId="184" fontId="15" fillId="33" borderId="30" xfId="0" applyNumberFormat="1" applyFont="1" applyFill="1" applyBorder="1" applyAlignment="1">
      <alignment horizontal="center" vertical="center"/>
    </xf>
    <xf numFmtId="0" fontId="15"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left" vertical="center" wrapText="1"/>
    </xf>
    <xf numFmtId="184" fontId="3" fillId="33" borderId="10" xfId="0" applyNumberFormat="1" applyFont="1" applyFill="1" applyBorder="1" applyAlignment="1">
      <alignment horizontal="center" vertical="center" wrapText="1"/>
    </xf>
    <xf numFmtId="184" fontId="3" fillId="33" borderId="13" xfId="0" applyNumberFormat="1" applyFont="1" applyFill="1" applyBorder="1" applyAlignment="1">
      <alignment horizontal="center" vertical="center" wrapText="1"/>
    </xf>
    <xf numFmtId="184" fontId="3" fillId="33" borderId="0" xfId="0" applyNumberFormat="1" applyFont="1" applyFill="1" applyBorder="1" applyAlignment="1">
      <alignment horizontal="center" vertical="center" wrapText="1"/>
    </xf>
    <xf numFmtId="184"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0" fontId="6" fillId="33" borderId="0" xfId="0" applyFont="1" applyFill="1" applyBorder="1" applyAlignment="1">
      <alignment horizontal="center" vertical="center" textRotation="90"/>
    </xf>
    <xf numFmtId="0" fontId="4" fillId="33" borderId="12" xfId="0" applyFont="1" applyFill="1" applyBorder="1" applyAlignment="1">
      <alignment horizontal="center" vertical="center"/>
    </xf>
    <xf numFmtId="0" fontId="4" fillId="33" borderId="10" xfId="0" applyFont="1" applyFill="1" applyBorder="1" applyAlignment="1">
      <alignment horizontal="left" vertical="center" wrapText="1"/>
    </xf>
    <xf numFmtId="184" fontId="4" fillId="33" borderId="10"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184" fontId="4" fillId="33" borderId="0" xfId="0" applyNumberFormat="1" applyFont="1" applyFill="1" applyBorder="1" applyAlignment="1">
      <alignment horizontal="center" vertical="center" wrapText="1"/>
    </xf>
    <xf numFmtId="184" fontId="7" fillId="33" borderId="0" xfId="0" applyNumberFormat="1" applyFont="1" applyFill="1" applyBorder="1" applyAlignment="1">
      <alignment horizontal="center" vertical="center" wrapText="1"/>
    </xf>
    <xf numFmtId="0" fontId="7" fillId="33" borderId="0" xfId="0" applyFont="1" applyFill="1" applyBorder="1" applyAlignment="1">
      <alignment horizontal="center" vertical="center" wrapText="1"/>
    </xf>
    <xf numFmtId="184" fontId="4" fillId="33" borderId="10" xfId="0" applyNumberFormat="1" applyFont="1" applyFill="1" applyBorder="1" applyAlignment="1">
      <alignment horizontal="center" vertical="center"/>
    </xf>
    <xf numFmtId="174" fontId="4" fillId="33" borderId="10" xfId="60" applyNumberFormat="1" applyFont="1" applyFill="1" applyBorder="1" applyAlignment="1">
      <alignment horizontal="center" vertical="center" wrapText="1"/>
    </xf>
    <xf numFmtId="184" fontId="4" fillId="33" borderId="0" xfId="0" applyNumberFormat="1" applyFont="1" applyFill="1" applyBorder="1" applyAlignment="1">
      <alignment horizontal="center" vertical="center"/>
    </xf>
    <xf numFmtId="184" fontId="7" fillId="33" borderId="0" xfId="0" applyNumberFormat="1" applyFont="1" applyFill="1" applyBorder="1" applyAlignment="1">
      <alignment vertical="center" wrapText="1"/>
    </xf>
    <xf numFmtId="0" fontId="7" fillId="33" borderId="0" xfId="0" applyNumberFormat="1" applyFont="1" applyFill="1" applyBorder="1" applyAlignment="1">
      <alignment vertical="center" wrapText="1"/>
    </xf>
    <xf numFmtId="0" fontId="6" fillId="33" borderId="0" xfId="0" applyFont="1" applyFill="1" applyBorder="1" applyAlignment="1">
      <alignment horizontal="center" vertical="center" textRotation="90" wrapText="1"/>
    </xf>
    <xf numFmtId="0" fontId="8" fillId="33" borderId="10" xfId="0" applyFont="1" applyFill="1" applyBorder="1" applyAlignment="1">
      <alignment horizontal="left" vertical="center" wrapText="1"/>
    </xf>
    <xf numFmtId="49" fontId="4" fillId="33" borderId="12" xfId="54" applyNumberFormat="1" applyFont="1" applyFill="1" applyBorder="1" applyAlignment="1">
      <alignment horizontal="center" vertical="center" wrapText="1"/>
      <protection/>
    </xf>
    <xf numFmtId="0" fontId="7" fillId="33" borderId="10" xfId="54" applyFont="1" applyFill="1" applyBorder="1" applyAlignment="1">
      <alignment horizontal="left" vertical="center" wrapText="1"/>
      <protection/>
    </xf>
    <xf numFmtId="174" fontId="4" fillId="33" borderId="10" xfId="0" applyNumberFormat="1" applyFont="1" applyFill="1" applyBorder="1" applyAlignment="1">
      <alignment horizontal="center" vertical="center" wrapText="1"/>
    </xf>
    <xf numFmtId="184" fontId="10" fillId="33" borderId="0" xfId="0" applyNumberFormat="1" applyFont="1" applyFill="1" applyBorder="1" applyAlignment="1">
      <alignment horizontal="center" vertical="center" wrapText="1"/>
    </xf>
    <xf numFmtId="0" fontId="4" fillId="33" borderId="10" xfId="54" applyFont="1" applyFill="1" applyBorder="1" applyAlignment="1">
      <alignment horizontal="left" vertical="center" wrapText="1"/>
      <protection/>
    </xf>
    <xf numFmtId="0" fontId="7"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center" wrapText="1"/>
    </xf>
    <xf numFmtId="0" fontId="9" fillId="33" borderId="0" xfId="0" applyFont="1" applyFill="1" applyBorder="1" applyAlignment="1">
      <alignment horizontal="center" vertical="center" textRotation="90"/>
    </xf>
    <xf numFmtId="0" fontId="3" fillId="33" borderId="0" xfId="0" applyFont="1" applyFill="1" applyBorder="1" applyAlignment="1">
      <alignment horizontal="center" vertical="center"/>
    </xf>
    <xf numFmtId="184" fontId="4" fillId="33" borderId="13" xfId="0" applyNumberFormat="1" applyFont="1" applyFill="1" applyBorder="1" applyAlignment="1">
      <alignment horizontal="center" vertical="center" wrapText="1"/>
    </xf>
    <xf numFmtId="173" fontId="7" fillId="33" borderId="0" xfId="0" applyNumberFormat="1" applyFont="1" applyFill="1" applyBorder="1" applyAlignment="1">
      <alignment horizontal="center" vertical="center" wrapText="1"/>
    </xf>
    <xf numFmtId="0" fontId="4" fillId="33" borderId="10" xfId="0" applyFont="1" applyFill="1" applyBorder="1" applyAlignment="1">
      <alignment vertical="center" wrapText="1"/>
    </xf>
    <xf numFmtId="184" fontId="4" fillId="33" borderId="13" xfId="0" applyNumberFormat="1" applyFont="1" applyFill="1" applyBorder="1" applyAlignment="1">
      <alignment horizontal="center" vertical="center"/>
    </xf>
    <xf numFmtId="184" fontId="8" fillId="33" borderId="0" xfId="0" applyNumberFormat="1" applyFont="1" applyFill="1" applyBorder="1" applyAlignment="1">
      <alignment horizontal="center" vertical="center" wrapText="1"/>
    </xf>
    <xf numFmtId="174" fontId="4" fillId="33" borderId="10" xfId="65"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54" applyFont="1" applyFill="1" applyBorder="1" applyAlignment="1">
      <alignment horizontal="center" vertical="center" wrapText="1"/>
      <protection/>
    </xf>
    <xf numFmtId="184" fontId="4" fillId="33" borderId="10" xfId="54" applyNumberFormat="1" applyFont="1" applyFill="1" applyBorder="1" applyAlignment="1">
      <alignment horizontal="center" vertical="center" wrapText="1"/>
      <protection/>
    </xf>
    <xf numFmtId="0" fontId="8" fillId="33" borderId="10" xfId="54" applyFont="1" applyFill="1" applyBorder="1" applyAlignment="1">
      <alignment horizontal="left" vertical="center" wrapText="1"/>
      <protection/>
    </xf>
    <xf numFmtId="0" fontId="8" fillId="33" borderId="0" xfId="0" applyFont="1" applyFill="1" applyBorder="1" applyAlignment="1">
      <alignment horizontal="center" vertical="center" wrapText="1"/>
    </xf>
    <xf numFmtId="0" fontId="4" fillId="33" borderId="10" xfId="54" applyFont="1" applyFill="1" applyBorder="1" applyAlignment="1">
      <alignment vertical="center" wrapText="1"/>
      <protection/>
    </xf>
    <xf numFmtId="0" fontId="4"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49" fontId="4" fillId="33" borderId="10" xfId="0" applyNumberFormat="1" applyFont="1" applyFill="1" applyBorder="1" applyAlignment="1">
      <alignment horizontal="left" vertical="center" wrapText="1"/>
    </xf>
    <xf numFmtId="49" fontId="7" fillId="33" borderId="0" xfId="0" applyNumberFormat="1" applyFont="1" applyFill="1" applyBorder="1" applyAlignment="1">
      <alignment horizontal="center" vertical="center" wrapText="1"/>
    </xf>
    <xf numFmtId="49" fontId="4" fillId="33" borderId="10" xfId="54" applyNumberFormat="1" applyFont="1" applyFill="1" applyBorder="1" applyAlignment="1">
      <alignment horizontal="left" vertical="center" wrapText="1"/>
      <protection/>
    </xf>
    <xf numFmtId="0" fontId="8" fillId="33" borderId="0" xfId="0" applyFont="1" applyFill="1" applyBorder="1" applyAlignment="1">
      <alignment horizontal="center" vertical="center"/>
    </xf>
    <xf numFmtId="0" fontId="7" fillId="33" borderId="13" xfId="0" applyFont="1" applyFill="1" applyBorder="1" applyAlignment="1">
      <alignment horizontal="center" vertical="center" wrapText="1"/>
    </xf>
    <xf numFmtId="173" fontId="4" fillId="33" borderId="10" xfId="54" applyNumberFormat="1" applyFont="1" applyFill="1" applyBorder="1" applyAlignment="1">
      <alignment horizontal="center" vertical="center" wrapText="1"/>
      <protection/>
    </xf>
    <xf numFmtId="49" fontId="3" fillId="33" borderId="12" xfId="0" applyNumberFormat="1" applyFont="1" applyFill="1" applyBorder="1" applyAlignment="1">
      <alignment horizontal="center" vertical="center"/>
    </xf>
    <xf numFmtId="172" fontId="4" fillId="33" borderId="10" xfId="0" applyNumberFormat="1"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xf>
    <xf numFmtId="184" fontId="3" fillId="33" borderId="10" xfId="0" applyNumberFormat="1" applyFont="1" applyFill="1" applyBorder="1" applyAlignment="1">
      <alignment horizontal="center" vertical="center"/>
    </xf>
    <xf numFmtId="174" fontId="3" fillId="33" borderId="10" xfId="0" applyNumberFormat="1" applyFont="1" applyFill="1" applyBorder="1" applyAlignment="1">
      <alignment horizontal="center" vertical="center"/>
    </xf>
    <xf numFmtId="184" fontId="3" fillId="33" borderId="13" xfId="0" applyNumberFormat="1" applyFont="1" applyFill="1" applyBorder="1" applyAlignment="1">
      <alignment horizontal="center" vertical="center"/>
    </xf>
    <xf numFmtId="184" fontId="3" fillId="33" borderId="0" xfId="0" applyNumberFormat="1" applyFont="1" applyFill="1" applyBorder="1" applyAlignment="1">
      <alignment horizontal="center" vertical="center"/>
    </xf>
    <xf numFmtId="0" fontId="11" fillId="33" borderId="0" xfId="0" applyFont="1" applyFill="1" applyBorder="1" applyAlignment="1">
      <alignment horizontal="center" vertical="center"/>
    </xf>
    <xf numFmtId="174" fontId="3" fillId="33" borderId="10" xfId="60" applyNumberFormat="1" applyFont="1" applyFill="1" applyBorder="1" applyAlignment="1">
      <alignment horizontal="center" vertical="center" wrapText="1"/>
    </xf>
    <xf numFmtId="0" fontId="4" fillId="33" borderId="14" xfId="54" applyFont="1" applyFill="1" applyBorder="1" applyAlignment="1">
      <alignment horizontal="center" vertical="center" wrapText="1"/>
      <protection/>
    </xf>
    <xf numFmtId="0" fontId="7" fillId="33" borderId="15" xfId="54" applyFont="1" applyFill="1" applyBorder="1" applyAlignment="1">
      <alignment horizontal="left" vertical="center" wrapText="1"/>
      <protection/>
    </xf>
    <xf numFmtId="0" fontId="4" fillId="33" borderId="15" xfId="54" applyFont="1" applyFill="1" applyBorder="1" applyAlignment="1">
      <alignment horizontal="left" vertical="center" wrapText="1"/>
      <protection/>
    </xf>
    <xf numFmtId="184" fontId="4" fillId="33" borderId="15" xfId="0" applyNumberFormat="1" applyFont="1" applyFill="1" applyBorder="1" applyAlignment="1">
      <alignment horizontal="center" vertical="center"/>
    </xf>
    <xf numFmtId="174" fontId="4" fillId="33" borderId="15" xfId="60" applyNumberFormat="1" applyFont="1" applyFill="1" applyBorder="1" applyAlignment="1">
      <alignment horizontal="center" vertical="center" wrapText="1"/>
    </xf>
    <xf numFmtId="184" fontId="4" fillId="33" borderId="15" xfId="0" applyNumberFormat="1"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10" fillId="33" borderId="0" xfId="0" applyFont="1" applyFill="1" applyBorder="1" applyAlignment="1">
      <alignment horizontal="center" vertical="center" wrapText="1"/>
    </xf>
    <xf numFmtId="172" fontId="4" fillId="33" borderId="0" xfId="0" applyNumberFormat="1" applyFont="1" applyFill="1" applyBorder="1" applyAlignment="1">
      <alignment horizontal="center" vertical="center" wrapText="1"/>
    </xf>
    <xf numFmtId="0" fontId="4" fillId="33" borderId="0" xfId="0" applyFont="1" applyFill="1" applyBorder="1" applyAlignment="1">
      <alignment horizontal="left" vertical="center"/>
    </xf>
    <xf numFmtId="184" fontId="64" fillId="0" borderId="0" xfId="0" applyNumberFormat="1" applyFont="1" applyFill="1" applyBorder="1" applyAlignment="1">
      <alignment horizontal="right" vertical="center" wrapText="1"/>
    </xf>
    <xf numFmtId="0" fontId="64" fillId="0" borderId="0" xfId="0" applyFont="1" applyFill="1" applyBorder="1" applyAlignment="1">
      <alignment vertical="center" wrapText="1"/>
    </xf>
    <xf numFmtId="0" fontId="64" fillId="0" borderId="0" xfId="0" applyFont="1" applyFill="1" applyAlignment="1">
      <alignment vertical="center" wrapText="1"/>
    </xf>
    <xf numFmtId="0" fontId="12" fillId="33" borderId="0" xfId="0" applyFont="1" applyFill="1" applyAlignment="1">
      <alignment horizontal="left" vertical="center" wrapText="1"/>
    </xf>
    <xf numFmtId="0" fontId="16" fillId="33" borderId="0" xfId="0" applyFont="1" applyFill="1" applyAlignment="1">
      <alignment horizontal="left" vertical="center" wrapText="1" indent="8"/>
    </xf>
    <xf numFmtId="0" fontId="16" fillId="33" borderId="0" xfId="0" applyFont="1" applyFill="1" applyBorder="1" applyAlignment="1">
      <alignment horizontal="left" vertical="center" indent="8"/>
    </xf>
    <xf numFmtId="0" fontId="17" fillId="33" borderId="0" xfId="0" applyFont="1" applyFill="1" applyAlignment="1">
      <alignment horizontal="left" vertical="center" wrapText="1" indent="8"/>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20" fillId="33" borderId="0" xfId="0" applyNumberFormat="1" applyFont="1" applyFill="1" applyBorder="1" applyAlignment="1">
      <alignment horizontal="center" wrapText="1"/>
    </xf>
    <xf numFmtId="172" fontId="3" fillId="33" borderId="11"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49" fontId="20" fillId="33" borderId="0" xfId="0" applyNumberFormat="1" applyFont="1" applyFill="1" applyBorder="1" applyAlignment="1">
      <alignment horizontal="center"/>
    </xf>
    <xf numFmtId="0" fontId="3" fillId="33" borderId="3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xf>
    <xf numFmtId="49" fontId="3" fillId="0" borderId="0" xfId="0" applyNumberFormat="1" applyFont="1" applyFill="1" applyBorder="1" applyAlignment="1">
      <alignment horizont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64" fillId="0" borderId="0" xfId="0" applyFont="1" applyFill="1" applyAlignment="1">
      <alignment horizontal="right" vertical="center" wrapText="1" indent="4"/>
    </xf>
    <xf numFmtId="0" fontId="63" fillId="0" borderId="31" xfId="0" applyFont="1" applyFill="1" applyBorder="1" applyAlignment="1">
      <alignment horizontal="left" vertical="center" wrapText="1"/>
    </xf>
    <xf numFmtId="0" fontId="44" fillId="33" borderId="0" xfId="0" applyFont="1" applyFill="1" applyAlignment="1">
      <alignment horizontal="left" vertical="center" wrapText="1" indent="8"/>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2" xfId="64"/>
    <cellStyle name="Процентный 2 3" xfId="65"/>
    <cellStyle name="Процентный 2 4" xfId="66"/>
    <cellStyle name="Процентный 2 5" xfId="67"/>
    <cellStyle name="Процентный 2 6" xfId="68"/>
    <cellStyle name="Процентный 2 7" xfId="69"/>
    <cellStyle name="Процентный 2 8" xfId="70"/>
    <cellStyle name="Процентный 2 9" xfId="71"/>
    <cellStyle name="Процентный 5"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Q177"/>
  <sheetViews>
    <sheetView tabSelected="1" view="pageBreakPreview" zoomScale="70" zoomScaleNormal="40" zoomScaleSheetLayoutView="70" zoomScalePageLayoutView="0" workbookViewId="0" topLeftCell="A73">
      <selection activeCell="E4" sqref="E4"/>
    </sheetView>
  </sheetViews>
  <sheetFormatPr defaultColWidth="9.140625" defaultRowHeight="15"/>
  <cols>
    <col min="1" max="1" width="16.7109375" style="76" customWidth="1"/>
    <col min="2" max="2" width="33.421875" style="165" customWidth="1"/>
    <col min="3" max="3" width="73.7109375" style="168" customWidth="1"/>
    <col min="4" max="4" width="20.7109375" style="76" customWidth="1"/>
    <col min="5" max="5" width="16.7109375" style="77" customWidth="1"/>
    <col min="6" max="6" width="23.140625" style="76" customWidth="1"/>
    <col min="7" max="7" width="23.421875" style="76" customWidth="1"/>
    <col min="8" max="8" width="21.00390625" style="76" customWidth="1"/>
    <col min="9" max="9" width="18.140625" style="76" customWidth="1"/>
    <col min="10" max="10" width="13.421875" style="76" customWidth="1"/>
    <col min="11" max="11" width="14.7109375" style="76" customWidth="1"/>
    <col min="12" max="12" width="15.57421875" style="76" customWidth="1"/>
    <col min="13" max="16384" width="9.140625" style="76" customWidth="1"/>
  </cols>
  <sheetData>
    <row r="1" spans="2:8" s="51" customFormat="1" ht="26.25">
      <c r="B1" s="52"/>
      <c r="C1" s="53"/>
      <c r="E1" s="54"/>
      <c r="F1" s="174" t="s">
        <v>207</v>
      </c>
      <c r="G1" s="174"/>
      <c r="H1" s="174"/>
    </row>
    <row r="2" spans="2:8" s="51" customFormat="1" ht="26.25">
      <c r="B2" s="52"/>
      <c r="C2" s="53"/>
      <c r="E2" s="54"/>
      <c r="F2" s="174" t="s">
        <v>208</v>
      </c>
      <c r="G2" s="174"/>
      <c r="H2" s="174"/>
    </row>
    <row r="3" spans="2:8" s="51" customFormat="1" ht="31.5" customHeight="1">
      <c r="B3" s="52"/>
      <c r="C3" s="53"/>
      <c r="E3" s="54"/>
      <c r="F3" s="193" t="s">
        <v>209</v>
      </c>
      <c r="G3" s="175"/>
      <c r="H3" s="175"/>
    </row>
    <row r="4" spans="1:10" s="59" customFormat="1" ht="48.75" customHeight="1">
      <c r="A4" s="55"/>
      <c r="B4" s="56"/>
      <c r="C4" s="57"/>
      <c r="D4" s="58"/>
      <c r="F4" s="60" t="s">
        <v>12</v>
      </c>
      <c r="G4" s="61"/>
      <c r="H4" s="61"/>
      <c r="I4" s="62"/>
      <c r="J4" s="62"/>
    </row>
    <row r="5" spans="1:10" s="59" customFormat="1" ht="27.75" customHeight="1">
      <c r="A5" s="55"/>
      <c r="B5" s="56"/>
      <c r="C5" s="57"/>
      <c r="D5" s="58"/>
      <c r="F5" s="173" t="s">
        <v>145</v>
      </c>
      <c r="G5" s="173"/>
      <c r="H5" s="173"/>
      <c r="I5" s="62"/>
      <c r="J5" s="62"/>
    </row>
    <row r="6" spans="1:10" s="59" customFormat="1" ht="42.75" customHeight="1">
      <c r="A6" s="55"/>
      <c r="B6" s="56"/>
      <c r="C6" s="57"/>
      <c r="D6" s="58"/>
      <c r="E6" s="63"/>
      <c r="F6" s="173"/>
      <c r="G6" s="173"/>
      <c r="H6" s="173"/>
      <c r="I6" s="62"/>
      <c r="J6" s="62"/>
    </row>
    <row r="7" spans="1:10" s="70" customFormat="1" ht="14.25" customHeight="1">
      <c r="A7" s="64"/>
      <c r="B7" s="65"/>
      <c r="C7" s="66"/>
      <c r="D7" s="67"/>
      <c r="E7" s="68"/>
      <c r="F7" s="68"/>
      <c r="G7" s="172"/>
      <c r="H7" s="172"/>
      <c r="I7" s="69"/>
      <c r="J7" s="69"/>
    </row>
    <row r="8" spans="1:8" s="71" customFormat="1" ht="41.25" customHeight="1">
      <c r="A8" s="181" t="s">
        <v>15</v>
      </c>
      <c r="B8" s="181"/>
      <c r="C8" s="181"/>
      <c r="D8" s="181"/>
      <c r="E8" s="181"/>
      <c r="F8" s="181"/>
      <c r="G8" s="181"/>
      <c r="H8" s="181"/>
    </row>
    <row r="9" spans="1:7" s="71" customFormat="1" ht="53.25" customHeight="1">
      <c r="A9" s="72"/>
      <c r="B9" s="73"/>
      <c r="C9" s="72"/>
      <c r="D9" s="72"/>
      <c r="F9" s="74"/>
      <c r="G9" s="75" t="s">
        <v>16</v>
      </c>
    </row>
    <row r="10" spans="1:8" s="71" customFormat="1" ht="49.5" customHeight="1">
      <c r="A10" s="178" t="s">
        <v>146</v>
      </c>
      <c r="B10" s="178"/>
      <c r="C10" s="178"/>
      <c r="D10" s="178"/>
      <c r="E10" s="178"/>
      <c r="F10" s="178"/>
      <c r="G10" s="178"/>
      <c r="H10" s="178"/>
    </row>
    <row r="11" spans="2:7" ht="26.25" customHeight="1" thickBot="1">
      <c r="B11" s="184"/>
      <c r="C11" s="184"/>
      <c r="G11" s="78" t="s">
        <v>10</v>
      </c>
    </row>
    <row r="12" spans="1:8" ht="113.25" customHeight="1">
      <c r="A12" s="79" t="s">
        <v>5</v>
      </c>
      <c r="B12" s="80" t="s">
        <v>7</v>
      </c>
      <c r="C12" s="176" t="s">
        <v>9</v>
      </c>
      <c r="D12" s="176" t="s">
        <v>1</v>
      </c>
      <c r="E12" s="179" t="s">
        <v>147</v>
      </c>
      <c r="F12" s="176" t="s">
        <v>13</v>
      </c>
      <c r="G12" s="176" t="s">
        <v>11</v>
      </c>
      <c r="H12" s="182" t="s">
        <v>73</v>
      </c>
    </row>
    <row r="13" spans="1:8" ht="116.25" customHeight="1" thickBot="1">
      <c r="A13" s="81" t="s">
        <v>6</v>
      </c>
      <c r="B13" s="82" t="s">
        <v>8</v>
      </c>
      <c r="C13" s="177"/>
      <c r="D13" s="177"/>
      <c r="E13" s="180"/>
      <c r="F13" s="177"/>
      <c r="G13" s="177"/>
      <c r="H13" s="183"/>
    </row>
    <row r="14" spans="1:8" ht="21" customHeight="1" hidden="1">
      <c r="A14" s="83"/>
      <c r="B14" s="84"/>
      <c r="C14" s="85"/>
      <c r="D14" s="84"/>
      <c r="E14" s="86" t="s">
        <v>4</v>
      </c>
      <c r="F14" s="84" t="s">
        <v>0</v>
      </c>
      <c r="G14" s="84"/>
      <c r="H14" s="87"/>
    </row>
    <row r="15" spans="1:8" ht="23.25" customHeight="1" thickBot="1">
      <c r="A15" s="88">
        <v>1</v>
      </c>
      <c r="B15" s="89">
        <v>2</v>
      </c>
      <c r="C15" s="89">
        <v>3</v>
      </c>
      <c r="D15" s="89">
        <v>4</v>
      </c>
      <c r="E15" s="90">
        <v>5</v>
      </c>
      <c r="F15" s="89">
        <v>6</v>
      </c>
      <c r="G15" s="89">
        <v>7</v>
      </c>
      <c r="H15" s="91">
        <v>8</v>
      </c>
    </row>
    <row r="16" spans="1:8" s="96" customFormat="1" ht="29.25" customHeight="1">
      <c r="A16" s="92"/>
      <c r="B16" s="93"/>
      <c r="C16" s="93" t="s">
        <v>14</v>
      </c>
      <c r="D16" s="94">
        <f>SUM(D17+D29+D63+D88+D101+D119+D122+D124+D126+D129)</f>
        <v>425883.22</v>
      </c>
      <c r="E16" s="94"/>
      <c r="F16" s="94">
        <f>SUM(F17+F29+F63+F88+F101+F119+F122+F124+F126+F129)</f>
        <v>337538.91782000003</v>
      </c>
      <c r="G16" s="94">
        <f>SUM(G17+G29+G63+G88+G101+G119+G122+G124+G126+G129+G132)</f>
        <v>144065.947</v>
      </c>
      <c r="H16" s="95"/>
    </row>
    <row r="17" spans="1:16" ht="57.75" customHeight="1">
      <c r="A17" s="97">
        <v>73</v>
      </c>
      <c r="B17" s="98" t="s">
        <v>3</v>
      </c>
      <c r="C17" s="98"/>
      <c r="D17" s="99">
        <f>SUM(D18:D28)</f>
        <v>139845.05599999998</v>
      </c>
      <c r="E17" s="99"/>
      <c r="F17" s="99">
        <f>SUM(F18:F28)</f>
        <v>115446.92003000001</v>
      </c>
      <c r="G17" s="99">
        <f>SUM(G18:G28)</f>
        <v>22069.257999999994</v>
      </c>
      <c r="H17" s="100" t="s">
        <v>90</v>
      </c>
      <c r="I17" s="101"/>
      <c r="J17" s="101"/>
      <c r="K17" s="101"/>
      <c r="L17" s="101"/>
      <c r="M17" s="101"/>
      <c r="N17" s="102"/>
      <c r="O17" s="103"/>
      <c r="P17" s="104"/>
    </row>
    <row r="18" spans="1:16" ht="42.75" customHeight="1">
      <c r="A18" s="105">
        <v>150101</v>
      </c>
      <c r="B18" s="106" t="s">
        <v>2</v>
      </c>
      <c r="C18" s="106" t="s">
        <v>192</v>
      </c>
      <c r="D18" s="107"/>
      <c r="E18" s="107"/>
      <c r="F18" s="107"/>
      <c r="G18" s="107">
        <v>200.404</v>
      </c>
      <c r="H18" s="108" t="s">
        <v>96</v>
      </c>
      <c r="I18" s="109"/>
      <c r="J18" s="109"/>
      <c r="K18" s="109"/>
      <c r="L18" s="109"/>
      <c r="M18" s="109"/>
      <c r="N18" s="110"/>
      <c r="O18" s="111"/>
      <c r="P18" s="104"/>
    </row>
    <row r="19" spans="1:16" ht="44.25" customHeight="1">
      <c r="A19" s="105">
        <v>150101</v>
      </c>
      <c r="B19" s="106" t="s">
        <v>2</v>
      </c>
      <c r="C19" s="106" t="s">
        <v>30</v>
      </c>
      <c r="D19" s="112">
        <v>8428.076</v>
      </c>
      <c r="E19" s="113">
        <f aca="true" t="shared" si="0" ref="E19:E28">100-(F19/D19)*100</f>
        <v>17.300442473466077</v>
      </c>
      <c r="F19" s="107">
        <f>D19-(2.65228+224.04934+1231.39282)</f>
        <v>6969.981559999999</v>
      </c>
      <c r="G19" s="107">
        <f>532.674+1342.837+2088.752</f>
        <v>3964.263</v>
      </c>
      <c r="H19" s="108" t="s">
        <v>96</v>
      </c>
      <c r="I19" s="114"/>
      <c r="J19" s="114"/>
      <c r="K19" s="114"/>
      <c r="L19" s="114"/>
      <c r="M19" s="114"/>
      <c r="N19" s="115"/>
      <c r="O19" s="116"/>
      <c r="P19" s="104"/>
    </row>
    <row r="20" spans="1:16" ht="60.75" customHeight="1">
      <c r="A20" s="105">
        <v>150101</v>
      </c>
      <c r="B20" s="106" t="s">
        <v>2</v>
      </c>
      <c r="C20" s="106" t="s">
        <v>31</v>
      </c>
      <c r="D20" s="112">
        <v>3836.2</v>
      </c>
      <c r="E20" s="113">
        <f>100-(F20/D20)*100</f>
        <v>0.7438871800219005</v>
      </c>
      <c r="F20" s="112">
        <f>D20-(28.537)</f>
        <v>3807.663</v>
      </c>
      <c r="G20" s="107">
        <v>200</v>
      </c>
      <c r="H20" s="108" t="s">
        <v>96</v>
      </c>
      <c r="I20" s="114"/>
      <c r="J20" s="114"/>
      <c r="K20" s="114"/>
      <c r="L20" s="114"/>
      <c r="M20" s="114"/>
      <c r="N20" s="110"/>
      <c r="O20" s="111"/>
      <c r="P20" s="117"/>
    </row>
    <row r="21" spans="1:16" ht="78" customHeight="1">
      <c r="A21" s="105">
        <v>150121</v>
      </c>
      <c r="B21" s="118" t="s">
        <v>32</v>
      </c>
      <c r="C21" s="106" t="s">
        <v>191</v>
      </c>
      <c r="D21" s="112">
        <v>13422.629</v>
      </c>
      <c r="E21" s="113">
        <f>100-(F21/D21)*100</f>
        <v>16.669094109656157</v>
      </c>
      <c r="F21" s="112">
        <f>D21-(56.35656+1000+570.604+271.5277+338.9424)</f>
        <v>11185.19834</v>
      </c>
      <c r="G21" s="112">
        <f>1677.78</f>
        <v>1677.78</v>
      </c>
      <c r="H21" s="108" t="s">
        <v>96</v>
      </c>
      <c r="I21" s="114"/>
      <c r="J21" s="114"/>
      <c r="K21" s="114"/>
      <c r="L21" s="114"/>
      <c r="M21" s="114"/>
      <c r="N21" s="110"/>
      <c r="O21" s="111"/>
      <c r="P21" s="104"/>
    </row>
    <row r="22" spans="1:17" ht="99" customHeight="1">
      <c r="A22" s="119" t="s">
        <v>75</v>
      </c>
      <c r="B22" s="120" t="s">
        <v>32</v>
      </c>
      <c r="C22" s="106" t="s">
        <v>148</v>
      </c>
      <c r="D22" s="107">
        <v>16832.623</v>
      </c>
      <c r="E22" s="121">
        <f>100-(F22/D22)*100</f>
        <v>52.23865555594039</v>
      </c>
      <c r="F22" s="112">
        <f>SUM(D22-8788.87595-4.26)</f>
        <v>8039.48705</v>
      </c>
      <c r="G22" s="112">
        <v>1205.98</v>
      </c>
      <c r="H22" s="108" t="s">
        <v>96</v>
      </c>
      <c r="I22" s="109"/>
      <c r="J22" s="110"/>
      <c r="K22" s="122"/>
      <c r="L22" s="114"/>
      <c r="M22" s="114"/>
      <c r="N22" s="114"/>
      <c r="O22" s="110"/>
      <c r="P22" s="111"/>
      <c r="Q22" s="104"/>
    </row>
    <row r="23" spans="1:16" ht="57" customHeight="1">
      <c r="A23" s="105">
        <v>150101</v>
      </c>
      <c r="B23" s="106" t="s">
        <v>2</v>
      </c>
      <c r="C23" s="106" t="s">
        <v>149</v>
      </c>
      <c r="D23" s="112">
        <v>4848.886</v>
      </c>
      <c r="E23" s="113">
        <f t="shared" si="0"/>
        <v>87.38717985945637</v>
      </c>
      <c r="F23" s="107">
        <f>SUM(D23-1337.30473-2900)</f>
        <v>611.5812700000006</v>
      </c>
      <c r="G23" s="107">
        <f>22.235+186.656</f>
        <v>208.89100000000002</v>
      </c>
      <c r="H23" s="108" t="s">
        <v>96</v>
      </c>
      <c r="I23" s="114"/>
      <c r="J23" s="114"/>
      <c r="K23" s="114"/>
      <c r="L23" s="114"/>
      <c r="M23" s="114"/>
      <c r="N23" s="115"/>
      <c r="O23" s="116"/>
      <c r="P23" s="104"/>
    </row>
    <row r="24" spans="1:16" ht="43.5" customHeight="1">
      <c r="A24" s="105">
        <v>150101</v>
      </c>
      <c r="B24" s="106" t="s">
        <v>2</v>
      </c>
      <c r="C24" s="123" t="s">
        <v>150</v>
      </c>
      <c r="D24" s="112">
        <v>8469.431</v>
      </c>
      <c r="E24" s="113">
        <f t="shared" si="0"/>
        <v>80.20124634110601</v>
      </c>
      <c r="F24" s="112">
        <f>SUM(D24-1500-1125.399-428.3483-479.307-3259.53492)</f>
        <v>1676.8417800000016</v>
      </c>
      <c r="G24" s="112">
        <v>311.886</v>
      </c>
      <c r="H24" s="108" t="s">
        <v>96</v>
      </c>
      <c r="I24" s="114"/>
      <c r="J24" s="109"/>
      <c r="K24" s="109"/>
      <c r="L24" s="114"/>
      <c r="M24" s="114"/>
      <c r="N24" s="110"/>
      <c r="O24" s="111"/>
      <c r="P24" s="104"/>
    </row>
    <row r="25" spans="1:16" ht="61.5" customHeight="1">
      <c r="A25" s="105">
        <v>150101</v>
      </c>
      <c r="B25" s="106" t="s">
        <v>2</v>
      </c>
      <c r="C25" s="123" t="s">
        <v>151</v>
      </c>
      <c r="D25" s="107">
        <v>40486.207</v>
      </c>
      <c r="E25" s="113">
        <f>100-(F25/D25)*100</f>
        <v>1.106544310263473</v>
      </c>
      <c r="F25" s="107">
        <f>D25-(160+149.35361+138.64421)</f>
        <v>40038.209180000005</v>
      </c>
      <c r="G25" s="107">
        <v>4000</v>
      </c>
      <c r="H25" s="108" t="s">
        <v>96</v>
      </c>
      <c r="I25" s="109"/>
      <c r="J25" s="109"/>
      <c r="K25" s="109"/>
      <c r="L25" s="109"/>
      <c r="M25" s="109"/>
      <c r="N25" s="110"/>
      <c r="O25" s="124"/>
      <c r="P25" s="117"/>
    </row>
    <row r="26" spans="1:16" ht="56.25">
      <c r="A26" s="105">
        <v>150101</v>
      </c>
      <c r="B26" s="106" t="s">
        <v>2</v>
      </c>
      <c r="C26" s="123" t="s">
        <v>33</v>
      </c>
      <c r="D26" s="107">
        <v>41973.922</v>
      </c>
      <c r="E26" s="113">
        <f t="shared" si="0"/>
        <v>0.7238618063854005</v>
      </c>
      <c r="F26" s="107">
        <f>SUM(D26-249.768-46.62-7.44519)</f>
        <v>41670.08881</v>
      </c>
      <c r="G26" s="107">
        <f>300+18644.922-1403.4-78.4-2533.338-500-2088.752-644.43-186.656-261.296-545.026-55.046-180-1906.393+290</f>
        <v>8852.184999999994</v>
      </c>
      <c r="H26" s="108" t="s">
        <v>96</v>
      </c>
      <c r="I26" s="109"/>
      <c r="J26" s="109"/>
      <c r="K26" s="109"/>
      <c r="L26" s="109"/>
      <c r="M26" s="109"/>
      <c r="N26" s="110"/>
      <c r="O26" s="124"/>
      <c r="P26" s="117"/>
    </row>
    <row r="27" spans="1:16" ht="40.5" customHeight="1">
      <c r="A27" s="105">
        <v>150101</v>
      </c>
      <c r="B27" s="106" t="s">
        <v>2</v>
      </c>
      <c r="C27" s="123" t="s">
        <v>34</v>
      </c>
      <c r="D27" s="107">
        <v>1222.082</v>
      </c>
      <c r="E27" s="113">
        <f t="shared" si="0"/>
        <v>8.118355396773708</v>
      </c>
      <c r="F27" s="107">
        <f>D27-99.21296</f>
        <v>1122.86904</v>
      </c>
      <c r="G27" s="107">
        <v>1122.869</v>
      </c>
      <c r="H27" s="108" t="s">
        <v>96</v>
      </c>
      <c r="I27" s="109"/>
      <c r="J27" s="109"/>
      <c r="K27" s="109"/>
      <c r="L27" s="109"/>
      <c r="M27" s="109"/>
      <c r="N27" s="110"/>
      <c r="O27" s="111"/>
      <c r="P27" s="104"/>
    </row>
    <row r="28" spans="1:16" ht="39.75" customHeight="1">
      <c r="A28" s="105">
        <v>150101</v>
      </c>
      <c r="B28" s="106" t="s">
        <v>2</v>
      </c>
      <c r="C28" s="106" t="s">
        <v>76</v>
      </c>
      <c r="D28" s="107">
        <v>325</v>
      </c>
      <c r="E28" s="113">
        <f t="shared" si="0"/>
        <v>0</v>
      </c>
      <c r="F28" s="107">
        <f>SUM(D28)</f>
        <v>325</v>
      </c>
      <c r="G28" s="107">
        <v>325</v>
      </c>
      <c r="H28" s="108" t="s">
        <v>96</v>
      </c>
      <c r="I28" s="109"/>
      <c r="J28" s="109"/>
      <c r="K28" s="109"/>
      <c r="L28" s="109"/>
      <c r="M28" s="109"/>
      <c r="N28" s="110"/>
      <c r="O28" s="111"/>
      <c r="P28" s="104"/>
    </row>
    <row r="29" spans="1:16" s="127" customFormat="1" ht="78.75" customHeight="1">
      <c r="A29" s="97">
        <v>41</v>
      </c>
      <c r="B29" s="98" t="s">
        <v>35</v>
      </c>
      <c r="C29" s="98" t="s">
        <v>36</v>
      </c>
      <c r="D29" s="99">
        <f>SUM(D30:D62)</f>
        <v>123640.14200000002</v>
      </c>
      <c r="E29" s="99"/>
      <c r="F29" s="99">
        <f>SUM(F30:F62)</f>
        <v>95963.95762000003</v>
      </c>
      <c r="G29" s="99">
        <f>SUM(G30:G62)</f>
        <v>44657.279</v>
      </c>
      <c r="H29" s="100"/>
      <c r="I29" s="101"/>
      <c r="J29" s="101"/>
      <c r="K29" s="101"/>
      <c r="L29" s="101"/>
      <c r="M29" s="101"/>
      <c r="N29" s="102"/>
      <c r="O29" s="125"/>
      <c r="P29" s="126"/>
    </row>
    <row r="30" spans="1:16" ht="41.25" customHeight="1">
      <c r="A30" s="105">
        <v>150101</v>
      </c>
      <c r="B30" s="106" t="s">
        <v>2</v>
      </c>
      <c r="C30" s="106" t="s">
        <v>37</v>
      </c>
      <c r="D30" s="107">
        <v>33418</v>
      </c>
      <c r="E30" s="113">
        <f aca="true" t="shared" si="1" ref="E30:E48">100-(F30/D30)*100</f>
        <v>67.09543686037466</v>
      </c>
      <c r="F30" s="107">
        <f>D30-(18568.25313+3853.69996)</f>
        <v>10996.046909999997</v>
      </c>
      <c r="G30" s="107">
        <f>146.236+5500</f>
        <v>5646.236</v>
      </c>
      <c r="H30" s="128"/>
      <c r="I30" s="109"/>
      <c r="J30" s="109"/>
      <c r="K30" s="109"/>
      <c r="L30" s="109"/>
      <c r="M30" s="109"/>
      <c r="N30" s="110"/>
      <c r="O30" s="124"/>
      <c r="P30" s="104"/>
    </row>
    <row r="31" spans="1:16" ht="45.75" customHeight="1">
      <c r="A31" s="105">
        <v>150101</v>
      </c>
      <c r="B31" s="106" t="s">
        <v>2</v>
      </c>
      <c r="C31" s="123" t="s">
        <v>38</v>
      </c>
      <c r="D31" s="107">
        <v>13492.94</v>
      </c>
      <c r="E31" s="113">
        <f t="shared" si="1"/>
        <v>21.184069594914064</v>
      </c>
      <c r="F31" s="107">
        <f>D31-(2764.6818+93.672)</f>
        <v>10634.586200000002</v>
      </c>
      <c r="G31" s="107">
        <v>3000</v>
      </c>
      <c r="H31" s="108" t="s">
        <v>96</v>
      </c>
      <c r="I31" s="109"/>
      <c r="J31" s="109"/>
      <c r="K31" s="109"/>
      <c r="L31" s="109"/>
      <c r="M31" s="109"/>
      <c r="N31" s="110"/>
      <c r="O31" s="129"/>
      <c r="P31" s="117"/>
    </row>
    <row r="32" spans="1:16" ht="56.25" customHeight="1">
      <c r="A32" s="105">
        <v>150101</v>
      </c>
      <c r="B32" s="106" t="s">
        <v>2</v>
      </c>
      <c r="C32" s="106" t="s">
        <v>152</v>
      </c>
      <c r="D32" s="107">
        <v>5210</v>
      </c>
      <c r="E32" s="113">
        <f>100-(F32/D32)*100</f>
        <v>1.7417963531669756</v>
      </c>
      <c r="F32" s="107">
        <f>D32-90.74759</f>
        <v>5119.25241</v>
      </c>
      <c r="G32" s="107">
        <v>112.926</v>
      </c>
      <c r="H32" s="108" t="s">
        <v>96</v>
      </c>
      <c r="I32" s="109"/>
      <c r="J32" s="109"/>
      <c r="K32" s="109"/>
      <c r="L32" s="109"/>
      <c r="M32" s="109"/>
      <c r="N32" s="110"/>
      <c r="O32" s="111"/>
      <c r="P32" s="117"/>
    </row>
    <row r="33" spans="1:11" ht="78.75" customHeight="1">
      <c r="A33" s="105">
        <v>150101</v>
      </c>
      <c r="B33" s="130" t="s">
        <v>2</v>
      </c>
      <c r="C33" s="106" t="s">
        <v>105</v>
      </c>
      <c r="D33" s="107">
        <v>2117.823</v>
      </c>
      <c r="E33" s="113">
        <f>100-(F33/D33)*100</f>
        <v>0</v>
      </c>
      <c r="F33" s="107">
        <v>2117.823</v>
      </c>
      <c r="G33" s="107">
        <v>2117.823</v>
      </c>
      <c r="H33" s="131"/>
      <c r="I33" s="114"/>
      <c r="J33" s="111"/>
      <c r="K33" s="132"/>
    </row>
    <row r="34" spans="1:11" ht="39" customHeight="1">
      <c r="A34" s="105">
        <v>150101</v>
      </c>
      <c r="B34" s="130" t="s">
        <v>2</v>
      </c>
      <c r="C34" s="106" t="s">
        <v>77</v>
      </c>
      <c r="D34" s="107">
        <v>820.137</v>
      </c>
      <c r="E34" s="113">
        <f>100-(F34/D34)*100</f>
        <v>0</v>
      </c>
      <c r="F34" s="107">
        <v>820.137</v>
      </c>
      <c r="G34" s="107">
        <v>820.137</v>
      </c>
      <c r="H34" s="131" t="s">
        <v>97</v>
      </c>
      <c r="I34" s="114"/>
      <c r="J34" s="111"/>
      <c r="K34" s="132"/>
    </row>
    <row r="35" spans="1:11" ht="60" customHeight="1">
      <c r="A35" s="105">
        <v>150101</v>
      </c>
      <c r="B35" s="130" t="s">
        <v>2</v>
      </c>
      <c r="C35" s="106" t="s">
        <v>78</v>
      </c>
      <c r="D35" s="107">
        <v>329</v>
      </c>
      <c r="E35" s="113">
        <f>100-(F35/D35)*100</f>
        <v>0</v>
      </c>
      <c r="F35" s="107">
        <v>329</v>
      </c>
      <c r="G35" s="107">
        <v>329</v>
      </c>
      <c r="H35" s="108" t="s">
        <v>96</v>
      </c>
      <c r="I35" s="114"/>
      <c r="J35" s="110"/>
      <c r="K35" s="132"/>
    </row>
    <row r="36" spans="1:16" ht="51" customHeight="1">
      <c r="A36" s="105">
        <v>150101</v>
      </c>
      <c r="B36" s="106" t="s">
        <v>2</v>
      </c>
      <c r="C36" s="106" t="s">
        <v>79</v>
      </c>
      <c r="D36" s="107">
        <v>465</v>
      </c>
      <c r="E36" s="113">
        <f t="shared" si="1"/>
        <v>46.5410752688172</v>
      </c>
      <c r="F36" s="107">
        <f>D36-(79.512+136.904)</f>
        <v>248.584</v>
      </c>
      <c r="G36" s="107">
        <v>248.584</v>
      </c>
      <c r="H36" s="108" t="s">
        <v>96</v>
      </c>
      <c r="I36" s="109"/>
      <c r="J36" s="109"/>
      <c r="K36" s="109"/>
      <c r="L36" s="109"/>
      <c r="M36" s="109"/>
      <c r="N36" s="110"/>
      <c r="O36" s="111"/>
      <c r="P36" s="104"/>
    </row>
    <row r="37" spans="1:11" ht="40.5" customHeight="1">
      <c r="A37" s="105">
        <v>150101</v>
      </c>
      <c r="B37" s="130" t="s">
        <v>2</v>
      </c>
      <c r="C37" s="106" t="s">
        <v>80</v>
      </c>
      <c r="D37" s="107">
        <v>2925.506</v>
      </c>
      <c r="E37" s="113">
        <f>100-(F37/D37)*100</f>
        <v>0</v>
      </c>
      <c r="F37" s="107">
        <f>D37-0</f>
        <v>2925.506</v>
      </c>
      <c r="G37" s="112">
        <v>2925.506</v>
      </c>
      <c r="H37" s="108" t="s">
        <v>96</v>
      </c>
      <c r="I37" s="114"/>
      <c r="J37" s="110"/>
      <c r="K37" s="132"/>
    </row>
    <row r="38" spans="1:16" ht="64.5" customHeight="1">
      <c r="A38" s="105">
        <v>150101</v>
      </c>
      <c r="B38" s="106" t="s">
        <v>2</v>
      </c>
      <c r="C38" s="106" t="s">
        <v>153</v>
      </c>
      <c r="D38" s="107">
        <v>997.202</v>
      </c>
      <c r="E38" s="113">
        <f t="shared" si="1"/>
        <v>31.945884585069024</v>
      </c>
      <c r="F38" s="107">
        <f>SUM(D38-318.565)</f>
        <v>678.637</v>
      </c>
      <c r="G38" s="107">
        <v>439.075</v>
      </c>
      <c r="H38" s="128"/>
      <c r="I38" s="109"/>
      <c r="J38" s="109"/>
      <c r="K38" s="109"/>
      <c r="L38" s="109"/>
      <c r="M38" s="109"/>
      <c r="N38" s="110"/>
      <c r="O38" s="111"/>
      <c r="P38" s="104"/>
    </row>
    <row r="39" spans="1:16" ht="45" customHeight="1">
      <c r="A39" s="105">
        <v>150101</v>
      </c>
      <c r="B39" s="106" t="s">
        <v>2</v>
      </c>
      <c r="C39" s="106" t="s">
        <v>81</v>
      </c>
      <c r="D39" s="107">
        <v>1279.309</v>
      </c>
      <c r="E39" s="113">
        <f t="shared" si="1"/>
        <v>37.37758586862127</v>
      </c>
      <c r="F39" s="107">
        <f>SUM(D39-98.21146-96.41545-283.54791)</f>
        <v>801.13418</v>
      </c>
      <c r="G39" s="107">
        <f>52.526+104.178+644.43</f>
        <v>801.134</v>
      </c>
      <c r="H39" s="108" t="s">
        <v>96</v>
      </c>
      <c r="I39" s="109"/>
      <c r="J39" s="109"/>
      <c r="K39" s="109"/>
      <c r="L39" s="109"/>
      <c r="M39" s="109"/>
      <c r="N39" s="110"/>
      <c r="O39" s="111"/>
      <c r="P39" s="104"/>
    </row>
    <row r="40" spans="1:16" ht="46.5" customHeight="1">
      <c r="A40" s="105">
        <v>150101</v>
      </c>
      <c r="B40" s="106" t="s">
        <v>2</v>
      </c>
      <c r="C40" s="106" t="s">
        <v>193</v>
      </c>
      <c r="D40" s="107">
        <v>320</v>
      </c>
      <c r="E40" s="113">
        <f t="shared" si="1"/>
        <v>19.225343750000008</v>
      </c>
      <c r="F40" s="107">
        <f>D40-(60+1.5211)</f>
        <v>258.4789</v>
      </c>
      <c r="G40" s="107">
        <f>186.226+72.253</f>
        <v>258.479</v>
      </c>
      <c r="H40" s="108" t="s">
        <v>96</v>
      </c>
      <c r="I40" s="109"/>
      <c r="J40" s="109"/>
      <c r="K40" s="109"/>
      <c r="L40" s="109"/>
      <c r="M40" s="109"/>
      <c r="N40" s="110"/>
      <c r="O40" s="111"/>
      <c r="P40" s="104"/>
    </row>
    <row r="41" spans="1:16" ht="46.5" customHeight="1">
      <c r="A41" s="105">
        <v>150101</v>
      </c>
      <c r="B41" s="106" t="s">
        <v>2</v>
      </c>
      <c r="C41" s="106" t="s">
        <v>91</v>
      </c>
      <c r="D41" s="107">
        <v>17355.089</v>
      </c>
      <c r="E41" s="113">
        <f t="shared" si="1"/>
        <v>1.248861357034798</v>
      </c>
      <c r="F41" s="107">
        <v>17138.348</v>
      </c>
      <c r="G41" s="107">
        <v>184.976</v>
      </c>
      <c r="H41" s="108" t="s">
        <v>96</v>
      </c>
      <c r="I41" s="109"/>
      <c r="J41" s="109"/>
      <c r="K41" s="109"/>
      <c r="L41" s="109"/>
      <c r="M41" s="109"/>
      <c r="N41" s="110"/>
      <c r="O41" s="111"/>
      <c r="P41" s="104"/>
    </row>
    <row r="42" spans="1:16" ht="44.25" customHeight="1">
      <c r="A42" s="105">
        <v>150101</v>
      </c>
      <c r="B42" s="106" t="s">
        <v>2</v>
      </c>
      <c r="C42" s="106" t="s">
        <v>39</v>
      </c>
      <c r="D42" s="107">
        <v>430</v>
      </c>
      <c r="E42" s="113">
        <f t="shared" si="1"/>
        <v>22.65906976744185</v>
      </c>
      <c r="F42" s="107">
        <f>D42-(60.3528+37.0812)</f>
        <v>332.56600000000003</v>
      </c>
      <c r="G42" s="107">
        <f>317.262+15.304</f>
        <v>332.566</v>
      </c>
      <c r="H42" s="108" t="s">
        <v>96</v>
      </c>
      <c r="I42" s="109"/>
      <c r="J42" s="109"/>
      <c r="K42" s="109"/>
      <c r="L42" s="109"/>
      <c r="M42" s="109"/>
      <c r="N42" s="110"/>
      <c r="O42" s="111"/>
      <c r="P42" s="104"/>
    </row>
    <row r="43" spans="1:16" ht="81.75" customHeight="1">
      <c r="A43" s="105">
        <v>150101</v>
      </c>
      <c r="B43" s="106" t="s">
        <v>2</v>
      </c>
      <c r="C43" s="106" t="s">
        <v>154</v>
      </c>
      <c r="D43" s="107">
        <v>2800</v>
      </c>
      <c r="E43" s="113">
        <f t="shared" si="1"/>
        <v>3.8084935714285706</v>
      </c>
      <c r="F43" s="107">
        <f>D43-106.63782</f>
        <v>2693.36218</v>
      </c>
      <c r="G43" s="107">
        <v>450</v>
      </c>
      <c r="H43" s="108" t="s">
        <v>96</v>
      </c>
      <c r="I43" s="109"/>
      <c r="J43" s="109"/>
      <c r="K43" s="109"/>
      <c r="L43" s="109"/>
      <c r="M43" s="109"/>
      <c r="N43" s="110"/>
      <c r="O43" s="111"/>
      <c r="P43" s="104"/>
    </row>
    <row r="44" spans="1:16" ht="64.5" customHeight="1">
      <c r="A44" s="105">
        <v>150101</v>
      </c>
      <c r="B44" s="106" t="s">
        <v>2</v>
      </c>
      <c r="C44" s="106" t="s">
        <v>40</v>
      </c>
      <c r="D44" s="107">
        <v>4500</v>
      </c>
      <c r="E44" s="113">
        <f t="shared" si="1"/>
        <v>3.7698666666666725</v>
      </c>
      <c r="F44" s="107">
        <f>D44-169.644</f>
        <v>4330.356</v>
      </c>
      <c r="G44" s="107">
        <f>86.356+2000</f>
        <v>2086.3559999999998</v>
      </c>
      <c r="H44" s="108" t="s">
        <v>96</v>
      </c>
      <c r="I44" s="109"/>
      <c r="J44" s="109"/>
      <c r="K44" s="109"/>
      <c r="L44" s="109"/>
      <c r="M44" s="109"/>
      <c r="N44" s="110"/>
      <c r="O44" s="111"/>
      <c r="P44" s="104"/>
    </row>
    <row r="45" spans="1:16" ht="45" customHeight="1">
      <c r="A45" s="105">
        <v>150101</v>
      </c>
      <c r="B45" s="106" t="s">
        <v>2</v>
      </c>
      <c r="C45" s="106" t="s">
        <v>155</v>
      </c>
      <c r="D45" s="107">
        <v>1951.998</v>
      </c>
      <c r="E45" s="113">
        <f t="shared" si="1"/>
        <v>4.2933973293005465</v>
      </c>
      <c r="F45" s="107">
        <f>D45-83.80703</f>
        <v>1868.19097</v>
      </c>
      <c r="G45" s="107">
        <v>1868.191</v>
      </c>
      <c r="H45" s="108" t="s">
        <v>96</v>
      </c>
      <c r="I45" s="109"/>
      <c r="J45" s="109"/>
      <c r="K45" s="109"/>
      <c r="L45" s="109"/>
      <c r="M45" s="109"/>
      <c r="N45" s="110"/>
      <c r="O45" s="111"/>
      <c r="P45" s="104"/>
    </row>
    <row r="46" spans="1:16" ht="42" customHeight="1">
      <c r="A46" s="105">
        <v>150101</v>
      </c>
      <c r="B46" s="106" t="s">
        <v>2</v>
      </c>
      <c r="C46" s="106" t="s">
        <v>194</v>
      </c>
      <c r="D46" s="107">
        <v>200</v>
      </c>
      <c r="E46" s="113">
        <f>100-(F46/D46)*100</f>
        <v>0</v>
      </c>
      <c r="F46" s="107">
        <f>D46-0</f>
        <v>200</v>
      </c>
      <c r="G46" s="107">
        <v>200</v>
      </c>
      <c r="H46" s="108" t="s">
        <v>96</v>
      </c>
      <c r="I46" s="109"/>
      <c r="J46" s="109"/>
      <c r="K46" s="109"/>
      <c r="L46" s="109"/>
      <c r="M46" s="109"/>
      <c r="N46" s="110"/>
      <c r="O46" s="111"/>
      <c r="P46" s="104"/>
    </row>
    <row r="47" spans="1:16" ht="45" customHeight="1">
      <c r="A47" s="105">
        <v>150101</v>
      </c>
      <c r="B47" s="106" t="s">
        <v>2</v>
      </c>
      <c r="C47" s="106" t="s">
        <v>156</v>
      </c>
      <c r="D47" s="107">
        <v>2037.432</v>
      </c>
      <c r="E47" s="113">
        <f t="shared" si="1"/>
        <v>3.727133960789857</v>
      </c>
      <c r="F47" s="107">
        <f>D47-75.93782</f>
        <v>1961.49418</v>
      </c>
      <c r="G47" s="107">
        <v>500</v>
      </c>
      <c r="H47" s="108" t="s">
        <v>96</v>
      </c>
      <c r="I47" s="109"/>
      <c r="J47" s="109"/>
      <c r="K47" s="109"/>
      <c r="L47" s="109"/>
      <c r="M47" s="109"/>
      <c r="N47" s="110"/>
      <c r="O47" s="111"/>
      <c r="P47" s="104"/>
    </row>
    <row r="48" spans="1:16" ht="48" customHeight="1">
      <c r="A48" s="105">
        <v>150101</v>
      </c>
      <c r="B48" s="106" t="s">
        <v>2</v>
      </c>
      <c r="C48" s="106" t="s">
        <v>157</v>
      </c>
      <c r="D48" s="107">
        <v>325</v>
      </c>
      <c r="E48" s="113">
        <f t="shared" si="1"/>
        <v>0</v>
      </c>
      <c r="F48" s="107">
        <f>D48-0</f>
        <v>325</v>
      </c>
      <c r="G48" s="107">
        <v>325</v>
      </c>
      <c r="H48" s="108" t="s">
        <v>96</v>
      </c>
      <c r="I48" s="109"/>
      <c r="J48" s="109"/>
      <c r="K48" s="109"/>
      <c r="L48" s="109"/>
      <c r="M48" s="109"/>
      <c r="N48" s="110"/>
      <c r="O48" s="111"/>
      <c r="P48" s="117"/>
    </row>
    <row r="49" spans="1:16" ht="56.25" customHeight="1">
      <c r="A49" s="105">
        <v>150101</v>
      </c>
      <c r="B49" s="106" t="s">
        <v>2</v>
      </c>
      <c r="C49" s="106" t="s">
        <v>158</v>
      </c>
      <c r="D49" s="107">
        <v>19185.69</v>
      </c>
      <c r="E49" s="133">
        <v>0</v>
      </c>
      <c r="F49" s="107">
        <v>19185.69</v>
      </c>
      <c r="G49" s="107">
        <v>5000</v>
      </c>
      <c r="H49" s="108" t="s">
        <v>96</v>
      </c>
      <c r="I49" s="109"/>
      <c r="J49" s="109"/>
      <c r="K49" s="109"/>
      <c r="L49" s="109"/>
      <c r="M49" s="109"/>
      <c r="N49" s="110"/>
      <c r="O49" s="111"/>
      <c r="P49" s="117"/>
    </row>
    <row r="50" spans="1:16" ht="60.75" customHeight="1">
      <c r="A50" s="105">
        <v>150101</v>
      </c>
      <c r="B50" s="106" t="s">
        <v>2</v>
      </c>
      <c r="C50" s="106" t="s">
        <v>92</v>
      </c>
      <c r="D50" s="107">
        <v>332.8</v>
      </c>
      <c r="E50" s="113">
        <f aca="true" t="shared" si="2" ref="E50:E58">100-(F50/D50)*100</f>
        <v>96.0459735576923</v>
      </c>
      <c r="F50" s="107">
        <v>13.159</v>
      </c>
      <c r="G50" s="107">
        <v>0.426</v>
      </c>
      <c r="H50" s="108" t="s">
        <v>96</v>
      </c>
      <c r="I50" s="109"/>
      <c r="J50" s="109"/>
      <c r="K50" s="109"/>
      <c r="L50" s="109"/>
      <c r="M50" s="109"/>
      <c r="N50" s="110"/>
      <c r="O50" s="111"/>
      <c r="P50" s="104"/>
    </row>
    <row r="51" spans="1:17" ht="42" customHeight="1">
      <c r="A51" s="105">
        <v>150101</v>
      </c>
      <c r="B51" s="106" t="s">
        <v>2</v>
      </c>
      <c r="C51" s="106" t="s">
        <v>159</v>
      </c>
      <c r="D51" s="107">
        <v>6839.924</v>
      </c>
      <c r="E51" s="113">
        <f t="shared" si="2"/>
        <v>2.154147765384522</v>
      </c>
      <c r="F51" s="107">
        <f>D51-147.34207</f>
        <v>6692.58193</v>
      </c>
      <c r="G51" s="107">
        <v>100</v>
      </c>
      <c r="H51" s="108" t="s">
        <v>96</v>
      </c>
      <c r="I51" s="109"/>
      <c r="J51" s="110"/>
      <c r="K51" s="122"/>
      <c r="L51" s="109"/>
      <c r="M51" s="109"/>
      <c r="N51" s="109"/>
      <c r="O51" s="110"/>
      <c r="P51" s="111"/>
      <c r="Q51" s="104"/>
    </row>
    <row r="52" spans="1:17" ht="63.75" customHeight="1">
      <c r="A52" s="105">
        <v>150101</v>
      </c>
      <c r="B52" s="106" t="s">
        <v>2</v>
      </c>
      <c r="C52" s="106" t="s">
        <v>195</v>
      </c>
      <c r="D52" s="107">
        <v>361.85</v>
      </c>
      <c r="E52" s="113">
        <f>100-(F52/D52)*100</f>
        <v>0</v>
      </c>
      <c r="F52" s="107">
        <f>D52-0</f>
        <v>361.85</v>
      </c>
      <c r="G52" s="107">
        <v>303</v>
      </c>
      <c r="H52" s="108" t="s">
        <v>96</v>
      </c>
      <c r="I52" s="109"/>
      <c r="J52" s="110"/>
      <c r="K52" s="132"/>
      <c r="L52" s="109"/>
      <c r="M52" s="109"/>
      <c r="N52" s="109"/>
      <c r="O52" s="110"/>
      <c r="P52" s="111"/>
      <c r="Q52" s="104"/>
    </row>
    <row r="53" spans="1:16" ht="60" customHeight="1">
      <c r="A53" s="105">
        <v>150101</v>
      </c>
      <c r="B53" s="106" t="s">
        <v>2</v>
      </c>
      <c r="C53" s="106" t="s">
        <v>82</v>
      </c>
      <c r="D53" s="107">
        <v>330</v>
      </c>
      <c r="E53" s="113">
        <f t="shared" si="2"/>
        <v>0</v>
      </c>
      <c r="F53" s="107">
        <f>D53-0</f>
        <v>330</v>
      </c>
      <c r="G53" s="107">
        <v>330</v>
      </c>
      <c r="H53" s="108" t="s">
        <v>96</v>
      </c>
      <c r="I53" s="109"/>
      <c r="J53" s="109"/>
      <c r="K53" s="109"/>
      <c r="L53" s="109"/>
      <c r="M53" s="109"/>
      <c r="N53" s="110"/>
      <c r="O53" s="111"/>
      <c r="P53" s="104"/>
    </row>
    <row r="54" spans="1:16" ht="43.5" customHeight="1">
      <c r="A54" s="105">
        <v>150101</v>
      </c>
      <c r="B54" s="106" t="s">
        <v>2</v>
      </c>
      <c r="C54" s="106" t="s">
        <v>196</v>
      </c>
      <c r="D54" s="107">
        <v>3216.012</v>
      </c>
      <c r="E54" s="113">
        <f t="shared" si="2"/>
        <v>0.10837148617605408</v>
      </c>
      <c r="F54" s="107">
        <f>D54-3.48524</f>
        <v>3212.52676</v>
      </c>
      <c r="G54" s="107">
        <v>3212.527</v>
      </c>
      <c r="H54" s="108" t="s">
        <v>96</v>
      </c>
      <c r="I54" s="109"/>
      <c r="J54" s="109"/>
      <c r="K54" s="109"/>
      <c r="L54" s="109"/>
      <c r="M54" s="109"/>
      <c r="N54" s="110"/>
      <c r="O54" s="111"/>
      <c r="P54" s="104"/>
    </row>
    <row r="55" spans="1:17" ht="44.25" customHeight="1">
      <c r="A55" s="105">
        <v>150101</v>
      </c>
      <c r="B55" s="106" t="s">
        <v>2</v>
      </c>
      <c r="C55" s="106" t="s">
        <v>93</v>
      </c>
      <c r="D55" s="107">
        <v>150</v>
      </c>
      <c r="E55" s="113">
        <f t="shared" si="2"/>
        <v>0</v>
      </c>
      <c r="F55" s="107">
        <f>D55-0</f>
        <v>150</v>
      </c>
      <c r="G55" s="107">
        <v>150</v>
      </c>
      <c r="H55" s="108" t="s">
        <v>96</v>
      </c>
      <c r="I55" s="109"/>
      <c r="J55" s="110"/>
      <c r="K55" s="132"/>
      <c r="L55" s="109"/>
      <c r="M55" s="109"/>
      <c r="N55" s="109"/>
      <c r="O55" s="110"/>
      <c r="P55" s="111"/>
      <c r="Q55" s="104"/>
    </row>
    <row r="56" spans="1:16" ht="26.25" customHeight="1">
      <c r="A56" s="105">
        <v>150101</v>
      </c>
      <c r="B56" s="106" t="s">
        <v>2</v>
      </c>
      <c r="C56" s="106" t="s">
        <v>41</v>
      </c>
      <c r="D56" s="107">
        <v>1600.549</v>
      </c>
      <c r="E56" s="113">
        <f t="shared" si="2"/>
        <v>0.6112277724705706</v>
      </c>
      <c r="F56" s="107">
        <v>1590.766</v>
      </c>
      <c r="G56" s="107">
        <v>1590.766</v>
      </c>
      <c r="H56" s="108" t="s">
        <v>96</v>
      </c>
      <c r="I56" s="109"/>
      <c r="J56" s="109"/>
      <c r="K56" s="109"/>
      <c r="L56" s="109"/>
      <c r="M56" s="109"/>
      <c r="N56" s="110"/>
      <c r="O56" s="111"/>
      <c r="P56" s="104"/>
    </row>
    <row r="57" spans="1:16" ht="36.75" customHeight="1">
      <c r="A57" s="105">
        <v>150101</v>
      </c>
      <c r="B57" s="106" t="s">
        <v>2</v>
      </c>
      <c r="C57" s="106" t="s">
        <v>42</v>
      </c>
      <c r="D57" s="134">
        <v>221.425</v>
      </c>
      <c r="E57" s="113">
        <f>100-(F57/D57)*100</f>
        <v>0</v>
      </c>
      <c r="F57" s="107">
        <f>D57-0</f>
        <v>221.425</v>
      </c>
      <c r="G57" s="107">
        <v>221.425</v>
      </c>
      <c r="H57" s="128" t="s">
        <v>97</v>
      </c>
      <c r="I57" s="109"/>
      <c r="J57" s="109"/>
      <c r="K57" s="109"/>
      <c r="L57" s="109"/>
      <c r="M57" s="109"/>
      <c r="N57" s="110"/>
      <c r="O57" s="111"/>
      <c r="P57" s="104"/>
    </row>
    <row r="58" spans="1:16" ht="45.75" customHeight="1">
      <c r="A58" s="105">
        <v>150101</v>
      </c>
      <c r="B58" s="106" t="s">
        <v>2</v>
      </c>
      <c r="C58" s="106" t="s">
        <v>197</v>
      </c>
      <c r="D58" s="107">
        <v>52.979</v>
      </c>
      <c r="E58" s="113">
        <f t="shared" si="2"/>
        <v>0</v>
      </c>
      <c r="F58" s="107">
        <v>52.979</v>
      </c>
      <c r="G58" s="107">
        <v>52.979</v>
      </c>
      <c r="H58" s="128" t="s">
        <v>97</v>
      </c>
      <c r="I58" s="109"/>
      <c r="J58" s="109"/>
      <c r="K58" s="109"/>
      <c r="L58" s="109"/>
      <c r="M58" s="109"/>
      <c r="N58" s="110"/>
      <c r="O58" s="111"/>
      <c r="P58" s="104"/>
    </row>
    <row r="59" spans="1:16" ht="46.5" customHeight="1">
      <c r="A59" s="135">
        <v>150101</v>
      </c>
      <c r="B59" s="123" t="s">
        <v>2</v>
      </c>
      <c r="C59" s="123" t="s">
        <v>160</v>
      </c>
      <c r="D59" s="136">
        <v>205.17</v>
      </c>
      <c r="E59" s="121">
        <f>100-(F59/D59)*100</f>
        <v>0</v>
      </c>
      <c r="F59" s="136">
        <f>SUM(D59)</f>
        <v>205.17</v>
      </c>
      <c r="G59" s="107">
        <v>33.408</v>
      </c>
      <c r="H59" s="128"/>
      <c r="I59" s="109"/>
      <c r="J59" s="109"/>
      <c r="K59" s="109"/>
      <c r="L59" s="109"/>
      <c r="M59" s="109"/>
      <c r="N59" s="110"/>
      <c r="O59" s="111"/>
      <c r="P59" s="104"/>
    </row>
    <row r="60" spans="1:16" ht="60.75" customHeight="1">
      <c r="A60" s="135">
        <v>150101</v>
      </c>
      <c r="B60" s="123" t="s">
        <v>2</v>
      </c>
      <c r="C60" s="123" t="s">
        <v>161</v>
      </c>
      <c r="D60" s="136">
        <v>169.307</v>
      </c>
      <c r="E60" s="121">
        <f>100-(F60/D60)*100</f>
        <v>0</v>
      </c>
      <c r="F60" s="136">
        <f>SUM(D60)</f>
        <v>169.307</v>
      </c>
      <c r="G60" s="107">
        <v>169.215</v>
      </c>
      <c r="H60" s="128"/>
      <c r="I60" s="109"/>
      <c r="J60" s="109"/>
      <c r="K60" s="109"/>
      <c r="L60" s="109"/>
      <c r="M60" s="109"/>
      <c r="N60" s="110"/>
      <c r="O60" s="111"/>
      <c r="P60" s="104"/>
    </row>
    <row r="61" spans="1:16" ht="48" customHeight="1">
      <c r="A61" s="135">
        <v>180409</v>
      </c>
      <c r="B61" s="137" t="s">
        <v>43</v>
      </c>
      <c r="C61" s="123" t="s">
        <v>128</v>
      </c>
      <c r="D61" s="107"/>
      <c r="E61" s="113"/>
      <c r="F61" s="107"/>
      <c r="G61" s="107">
        <v>6200</v>
      </c>
      <c r="H61" s="128" t="s">
        <v>98</v>
      </c>
      <c r="I61" s="109"/>
      <c r="J61" s="109"/>
      <c r="K61" s="109"/>
      <c r="L61" s="109"/>
      <c r="M61" s="109"/>
      <c r="N61" s="110"/>
      <c r="O61" s="111"/>
      <c r="P61" s="104"/>
    </row>
    <row r="62" spans="1:16" ht="132.75" customHeight="1">
      <c r="A62" s="105">
        <v>180409</v>
      </c>
      <c r="B62" s="137" t="s">
        <v>43</v>
      </c>
      <c r="C62" s="123" t="s">
        <v>94</v>
      </c>
      <c r="D62" s="134"/>
      <c r="E62" s="113"/>
      <c r="F62" s="107"/>
      <c r="G62" s="107">
        <v>4647.544</v>
      </c>
      <c r="H62" s="128" t="s">
        <v>144</v>
      </c>
      <c r="I62" s="109"/>
      <c r="J62" s="109"/>
      <c r="K62" s="109"/>
      <c r="L62" s="109"/>
      <c r="M62" s="109"/>
      <c r="N62" s="110"/>
      <c r="O62" s="111"/>
      <c r="P62" s="104"/>
    </row>
    <row r="63" spans="1:16" s="127" customFormat="1" ht="79.5" customHeight="1">
      <c r="A63" s="97">
        <v>40</v>
      </c>
      <c r="B63" s="98" t="s">
        <v>25</v>
      </c>
      <c r="C63" s="98"/>
      <c r="D63" s="99">
        <f>SUM(D64:D87)</f>
        <v>38927.899</v>
      </c>
      <c r="E63" s="99"/>
      <c r="F63" s="99">
        <f>SUM(F64:F87)</f>
        <v>29071.687120000006</v>
      </c>
      <c r="G63" s="99">
        <f>SUM(G64:G87)</f>
        <v>21840.846999999998</v>
      </c>
      <c r="H63" s="100"/>
      <c r="I63" s="101"/>
      <c r="J63" s="101"/>
      <c r="K63" s="101"/>
      <c r="L63" s="101"/>
      <c r="M63" s="101"/>
      <c r="N63" s="102"/>
      <c r="O63" s="103"/>
      <c r="P63" s="126"/>
    </row>
    <row r="64" spans="1:16" ht="27" customHeight="1">
      <c r="A64" s="105">
        <v>150101</v>
      </c>
      <c r="B64" s="106" t="s">
        <v>2</v>
      </c>
      <c r="C64" s="106" t="s">
        <v>45</v>
      </c>
      <c r="D64" s="112">
        <v>3036.56</v>
      </c>
      <c r="E64" s="113">
        <f aca="true" t="shared" si="3" ref="E64:E86">100-(F64/D64)*100</f>
        <v>30.88672017019259</v>
      </c>
      <c r="F64" s="112">
        <f>D64-(884.915+52.97879)</f>
        <v>2098.66621</v>
      </c>
      <c r="G64" s="112">
        <v>678.935</v>
      </c>
      <c r="H64" s="108" t="s">
        <v>96</v>
      </c>
      <c r="I64" s="114"/>
      <c r="J64" s="114"/>
      <c r="K64" s="114"/>
      <c r="L64" s="114"/>
      <c r="M64" s="114"/>
      <c r="N64" s="110"/>
      <c r="O64" s="111"/>
      <c r="P64" s="104"/>
    </row>
    <row r="65" spans="1:16" ht="40.5" customHeight="1">
      <c r="A65" s="105">
        <v>150101</v>
      </c>
      <c r="B65" s="106" t="s">
        <v>2</v>
      </c>
      <c r="C65" s="106" t="s">
        <v>46</v>
      </c>
      <c r="D65" s="107">
        <v>840</v>
      </c>
      <c r="E65" s="113">
        <f t="shared" si="3"/>
        <v>0</v>
      </c>
      <c r="F65" s="107">
        <f>D65</f>
        <v>840</v>
      </c>
      <c r="G65" s="107">
        <v>840</v>
      </c>
      <c r="H65" s="108" t="s">
        <v>96</v>
      </c>
      <c r="I65" s="109"/>
      <c r="J65" s="109"/>
      <c r="K65" s="109"/>
      <c r="L65" s="109"/>
      <c r="M65" s="109"/>
      <c r="N65" s="110"/>
      <c r="O65" s="111"/>
      <c r="P65" s="104"/>
    </row>
    <row r="66" spans="1:16" ht="62.25" customHeight="1">
      <c r="A66" s="105">
        <v>150101</v>
      </c>
      <c r="B66" s="106" t="s">
        <v>2</v>
      </c>
      <c r="C66" s="106" t="s">
        <v>47</v>
      </c>
      <c r="D66" s="107">
        <v>1512</v>
      </c>
      <c r="E66" s="113">
        <f t="shared" si="3"/>
        <v>33.69751322751323</v>
      </c>
      <c r="F66" s="107">
        <f>D66-509.5064</f>
        <v>1002.4936</v>
      </c>
      <c r="G66" s="107">
        <v>596.381</v>
      </c>
      <c r="H66" s="108" t="s">
        <v>96</v>
      </c>
      <c r="I66" s="109"/>
      <c r="J66" s="109"/>
      <c r="K66" s="109"/>
      <c r="L66" s="109"/>
      <c r="M66" s="109"/>
      <c r="N66" s="110"/>
      <c r="O66" s="111"/>
      <c r="P66" s="104"/>
    </row>
    <row r="67" spans="1:16" ht="26.25" customHeight="1">
      <c r="A67" s="105">
        <v>150101</v>
      </c>
      <c r="B67" s="106" t="s">
        <v>2</v>
      </c>
      <c r="C67" s="106" t="s">
        <v>48</v>
      </c>
      <c r="D67" s="107">
        <v>1761.669</v>
      </c>
      <c r="E67" s="113">
        <f t="shared" si="3"/>
        <v>40.32799237541217</v>
      </c>
      <c r="F67" s="107">
        <f>D67-710.44574</f>
        <v>1051.2232600000002</v>
      </c>
      <c r="G67" s="107">
        <f>113.505+500.486</f>
        <v>613.991</v>
      </c>
      <c r="H67" s="108" t="s">
        <v>96</v>
      </c>
      <c r="I67" s="109"/>
      <c r="J67" s="109"/>
      <c r="K67" s="109"/>
      <c r="L67" s="109"/>
      <c r="M67" s="109"/>
      <c r="N67" s="110"/>
      <c r="O67" s="111"/>
      <c r="P67" s="104"/>
    </row>
    <row r="68" spans="1:16" ht="26.25" customHeight="1">
      <c r="A68" s="105">
        <v>150101</v>
      </c>
      <c r="B68" s="106" t="s">
        <v>2</v>
      </c>
      <c r="C68" s="106" t="s">
        <v>49</v>
      </c>
      <c r="D68" s="107">
        <v>800</v>
      </c>
      <c r="E68" s="113">
        <f t="shared" si="3"/>
        <v>0.27025374999999485</v>
      </c>
      <c r="F68" s="107">
        <f>D68-2.16203</f>
        <v>797.83797</v>
      </c>
      <c r="G68" s="107">
        <v>99.511</v>
      </c>
      <c r="H68" s="108" t="s">
        <v>96</v>
      </c>
      <c r="I68" s="109"/>
      <c r="J68" s="109"/>
      <c r="K68" s="109"/>
      <c r="L68" s="109"/>
      <c r="M68" s="109"/>
      <c r="N68" s="110"/>
      <c r="O68" s="111"/>
      <c r="P68" s="104"/>
    </row>
    <row r="69" spans="1:16" ht="26.25" customHeight="1">
      <c r="A69" s="105">
        <v>150101</v>
      </c>
      <c r="B69" s="106" t="s">
        <v>2</v>
      </c>
      <c r="C69" s="106" t="s">
        <v>50</v>
      </c>
      <c r="D69" s="107">
        <v>1664.934</v>
      </c>
      <c r="E69" s="113">
        <f t="shared" si="3"/>
        <v>0</v>
      </c>
      <c r="F69" s="107">
        <f>D69</f>
        <v>1664.934</v>
      </c>
      <c r="G69" s="107">
        <f>550+44.404</f>
        <v>594.404</v>
      </c>
      <c r="H69" s="108" t="s">
        <v>96</v>
      </c>
      <c r="I69" s="109"/>
      <c r="J69" s="109"/>
      <c r="K69" s="109"/>
      <c r="L69" s="109"/>
      <c r="M69" s="109"/>
      <c r="N69" s="110"/>
      <c r="O69" s="111"/>
      <c r="P69" s="104"/>
    </row>
    <row r="70" spans="1:16" ht="40.5" customHeight="1">
      <c r="A70" s="105">
        <v>150101</v>
      </c>
      <c r="B70" s="106" t="s">
        <v>2</v>
      </c>
      <c r="C70" s="106" t="s">
        <v>51</v>
      </c>
      <c r="D70" s="107">
        <v>1050.483</v>
      </c>
      <c r="E70" s="113">
        <f t="shared" si="3"/>
        <v>0</v>
      </c>
      <c r="F70" s="107">
        <f>D70-0</f>
        <v>1050.483</v>
      </c>
      <c r="G70" s="107">
        <v>1050.483</v>
      </c>
      <c r="H70" s="108" t="s">
        <v>96</v>
      </c>
      <c r="I70" s="109"/>
      <c r="J70" s="109"/>
      <c r="K70" s="109"/>
      <c r="L70" s="109"/>
      <c r="M70" s="109"/>
      <c r="N70" s="110"/>
      <c r="O70" s="111"/>
      <c r="P70" s="104"/>
    </row>
    <row r="71" spans="1:16" ht="40.5" customHeight="1">
      <c r="A71" s="105">
        <v>150101</v>
      </c>
      <c r="B71" s="106" t="s">
        <v>2</v>
      </c>
      <c r="C71" s="106" t="s">
        <v>52</v>
      </c>
      <c r="D71" s="107">
        <v>3231.882</v>
      </c>
      <c r="E71" s="113">
        <f>100-(F71/D71)*100</f>
        <v>66.36832099686808</v>
      </c>
      <c r="F71" s="107">
        <f>1131.882-44.94582</f>
        <v>1086.9361800000001</v>
      </c>
      <c r="G71" s="107">
        <f>1.081+874.85</f>
        <v>875.931</v>
      </c>
      <c r="H71" s="108" t="s">
        <v>96</v>
      </c>
      <c r="I71" s="109"/>
      <c r="J71" s="109"/>
      <c r="K71" s="109"/>
      <c r="L71" s="109"/>
      <c r="M71" s="109"/>
      <c r="N71" s="110"/>
      <c r="O71" s="111"/>
      <c r="P71" s="104"/>
    </row>
    <row r="72" spans="1:16" ht="40.5" customHeight="1">
      <c r="A72" s="105">
        <v>150101</v>
      </c>
      <c r="B72" s="106" t="s">
        <v>2</v>
      </c>
      <c r="C72" s="106" t="s">
        <v>53</v>
      </c>
      <c r="D72" s="107">
        <v>2667.701</v>
      </c>
      <c r="E72" s="113">
        <f t="shared" si="3"/>
        <v>6.489295464521689</v>
      </c>
      <c r="F72" s="107">
        <f>D72-173.115</f>
        <v>2494.5860000000002</v>
      </c>
      <c r="G72" s="107">
        <v>1100</v>
      </c>
      <c r="H72" s="108" t="s">
        <v>103</v>
      </c>
      <c r="I72" s="109"/>
      <c r="J72" s="109"/>
      <c r="K72" s="109"/>
      <c r="L72" s="109"/>
      <c r="M72" s="109"/>
      <c r="N72" s="110"/>
      <c r="O72" s="111"/>
      <c r="P72" s="104"/>
    </row>
    <row r="73" spans="1:16" ht="40.5" customHeight="1">
      <c r="A73" s="105">
        <v>150101</v>
      </c>
      <c r="B73" s="106" t="s">
        <v>2</v>
      </c>
      <c r="C73" s="123" t="s">
        <v>54</v>
      </c>
      <c r="D73" s="107">
        <v>5000</v>
      </c>
      <c r="E73" s="113">
        <f t="shared" si="3"/>
        <v>0</v>
      </c>
      <c r="F73" s="107">
        <f>D73</f>
        <v>5000</v>
      </c>
      <c r="G73" s="107">
        <f>168+4832</f>
        <v>5000</v>
      </c>
      <c r="H73" s="108" t="s">
        <v>96</v>
      </c>
      <c r="I73" s="109"/>
      <c r="J73" s="109"/>
      <c r="K73" s="109"/>
      <c r="L73" s="109"/>
      <c r="M73" s="109"/>
      <c r="N73" s="110"/>
      <c r="O73" s="111"/>
      <c r="P73" s="104"/>
    </row>
    <row r="74" spans="1:16" ht="40.5" customHeight="1">
      <c r="A74" s="105">
        <v>150101</v>
      </c>
      <c r="B74" s="106" t="s">
        <v>2</v>
      </c>
      <c r="C74" s="123" t="s">
        <v>55</v>
      </c>
      <c r="D74" s="107">
        <v>2704.286</v>
      </c>
      <c r="E74" s="113">
        <f t="shared" si="3"/>
        <v>3.2171153494859652</v>
      </c>
      <c r="F74" s="107">
        <f>D74-87</f>
        <v>2617.286</v>
      </c>
      <c r="G74" s="107">
        <f>209.114+800</f>
        <v>1009.114</v>
      </c>
      <c r="H74" s="108" t="s">
        <v>96</v>
      </c>
      <c r="I74" s="109"/>
      <c r="J74" s="109"/>
      <c r="K74" s="109"/>
      <c r="L74" s="109"/>
      <c r="M74" s="109"/>
      <c r="N74" s="110"/>
      <c r="O74" s="111"/>
      <c r="P74" s="104"/>
    </row>
    <row r="75" spans="1:16" ht="40.5" customHeight="1">
      <c r="A75" s="105">
        <v>150101</v>
      </c>
      <c r="B75" s="106" t="s">
        <v>2</v>
      </c>
      <c r="C75" s="123" t="s">
        <v>198</v>
      </c>
      <c r="D75" s="107">
        <v>822.602</v>
      </c>
      <c r="E75" s="113">
        <f t="shared" si="3"/>
        <v>56.382807238494436</v>
      </c>
      <c r="F75" s="107">
        <f>SUM(D75-463.8061)</f>
        <v>358.79589999999996</v>
      </c>
      <c r="G75" s="107">
        <v>358.796</v>
      </c>
      <c r="H75" s="108" t="s">
        <v>96</v>
      </c>
      <c r="I75" s="109"/>
      <c r="J75" s="109"/>
      <c r="K75" s="109"/>
      <c r="L75" s="109"/>
      <c r="M75" s="109"/>
      <c r="N75" s="110"/>
      <c r="O75" s="111"/>
      <c r="P75" s="104"/>
    </row>
    <row r="76" spans="1:16" ht="40.5" customHeight="1">
      <c r="A76" s="105">
        <v>150101</v>
      </c>
      <c r="B76" s="106" t="s">
        <v>2</v>
      </c>
      <c r="C76" s="123" t="s">
        <v>162</v>
      </c>
      <c r="D76" s="107">
        <v>480.88</v>
      </c>
      <c r="E76" s="113">
        <f t="shared" si="3"/>
        <v>38.585925802695066</v>
      </c>
      <c r="F76" s="107">
        <v>295.328</v>
      </c>
      <c r="G76" s="107">
        <f>277.274+18.054</f>
        <v>295.328</v>
      </c>
      <c r="H76" s="108" t="s">
        <v>96</v>
      </c>
      <c r="I76" s="109"/>
      <c r="J76" s="109"/>
      <c r="K76" s="109"/>
      <c r="L76" s="109"/>
      <c r="M76" s="109"/>
      <c r="N76" s="110"/>
      <c r="O76" s="111"/>
      <c r="P76" s="104"/>
    </row>
    <row r="77" spans="1:16" ht="26.25" customHeight="1">
      <c r="A77" s="105">
        <v>150101</v>
      </c>
      <c r="B77" s="106" t="s">
        <v>2</v>
      </c>
      <c r="C77" s="123" t="s">
        <v>56</v>
      </c>
      <c r="D77" s="107">
        <v>1062</v>
      </c>
      <c r="E77" s="113">
        <f t="shared" si="3"/>
        <v>50.847457627118644</v>
      </c>
      <c r="F77" s="107">
        <v>522</v>
      </c>
      <c r="G77" s="107">
        <v>511.142</v>
      </c>
      <c r="H77" s="108" t="s">
        <v>96</v>
      </c>
      <c r="I77" s="109"/>
      <c r="J77" s="109"/>
      <c r="K77" s="109"/>
      <c r="L77" s="109"/>
      <c r="M77" s="109"/>
      <c r="N77" s="110"/>
      <c r="O77" s="111"/>
      <c r="P77" s="104"/>
    </row>
    <row r="78" spans="1:16" ht="26.25" customHeight="1">
      <c r="A78" s="105">
        <v>150101</v>
      </c>
      <c r="B78" s="106" t="s">
        <v>2</v>
      </c>
      <c r="C78" s="123" t="s">
        <v>57</v>
      </c>
      <c r="D78" s="107">
        <v>1366.871</v>
      </c>
      <c r="E78" s="113">
        <f t="shared" si="3"/>
        <v>83.2401155632097</v>
      </c>
      <c r="F78" s="107">
        <v>229.086</v>
      </c>
      <c r="G78" s="107">
        <v>229.086</v>
      </c>
      <c r="H78" s="108" t="s">
        <v>96</v>
      </c>
      <c r="I78" s="109"/>
      <c r="J78" s="109"/>
      <c r="K78" s="109"/>
      <c r="L78" s="109"/>
      <c r="M78" s="109"/>
      <c r="N78" s="110"/>
      <c r="O78" s="111"/>
      <c r="P78" s="104"/>
    </row>
    <row r="79" spans="1:16" ht="40.5" customHeight="1">
      <c r="A79" s="105">
        <v>150101</v>
      </c>
      <c r="B79" s="106" t="s">
        <v>2</v>
      </c>
      <c r="C79" s="123" t="s">
        <v>58</v>
      </c>
      <c r="D79" s="107">
        <v>2664.013</v>
      </c>
      <c r="E79" s="113">
        <f t="shared" si="3"/>
        <v>52.10826673893858</v>
      </c>
      <c r="F79" s="107">
        <v>1275.842</v>
      </c>
      <c r="G79" s="107">
        <v>289.816</v>
      </c>
      <c r="H79" s="108" t="s">
        <v>103</v>
      </c>
      <c r="I79" s="109"/>
      <c r="J79" s="109"/>
      <c r="K79" s="109"/>
      <c r="L79" s="109"/>
      <c r="M79" s="109"/>
      <c r="N79" s="110"/>
      <c r="O79" s="111"/>
      <c r="P79" s="104"/>
    </row>
    <row r="80" spans="1:16" ht="27" customHeight="1">
      <c r="A80" s="105">
        <v>150101</v>
      </c>
      <c r="B80" s="106" t="s">
        <v>2</v>
      </c>
      <c r="C80" s="123" t="s">
        <v>163</v>
      </c>
      <c r="D80" s="107">
        <v>610.807</v>
      </c>
      <c r="E80" s="113">
        <f t="shared" si="3"/>
        <v>23.40379203250781</v>
      </c>
      <c r="F80" s="107">
        <v>467.855</v>
      </c>
      <c r="G80" s="107">
        <f>178.128+289.727</f>
        <v>467.85499999999996</v>
      </c>
      <c r="H80" s="108" t="s">
        <v>96</v>
      </c>
      <c r="I80" s="109"/>
      <c r="J80" s="109"/>
      <c r="K80" s="109"/>
      <c r="L80" s="109"/>
      <c r="M80" s="109"/>
      <c r="N80" s="110"/>
      <c r="O80" s="111"/>
      <c r="P80" s="104"/>
    </row>
    <row r="81" spans="1:16" ht="27" customHeight="1">
      <c r="A81" s="105">
        <v>150101</v>
      </c>
      <c r="B81" s="106" t="s">
        <v>2</v>
      </c>
      <c r="C81" s="123" t="s">
        <v>164</v>
      </c>
      <c r="D81" s="107">
        <v>717.305</v>
      </c>
      <c r="E81" s="113">
        <f t="shared" si="3"/>
        <v>3.9168833341465614</v>
      </c>
      <c r="F81" s="107">
        <v>689.209</v>
      </c>
      <c r="G81" s="107">
        <f>325.758+354.451</f>
        <v>680.2090000000001</v>
      </c>
      <c r="H81" s="108" t="s">
        <v>96</v>
      </c>
      <c r="I81" s="109"/>
      <c r="J81" s="109"/>
      <c r="K81" s="109"/>
      <c r="L81" s="109"/>
      <c r="M81" s="109"/>
      <c r="N81" s="110"/>
      <c r="O81" s="111"/>
      <c r="P81" s="104"/>
    </row>
    <row r="82" spans="1:16" ht="40.5" customHeight="1">
      <c r="A82" s="105">
        <v>150101</v>
      </c>
      <c r="B82" s="106" t="s">
        <v>2</v>
      </c>
      <c r="C82" s="123" t="s">
        <v>186</v>
      </c>
      <c r="D82" s="107">
        <v>294</v>
      </c>
      <c r="E82" s="113">
        <f t="shared" si="3"/>
        <v>29.31972789115646</v>
      </c>
      <c r="F82" s="107">
        <v>207.8</v>
      </c>
      <c r="G82" s="107">
        <f>54.138+153.662</f>
        <v>207.8</v>
      </c>
      <c r="H82" s="108" t="s">
        <v>96</v>
      </c>
      <c r="I82" s="109"/>
      <c r="J82" s="109"/>
      <c r="K82" s="109"/>
      <c r="L82" s="109"/>
      <c r="M82" s="109"/>
      <c r="N82" s="110"/>
      <c r="O82" s="111"/>
      <c r="P82" s="104"/>
    </row>
    <row r="83" spans="1:16" ht="26.25" customHeight="1">
      <c r="A83" s="105">
        <v>150101</v>
      </c>
      <c r="B83" s="106" t="s">
        <v>2</v>
      </c>
      <c r="C83" s="123" t="s">
        <v>59</v>
      </c>
      <c r="D83" s="107">
        <v>1502.982</v>
      </c>
      <c r="E83" s="113">
        <f t="shared" si="3"/>
        <v>87.73099079030887</v>
      </c>
      <c r="F83" s="107">
        <v>184.401</v>
      </c>
      <c r="G83" s="107">
        <f>93.587+90.814</f>
        <v>184.401</v>
      </c>
      <c r="H83" s="108" t="s">
        <v>96</v>
      </c>
      <c r="I83" s="109"/>
      <c r="J83" s="109"/>
      <c r="K83" s="109"/>
      <c r="L83" s="109"/>
      <c r="M83" s="109"/>
      <c r="N83" s="110"/>
      <c r="O83" s="111"/>
      <c r="P83" s="104"/>
    </row>
    <row r="84" spans="1:16" ht="40.5" customHeight="1">
      <c r="A84" s="105">
        <v>150101</v>
      </c>
      <c r="B84" s="106" t="s">
        <v>2</v>
      </c>
      <c r="C84" s="123" t="s">
        <v>60</v>
      </c>
      <c r="D84" s="107">
        <v>298.864</v>
      </c>
      <c r="E84" s="113">
        <f t="shared" si="3"/>
        <v>0</v>
      </c>
      <c r="F84" s="107">
        <v>298.864</v>
      </c>
      <c r="G84" s="107">
        <f>86.43+212.434</f>
        <v>298.86400000000003</v>
      </c>
      <c r="H84" s="108" t="s">
        <v>102</v>
      </c>
      <c r="I84" s="109"/>
      <c r="J84" s="109"/>
      <c r="K84" s="109"/>
      <c r="L84" s="109"/>
      <c r="M84" s="109"/>
      <c r="N84" s="110"/>
      <c r="O84" s="111"/>
      <c r="P84" s="104"/>
    </row>
    <row r="85" spans="1:16" ht="43.5" customHeight="1">
      <c r="A85" s="105">
        <v>150101</v>
      </c>
      <c r="B85" s="106" t="s">
        <v>2</v>
      </c>
      <c r="C85" s="123" t="s">
        <v>165</v>
      </c>
      <c r="D85" s="107">
        <v>4548.06</v>
      </c>
      <c r="E85" s="113">
        <f t="shared" si="3"/>
        <v>0</v>
      </c>
      <c r="F85" s="107">
        <v>4548.06</v>
      </c>
      <c r="G85" s="107">
        <v>2000</v>
      </c>
      <c r="H85" s="108" t="s">
        <v>96</v>
      </c>
      <c r="I85" s="109"/>
      <c r="J85" s="109"/>
      <c r="K85" s="109"/>
      <c r="L85" s="109"/>
      <c r="M85" s="109"/>
      <c r="N85" s="110"/>
      <c r="O85" s="111"/>
      <c r="P85" s="104"/>
    </row>
    <row r="86" spans="1:16" ht="61.5" customHeight="1">
      <c r="A86" s="105">
        <v>150101</v>
      </c>
      <c r="B86" s="106" t="s">
        <v>2</v>
      </c>
      <c r="C86" s="123" t="s">
        <v>95</v>
      </c>
      <c r="D86" s="107">
        <v>290</v>
      </c>
      <c r="E86" s="113">
        <f t="shared" si="3"/>
        <v>0</v>
      </c>
      <c r="F86" s="107">
        <v>290</v>
      </c>
      <c r="G86" s="107">
        <v>290</v>
      </c>
      <c r="H86" s="108" t="s">
        <v>96</v>
      </c>
      <c r="I86" s="109"/>
      <c r="J86" s="109"/>
      <c r="K86" s="109"/>
      <c r="L86" s="109"/>
      <c r="M86" s="109"/>
      <c r="N86" s="110"/>
      <c r="O86" s="111"/>
      <c r="P86" s="104"/>
    </row>
    <row r="87" spans="1:16" ht="65.25" customHeight="1">
      <c r="A87" s="135">
        <v>180409</v>
      </c>
      <c r="B87" s="120" t="s">
        <v>43</v>
      </c>
      <c r="C87" s="123" t="s">
        <v>44</v>
      </c>
      <c r="D87" s="107"/>
      <c r="E87" s="113"/>
      <c r="F87" s="107"/>
      <c r="G87" s="107">
        <v>3568.8</v>
      </c>
      <c r="H87" s="108" t="s">
        <v>101</v>
      </c>
      <c r="I87" s="109"/>
      <c r="J87" s="109"/>
      <c r="K87" s="109"/>
      <c r="L87" s="109"/>
      <c r="M87" s="109"/>
      <c r="N87" s="110"/>
      <c r="O87" s="111"/>
      <c r="P87" s="104"/>
    </row>
    <row r="88" spans="1:16" ht="56.25" customHeight="1">
      <c r="A88" s="97">
        <v>10</v>
      </c>
      <c r="B88" s="98" t="s">
        <v>17</v>
      </c>
      <c r="C88" s="98"/>
      <c r="D88" s="99">
        <f>SUM(D89:D100)</f>
        <v>50124.10000000001</v>
      </c>
      <c r="E88" s="99"/>
      <c r="F88" s="99">
        <f>SUM(F89:F100)</f>
        <v>42951.43924000001</v>
      </c>
      <c r="G88" s="99">
        <f>SUM(G89:G100)</f>
        <v>17196.438000000002</v>
      </c>
      <c r="H88" s="100"/>
      <c r="I88" s="101"/>
      <c r="J88" s="101"/>
      <c r="K88" s="101"/>
      <c r="L88" s="101"/>
      <c r="M88" s="101"/>
      <c r="N88" s="102"/>
      <c r="O88" s="111"/>
      <c r="P88" s="104"/>
    </row>
    <row r="89" spans="1:16" ht="61.5" customHeight="1">
      <c r="A89" s="105">
        <v>150101</v>
      </c>
      <c r="B89" s="106" t="s">
        <v>2</v>
      </c>
      <c r="C89" s="106" t="s">
        <v>61</v>
      </c>
      <c r="D89" s="107">
        <v>2105.695</v>
      </c>
      <c r="E89" s="113">
        <f aca="true" t="shared" si="4" ref="E89:E99">100-(F89/D89)*100</f>
        <v>7.531995374448826</v>
      </c>
      <c r="F89" s="107">
        <f>D89-158.60085</f>
        <v>1947.0941500000001</v>
      </c>
      <c r="G89" s="107">
        <f>274.246+1672.848</f>
        <v>1947.094</v>
      </c>
      <c r="H89" s="108" t="s">
        <v>96</v>
      </c>
      <c r="I89" s="109"/>
      <c r="J89" s="109"/>
      <c r="K89" s="109"/>
      <c r="L89" s="109"/>
      <c r="M89" s="109"/>
      <c r="N89" s="110"/>
      <c r="O89" s="111"/>
      <c r="P89" s="117"/>
    </row>
    <row r="90" spans="1:16" ht="60.75" customHeight="1">
      <c r="A90" s="105">
        <v>150101</v>
      </c>
      <c r="B90" s="106" t="s">
        <v>2</v>
      </c>
      <c r="C90" s="123" t="s">
        <v>62</v>
      </c>
      <c r="D90" s="107">
        <v>3519.492</v>
      </c>
      <c r="E90" s="113">
        <f t="shared" si="4"/>
        <v>37.06448544278549</v>
      </c>
      <c r="F90" s="107">
        <f>2397.192-182.1816</f>
        <v>2215.0104</v>
      </c>
      <c r="G90" s="107">
        <f>54.072+1120.562</f>
        <v>1174.634</v>
      </c>
      <c r="H90" s="128"/>
      <c r="I90" s="109"/>
      <c r="J90" s="109"/>
      <c r="K90" s="109"/>
      <c r="L90" s="109"/>
      <c r="M90" s="109"/>
      <c r="N90" s="110"/>
      <c r="O90" s="129"/>
      <c r="P90" s="104"/>
    </row>
    <row r="91" spans="1:16" ht="62.25" customHeight="1">
      <c r="A91" s="105">
        <v>150101</v>
      </c>
      <c r="B91" s="106" t="s">
        <v>2</v>
      </c>
      <c r="C91" s="106" t="s">
        <v>166</v>
      </c>
      <c r="D91" s="107">
        <v>2335.982</v>
      </c>
      <c r="E91" s="113">
        <f t="shared" si="4"/>
        <v>66.29837943956761</v>
      </c>
      <c r="F91" s="107">
        <f>D91-(1069.8304+474.25929+1.38856+3.23996)</f>
        <v>787.2637899999997</v>
      </c>
      <c r="G91" s="107">
        <f>583.111+204.153</f>
        <v>787.264</v>
      </c>
      <c r="H91" s="128"/>
      <c r="I91" s="109"/>
      <c r="J91" s="109"/>
      <c r="K91" s="109"/>
      <c r="L91" s="109"/>
      <c r="M91" s="109"/>
      <c r="N91" s="110"/>
      <c r="O91" s="129"/>
      <c r="P91" s="104"/>
    </row>
    <row r="92" spans="1:16" ht="42.75" customHeight="1">
      <c r="A92" s="105">
        <v>150101</v>
      </c>
      <c r="B92" s="106" t="s">
        <v>2</v>
      </c>
      <c r="C92" s="123" t="s">
        <v>199</v>
      </c>
      <c r="D92" s="107">
        <v>6379.139</v>
      </c>
      <c r="E92" s="113">
        <f t="shared" si="4"/>
        <v>35.38813482509158</v>
      </c>
      <c r="F92" s="107">
        <f>D92-(1687.311+344.04021+44.9761+181.131)</f>
        <v>4121.680690000001</v>
      </c>
      <c r="G92" s="107">
        <f>46.111+1149.714+261.296</f>
        <v>1457.121</v>
      </c>
      <c r="H92" s="108" t="s">
        <v>96</v>
      </c>
      <c r="I92" s="109"/>
      <c r="J92" s="109"/>
      <c r="K92" s="109"/>
      <c r="L92" s="109"/>
      <c r="M92" s="109"/>
      <c r="N92" s="115"/>
      <c r="O92" s="129"/>
      <c r="P92" s="104"/>
    </row>
    <row r="93" spans="1:16" ht="43.5" customHeight="1">
      <c r="A93" s="105">
        <v>150101</v>
      </c>
      <c r="B93" s="106" t="s">
        <v>2</v>
      </c>
      <c r="C93" s="106" t="s">
        <v>200</v>
      </c>
      <c r="D93" s="107">
        <v>7632.826</v>
      </c>
      <c r="E93" s="113">
        <f t="shared" si="4"/>
        <v>16.719485548340813</v>
      </c>
      <c r="F93" s="107">
        <f>D93-(1069.7+206.46924)</f>
        <v>6356.65676</v>
      </c>
      <c r="G93" s="107">
        <f>0.133+553.564-260</f>
        <v>293.697</v>
      </c>
      <c r="H93" s="108" t="s">
        <v>96</v>
      </c>
      <c r="I93" s="109"/>
      <c r="J93" s="109"/>
      <c r="K93" s="109"/>
      <c r="L93" s="109"/>
      <c r="M93" s="109"/>
      <c r="N93" s="110"/>
      <c r="O93" s="111"/>
      <c r="P93" s="104"/>
    </row>
    <row r="94" spans="1:17" ht="57.75" customHeight="1">
      <c r="A94" s="135">
        <v>150101</v>
      </c>
      <c r="B94" s="123" t="s">
        <v>2</v>
      </c>
      <c r="C94" s="106" t="s">
        <v>63</v>
      </c>
      <c r="D94" s="136">
        <v>13094.882</v>
      </c>
      <c r="E94" s="113">
        <f t="shared" si="4"/>
        <v>2.44418162760077</v>
      </c>
      <c r="F94" s="107">
        <f>SUM(D94-202.12564-117.93706)</f>
        <v>12774.8193</v>
      </c>
      <c r="G94" s="107">
        <v>7672</v>
      </c>
      <c r="H94" s="108" t="s">
        <v>96</v>
      </c>
      <c r="I94" s="109"/>
      <c r="J94" s="110"/>
      <c r="K94" s="132"/>
      <c r="L94" s="109"/>
      <c r="M94" s="109"/>
      <c r="N94" s="109"/>
      <c r="O94" s="110"/>
      <c r="P94" s="111"/>
      <c r="Q94" s="104"/>
    </row>
    <row r="95" spans="1:17" ht="42" customHeight="1">
      <c r="A95" s="135">
        <v>150101</v>
      </c>
      <c r="B95" s="123" t="s">
        <v>2</v>
      </c>
      <c r="C95" s="123" t="s">
        <v>167</v>
      </c>
      <c r="D95" s="136">
        <v>11138.05</v>
      </c>
      <c r="E95" s="121">
        <f>100-(F95/D95)*100</f>
        <v>2.566631142794307</v>
      </c>
      <c r="F95" s="136">
        <f>D95-285.87266</f>
        <v>10852.177339999998</v>
      </c>
      <c r="G95" s="107">
        <v>20</v>
      </c>
      <c r="H95" s="108" t="s">
        <v>96</v>
      </c>
      <c r="I95" s="109"/>
      <c r="J95" s="110"/>
      <c r="K95" s="132"/>
      <c r="L95" s="109"/>
      <c r="M95" s="109"/>
      <c r="N95" s="109"/>
      <c r="O95" s="110"/>
      <c r="P95" s="111"/>
      <c r="Q95" s="104"/>
    </row>
    <row r="96" spans="1:17" ht="60" customHeight="1">
      <c r="A96" s="135">
        <v>150101</v>
      </c>
      <c r="B96" s="123" t="s">
        <v>2</v>
      </c>
      <c r="C96" s="123" t="s">
        <v>168</v>
      </c>
      <c r="D96" s="136">
        <v>260</v>
      </c>
      <c r="E96" s="121">
        <f>100-(F96/D96)*100</f>
        <v>0</v>
      </c>
      <c r="F96" s="136">
        <v>260</v>
      </c>
      <c r="G96" s="107">
        <v>260</v>
      </c>
      <c r="H96" s="108" t="s">
        <v>96</v>
      </c>
      <c r="I96" s="109"/>
      <c r="J96" s="110"/>
      <c r="K96" s="132"/>
      <c r="L96" s="109"/>
      <c r="M96" s="109"/>
      <c r="N96" s="109"/>
      <c r="O96" s="110"/>
      <c r="P96" s="111"/>
      <c r="Q96" s="104"/>
    </row>
    <row r="97" spans="1:16" ht="62.25" customHeight="1">
      <c r="A97" s="105">
        <v>150101</v>
      </c>
      <c r="B97" s="106" t="s">
        <v>2</v>
      </c>
      <c r="C97" s="106" t="s">
        <v>169</v>
      </c>
      <c r="D97" s="107">
        <v>602.696</v>
      </c>
      <c r="E97" s="113">
        <f t="shared" si="4"/>
        <v>3.5336537823380354</v>
      </c>
      <c r="F97" s="107">
        <f>D97-21.29719</f>
        <v>581.39881</v>
      </c>
      <c r="G97" s="107">
        <v>581.399</v>
      </c>
      <c r="H97" s="108" t="s">
        <v>96</v>
      </c>
      <c r="I97" s="109"/>
      <c r="J97" s="109"/>
      <c r="K97" s="109"/>
      <c r="L97" s="109"/>
      <c r="M97" s="109"/>
      <c r="N97" s="110"/>
      <c r="O97" s="111"/>
      <c r="P97" s="117"/>
    </row>
    <row r="98" spans="1:16" ht="27" customHeight="1">
      <c r="A98" s="105">
        <v>150101</v>
      </c>
      <c r="B98" s="106" t="s">
        <v>2</v>
      </c>
      <c r="C98" s="106" t="s">
        <v>180</v>
      </c>
      <c r="D98" s="107">
        <v>2533.338</v>
      </c>
      <c r="E98" s="113">
        <f t="shared" si="4"/>
        <v>0</v>
      </c>
      <c r="F98" s="107">
        <v>2533.338</v>
      </c>
      <c r="G98" s="107">
        <v>2533.338</v>
      </c>
      <c r="H98" s="108" t="s">
        <v>96</v>
      </c>
      <c r="I98" s="109"/>
      <c r="J98" s="109"/>
      <c r="K98" s="109"/>
      <c r="L98" s="109"/>
      <c r="M98" s="109"/>
      <c r="N98" s="110"/>
      <c r="O98" s="111"/>
      <c r="P98" s="117"/>
    </row>
    <row r="99" spans="1:17" ht="41.25" customHeight="1">
      <c r="A99" s="105">
        <v>150101</v>
      </c>
      <c r="B99" s="106" t="s">
        <v>2</v>
      </c>
      <c r="C99" s="106" t="s">
        <v>106</v>
      </c>
      <c r="D99" s="107">
        <v>220</v>
      </c>
      <c r="E99" s="113">
        <f t="shared" si="4"/>
        <v>0</v>
      </c>
      <c r="F99" s="107">
        <v>220</v>
      </c>
      <c r="G99" s="107">
        <v>220</v>
      </c>
      <c r="H99" s="108"/>
      <c r="I99" s="109"/>
      <c r="J99" s="110"/>
      <c r="K99" s="138"/>
      <c r="L99" s="109"/>
      <c r="M99" s="109"/>
      <c r="N99" s="109"/>
      <c r="O99" s="110"/>
      <c r="P99" s="111"/>
      <c r="Q99" s="117"/>
    </row>
    <row r="100" spans="1:17" ht="39" customHeight="1">
      <c r="A100" s="119">
        <v>150101</v>
      </c>
      <c r="B100" s="139" t="s">
        <v>2</v>
      </c>
      <c r="C100" s="106" t="s">
        <v>83</v>
      </c>
      <c r="D100" s="107">
        <v>302</v>
      </c>
      <c r="E100" s="121">
        <f>100-(F100/D100)*100</f>
        <v>0</v>
      </c>
      <c r="F100" s="136">
        <f>SUM(D100)</f>
        <v>302</v>
      </c>
      <c r="G100" s="107">
        <v>249.891</v>
      </c>
      <c r="H100" s="108"/>
      <c r="I100" s="109"/>
      <c r="J100" s="111"/>
      <c r="K100" s="132"/>
      <c r="L100" s="140"/>
      <c r="M100" s="140"/>
      <c r="N100" s="140"/>
      <c r="O100" s="111"/>
      <c r="P100" s="141"/>
      <c r="Q100" s="104"/>
    </row>
    <row r="101" spans="1:16" ht="58.5" customHeight="1">
      <c r="A101" s="97">
        <v>14</v>
      </c>
      <c r="B101" s="98" t="s">
        <v>64</v>
      </c>
      <c r="C101" s="98"/>
      <c r="D101" s="99">
        <f>SUM(D102:D118)</f>
        <v>48086.814999999995</v>
      </c>
      <c r="E101" s="99"/>
      <c r="F101" s="99">
        <f>SUM(F102:F118)</f>
        <v>30526.19423</v>
      </c>
      <c r="G101" s="99">
        <f>SUM(G102:G118)</f>
        <v>17340.917</v>
      </c>
      <c r="H101" s="100"/>
      <c r="I101" s="101"/>
      <c r="J101" s="101"/>
      <c r="K101" s="101"/>
      <c r="L101" s="101"/>
      <c r="M101" s="101"/>
      <c r="N101" s="102"/>
      <c r="O101" s="111"/>
      <c r="P101" s="104"/>
    </row>
    <row r="102" spans="1:16" ht="57.75" customHeight="1">
      <c r="A102" s="105">
        <v>150101</v>
      </c>
      <c r="B102" s="106" t="s">
        <v>2</v>
      </c>
      <c r="C102" s="142" t="s">
        <v>65</v>
      </c>
      <c r="D102" s="107">
        <v>7053.562</v>
      </c>
      <c r="E102" s="113">
        <f>100-(F102/D102)*100</f>
        <v>40.961137365773496</v>
      </c>
      <c r="F102" s="107">
        <f>D102-(1131.01602+23.73674+2.4632+1732.00326)</f>
        <v>4164.34278</v>
      </c>
      <c r="G102" s="107">
        <f>545.717+545.026</f>
        <v>1090.743</v>
      </c>
      <c r="H102" s="108" t="s">
        <v>96</v>
      </c>
      <c r="I102" s="109"/>
      <c r="J102" s="109"/>
      <c r="K102" s="109"/>
      <c r="L102" s="109"/>
      <c r="M102" s="109"/>
      <c r="N102" s="115"/>
      <c r="O102" s="143"/>
      <c r="P102" s="104"/>
    </row>
    <row r="103" spans="1:16" ht="57.75" customHeight="1">
      <c r="A103" s="105">
        <v>150101</v>
      </c>
      <c r="B103" s="106" t="s">
        <v>2</v>
      </c>
      <c r="C103" s="142" t="s">
        <v>189</v>
      </c>
      <c r="D103" s="107">
        <v>500</v>
      </c>
      <c r="E103" s="113">
        <f>100-(F103/D103)*100</f>
        <v>0</v>
      </c>
      <c r="F103" s="107">
        <f>D103</f>
        <v>500</v>
      </c>
      <c r="G103" s="107">
        <v>500</v>
      </c>
      <c r="H103" s="108" t="s">
        <v>96</v>
      </c>
      <c r="I103" s="109"/>
      <c r="J103" s="109"/>
      <c r="K103" s="109"/>
      <c r="L103" s="109"/>
      <c r="M103" s="109"/>
      <c r="N103" s="115"/>
      <c r="O103" s="143"/>
      <c r="P103" s="104"/>
    </row>
    <row r="104" spans="1:16" ht="84" customHeight="1">
      <c r="A104" s="105">
        <v>150101</v>
      </c>
      <c r="B104" s="106" t="s">
        <v>2</v>
      </c>
      <c r="C104" s="142" t="s">
        <v>170</v>
      </c>
      <c r="D104" s="107">
        <v>350</v>
      </c>
      <c r="E104" s="113">
        <f aca="true" t="shared" si="5" ref="E104:E118">100-(F104/D104)*100</f>
        <v>0</v>
      </c>
      <c r="F104" s="107">
        <f>SUM(D104-0)</f>
        <v>350</v>
      </c>
      <c r="G104" s="107">
        <v>350</v>
      </c>
      <c r="H104" s="108" t="s">
        <v>96</v>
      </c>
      <c r="I104" s="109"/>
      <c r="J104" s="109"/>
      <c r="K104" s="109"/>
      <c r="L104" s="109"/>
      <c r="M104" s="109"/>
      <c r="N104" s="110"/>
      <c r="O104" s="111"/>
      <c r="P104" s="104"/>
    </row>
    <row r="105" spans="1:16" ht="77.25" customHeight="1">
      <c r="A105" s="105">
        <v>150101</v>
      </c>
      <c r="B105" s="106" t="s">
        <v>2</v>
      </c>
      <c r="C105" s="142" t="s">
        <v>171</v>
      </c>
      <c r="D105" s="107">
        <v>2652.552</v>
      </c>
      <c r="E105" s="113">
        <f t="shared" si="5"/>
        <v>6.265687911113517</v>
      </c>
      <c r="F105" s="107">
        <f>D105-(30.1488+136.05183)</f>
        <v>2486.3513700000003</v>
      </c>
      <c r="G105" s="107">
        <f>2.414+1500</f>
        <v>1502.414</v>
      </c>
      <c r="H105" s="108" t="s">
        <v>96</v>
      </c>
      <c r="I105" s="109"/>
      <c r="J105" s="109"/>
      <c r="K105" s="109"/>
      <c r="L105" s="109"/>
      <c r="M105" s="109"/>
      <c r="N105" s="110"/>
      <c r="O105" s="129"/>
      <c r="P105" s="104"/>
    </row>
    <row r="106" spans="1:16" ht="66.75" customHeight="1">
      <c r="A106" s="105">
        <v>150101</v>
      </c>
      <c r="B106" s="106" t="s">
        <v>2</v>
      </c>
      <c r="C106" s="142" t="s">
        <v>84</v>
      </c>
      <c r="D106" s="107">
        <v>6405.982</v>
      </c>
      <c r="E106" s="113">
        <f t="shared" si="5"/>
        <v>78.30015757146992</v>
      </c>
      <c r="F106" s="107">
        <v>1390.088</v>
      </c>
      <c r="G106" s="107">
        <v>4.634</v>
      </c>
      <c r="H106" s="108" t="s">
        <v>96</v>
      </c>
      <c r="I106" s="109"/>
      <c r="J106" s="109"/>
      <c r="K106" s="109"/>
      <c r="L106" s="109"/>
      <c r="M106" s="109"/>
      <c r="N106" s="110"/>
      <c r="O106" s="129"/>
      <c r="P106" s="104"/>
    </row>
    <row r="107" spans="1:16" ht="58.5" customHeight="1">
      <c r="A107" s="105">
        <v>150101</v>
      </c>
      <c r="B107" s="106" t="s">
        <v>2</v>
      </c>
      <c r="C107" s="144" t="s">
        <v>66</v>
      </c>
      <c r="D107" s="136">
        <v>5540.75</v>
      </c>
      <c r="E107" s="113">
        <f t="shared" si="5"/>
        <v>61.36748635112575</v>
      </c>
      <c r="F107" s="107">
        <f>D107-3400.219</f>
        <v>2140.531</v>
      </c>
      <c r="G107" s="107">
        <v>2140.531</v>
      </c>
      <c r="H107" s="108" t="s">
        <v>96</v>
      </c>
      <c r="I107" s="109"/>
      <c r="J107" s="109"/>
      <c r="K107" s="109"/>
      <c r="L107" s="109"/>
      <c r="M107" s="109"/>
      <c r="N107" s="110"/>
      <c r="O107" s="111"/>
      <c r="P107" s="104"/>
    </row>
    <row r="108" spans="1:16" ht="60" customHeight="1">
      <c r="A108" s="105">
        <v>150101</v>
      </c>
      <c r="B108" s="106" t="s">
        <v>2</v>
      </c>
      <c r="C108" s="144" t="s">
        <v>67</v>
      </c>
      <c r="D108" s="107">
        <v>6538.291</v>
      </c>
      <c r="E108" s="113">
        <f t="shared" si="5"/>
        <v>0.08437189473518458</v>
      </c>
      <c r="F108" s="107">
        <f>D108-(1.655+3.86148)</f>
        <v>6532.77452</v>
      </c>
      <c r="G108" s="107">
        <v>2032.775</v>
      </c>
      <c r="H108" s="108" t="s">
        <v>96</v>
      </c>
      <c r="I108" s="109"/>
      <c r="J108" s="109"/>
      <c r="K108" s="109"/>
      <c r="L108" s="109"/>
      <c r="M108" s="109"/>
      <c r="N108" s="110"/>
      <c r="O108" s="111"/>
      <c r="P108" s="104"/>
    </row>
    <row r="109" spans="1:16" ht="56.25" customHeight="1">
      <c r="A109" s="105">
        <v>150101</v>
      </c>
      <c r="B109" s="106" t="s">
        <v>2</v>
      </c>
      <c r="C109" s="142" t="s">
        <v>172</v>
      </c>
      <c r="D109" s="107">
        <v>6346.025</v>
      </c>
      <c r="E109" s="113">
        <f t="shared" si="5"/>
        <v>88.30155002540961</v>
      </c>
      <c r="F109" s="107">
        <f>D109-(1388.68+1250+594.39965+183.85879+1020+1166.7)</f>
        <v>742.3865599999999</v>
      </c>
      <c r="G109" s="107">
        <v>742.387</v>
      </c>
      <c r="H109" s="108" t="s">
        <v>96</v>
      </c>
      <c r="I109" s="109"/>
      <c r="J109" s="109"/>
      <c r="K109" s="109"/>
      <c r="L109" s="109"/>
      <c r="M109" s="109"/>
      <c r="N109" s="110"/>
      <c r="O109" s="111"/>
      <c r="P109" s="104"/>
    </row>
    <row r="110" spans="1:16" ht="62.25" customHeight="1">
      <c r="A110" s="105">
        <v>150101</v>
      </c>
      <c r="B110" s="106" t="s">
        <v>2</v>
      </c>
      <c r="C110" s="142" t="s">
        <v>68</v>
      </c>
      <c r="D110" s="107">
        <v>808.91</v>
      </c>
      <c r="E110" s="113">
        <f t="shared" si="5"/>
        <v>0</v>
      </c>
      <c r="F110" s="107">
        <f>D110-0</f>
        <v>808.91</v>
      </c>
      <c r="G110" s="107">
        <v>808.91</v>
      </c>
      <c r="H110" s="108" t="s">
        <v>96</v>
      </c>
      <c r="I110" s="109"/>
      <c r="J110" s="109"/>
      <c r="K110" s="109"/>
      <c r="L110" s="109"/>
      <c r="M110" s="109"/>
      <c r="N110" s="110"/>
      <c r="O110" s="111"/>
      <c r="P110" s="117"/>
    </row>
    <row r="111" spans="1:16" ht="40.5" customHeight="1">
      <c r="A111" s="105">
        <v>150101</v>
      </c>
      <c r="B111" s="106" t="s">
        <v>2</v>
      </c>
      <c r="C111" s="130" t="s">
        <v>201</v>
      </c>
      <c r="D111" s="107">
        <v>450</v>
      </c>
      <c r="E111" s="113">
        <f t="shared" si="5"/>
        <v>0</v>
      </c>
      <c r="F111" s="107">
        <f>D111-0</f>
        <v>450</v>
      </c>
      <c r="G111" s="107">
        <v>450</v>
      </c>
      <c r="H111" s="108" t="s">
        <v>96</v>
      </c>
      <c r="I111" s="109"/>
      <c r="J111" s="109"/>
      <c r="K111" s="109"/>
      <c r="L111" s="109"/>
      <c r="M111" s="109"/>
      <c r="N111" s="110"/>
      <c r="O111" s="111"/>
      <c r="P111" s="117"/>
    </row>
    <row r="112" spans="1:17" ht="43.5" customHeight="1">
      <c r="A112" s="105">
        <v>150101</v>
      </c>
      <c r="B112" s="106" t="s">
        <v>2</v>
      </c>
      <c r="C112" s="130" t="s">
        <v>85</v>
      </c>
      <c r="D112" s="107">
        <v>2300</v>
      </c>
      <c r="E112" s="113">
        <f>100-(F112/D112)*100</f>
        <v>0</v>
      </c>
      <c r="F112" s="107">
        <v>2300</v>
      </c>
      <c r="G112" s="107">
        <v>2300</v>
      </c>
      <c r="H112" s="108" t="s">
        <v>96</v>
      </c>
      <c r="I112" s="109"/>
      <c r="J112" s="110"/>
      <c r="K112" s="132"/>
      <c r="L112" s="109"/>
      <c r="M112" s="109"/>
      <c r="N112" s="109"/>
      <c r="O112" s="110"/>
      <c r="P112" s="111"/>
      <c r="Q112" s="117"/>
    </row>
    <row r="113" spans="1:17" ht="57.75" customHeight="1">
      <c r="A113" s="105">
        <v>150101</v>
      </c>
      <c r="B113" s="106" t="s">
        <v>2</v>
      </c>
      <c r="C113" s="130" t="s">
        <v>86</v>
      </c>
      <c r="D113" s="107">
        <v>1100</v>
      </c>
      <c r="E113" s="113">
        <f>100-(F113/D113)*100</f>
        <v>0</v>
      </c>
      <c r="F113" s="107">
        <v>1100</v>
      </c>
      <c r="G113" s="107">
        <v>1100</v>
      </c>
      <c r="H113" s="108" t="s">
        <v>96</v>
      </c>
      <c r="I113" s="109"/>
      <c r="J113" s="110"/>
      <c r="K113" s="132"/>
      <c r="L113" s="109"/>
      <c r="M113" s="109"/>
      <c r="N113" s="109"/>
      <c r="O113" s="110"/>
      <c r="P113" s="111"/>
      <c r="Q113" s="117"/>
    </row>
    <row r="114" spans="1:16" ht="58.5" customHeight="1">
      <c r="A114" s="105">
        <v>150101</v>
      </c>
      <c r="B114" s="106" t="s">
        <v>2</v>
      </c>
      <c r="C114" s="142" t="s">
        <v>202</v>
      </c>
      <c r="D114" s="107">
        <v>581.015</v>
      </c>
      <c r="E114" s="113">
        <f t="shared" si="5"/>
        <v>34.90168067950053</v>
      </c>
      <c r="F114" s="107">
        <v>378.231</v>
      </c>
      <c r="G114" s="107">
        <f>371.539+6.692</f>
        <v>378.231</v>
      </c>
      <c r="H114" s="108" t="s">
        <v>96</v>
      </c>
      <c r="I114" s="109"/>
      <c r="J114" s="109"/>
      <c r="K114" s="109"/>
      <c r="L114" s="109"/>
      <c r="M114" s="109"/>
      <c r="N114" s="110"/>
      <c r="O114" s="111"/>
      <c r="P114" s="117"/>
    </row>
    <row r="115" spans="1:16" ht="43.5" customHeight="1">
      <c r="A115" s="105">
        <v>150101</v>
      </c>
      <c r="B115" s="106" t="s">
        <v>2</v>
      </c>
      <c r="C115" s="142" t="s">
        <v>173</v>
      </c>
      <c r="D115" s="107">
        <v>340.85</v>
      </c>
      <c r="E115" s="113">
        <f t="shared" si="5"/>
        <v>81.31113392988118</v>
      </c>
      <c r="F115" s="107">
        <v>63.701</v>
      </c>
      <c r="G115" s="107">
        <f>61.496+2.205</f>
        <v>63.701</v>
      </c>
      <c r="H115" s="108" t="s">
        <v>96</v>
      </c>
      <c r="I115" s="109"/>
      <c r="J115" s="109"/>
      <c r="K115" s="109"/>
      <c r="L115" s="109"/>
      <c r="M115" s="109"/>
      <c r="N115" s="110"/>
      <c r="O115" s="111"/>
      <c r="P115" s="117"/>
    </row>
    <row r="116" spans="1:17" ht="57.75" customHeight="1">
      <c r="A116" s="105">
        <v>150101</v>
      </c>
      <c r="B116" s="106" t="s">
        <v>2</v>
      </c>
      <c r="C116" s="142" t="s">
        <v>174</v>
      </c>
      <c r="D116" s="107">
        <v>300</v>
      </c>
      <c r="E116" s="113">
        <f>100-(F116/D116)*100</f>
        <v>0</v>
      </c>
      <c r="F116" s="107">
        <v>300</v>
      </c>
      <c r="G116" s="107">
        <v>300</v>
      </c>
      <c r="H116" s="108" t="s">
        <v>96</v>
      </c>
      <c r="I116" s="109"/>
      <c r="J116" s="110"/>
      <c r="K116" s="145"/>
      <c r="L116" s="109"/>
      <c r="M116" s="109"/>
      <c r="N116" s="109"/>
      <c r="O116" s="110"/>
      <c r="P116" s="111"/>
      <c r="Q116" s="117"/>
    </row>
    <row r="117" spans="1:17" ht="60" customHeight="1">
      <c r="A117" s="105">
        <v>150101</v>
      </c>
      <c r="B117" s="106" t="s">
        <v>2</v>
      </c>
      <c r="C117" s="142" t="s">
        <v>175</v>
      </c>
      <c r="D117" s="107">
        <v>3401.878</v>
      </c>
      <c r="E117" s="113">
        <f>100-(F117/D117)*100</f>
        <v>0</v>
      </c>
      <c r="F117" s="107">
        <f>SUM(D117)</f>
        <v>3401.878</v>
      </c>
      <c r="G117" s="107">
        <v>159.591</v>
      </c>
      <c r="H117" s="108" t="s">
        <v>96</v>
      </c>
      <c r="I117" s="109"/>
      <c r="J117" s="110"/>
      <c r="K117" s="132"/>
      <c r="L117" s="109"/>
      <c r="M117" s="109"/>
      <c r="N117" s="109"/>
      <c r="O117" s="110"/>
      <c r="P117" s="111"/>
      <c r="Q117" s="117"/>
    </row>
    <row r="118" spans="1:16" ht="51.75" customHeight="1">
      <c r="A118" s="105">
        <v>150101</v>
      </c>
      <c r="B118" s="106" t="s">
        <v>2</v>
      </c>
      <c r="C118" s="130" t="s">
        <v>87</v>
      </c>
      <c r="D118" s="107">
        <v>3417</v>
      </c>
      <c r="E118" s="113">
        <f t="shared" si="5"/>
        <v>0</v>
      </c>
      <c r="F118" s="107">
        <f>D118-0</f>
        <v>3417</v>
      </c>
      <c r="G118" s="107">
        <v>3417</v>
      </c>
      <c r="H118" s="108" t="s">
        <v>96</v>
      </c>
      <c r="I118" s="109"/>
      <c r="J118" s="109"/>
      <c r="K118" s="109"/>
      <c r="L118" s="109"/>
      <c r="M118" s="109"/>
      <c r="N118" s="110"/>
      <c r="O118" s="111"/>
      <c r="P118" s="104"/>
    </row>
    <row r="119" spans="1:16" ht="65.25" customHeight="1">
      <c r="A119" s="97">
        <v>15</v>
      </c>
      <c r="B119" s="98" t="s">
        <v>69</v>
      </c>
      <c r="C119" s="98"/>
      <c r="D119" s="99">
        <f>SUM(D120+D121)</f>
        <v>9080.429</v>
      </c>
      <c r="E119" s="99"/>
      <c r="F119" s="99">
        <f>SUM(F120+F121)</f>
        <v>7399.94058</v>
      </c>
      <c r="G119" s="99">
        <f>SUM(G120+G121)</f>
        <v>5051.456</v>
      </c>
      <c r="H119" s="100"/>
      <c r="I119" s="101"/>
      <c r="J119" s="101"/>
      <c r="K119" s="101"/>
      <c r="L119" s="101"/>
      <c r="M119" s="101"/>
      <c r="N119" s="102"/>
      <c r="O119" s="111"/>
      <c r="P119" s="104"/>
    </row>
    <row r="120" spans="1:16" ht="90" customHeight="1">
      <c r="A120" s="105">
        <v>150101</v>
      </c>
      <c r="B120" s="106" t="s">
        <v>2</v>
      </c>
      <c r="C120" s="106" t="s">
        <v>70</v>
      </c>
      <c r="D120" s="107">
        <v>5314.369</v>
      </c>
      <c r="E120" s="113">
        <f>100-(F120/D120)*100</f>
        <v>10.206195881392503</v>
      </c>
      <c r="F120" s="107">
        <f>D120-(383.51981+158.8751)</f>
        <v>4771.97409</v>
      </c>
      <c r="G120" s="107">
        <f>1423.49+1000</f>
        <v>2423.49</v>
      </c>
      <c r="H120" s="108" t="s">
        <v>96</v>
      </c>
      <c r="I120" s="109"/>
      <c r="J120" s="109"/>
      <c r="K120" s="109"/>
      <c r="L120" s="109"/>
      <c r="M120" s="109"/>
      <c r="N120" s="110"/>
      <c r="O120" s="111"/>
      <c r="P120" s="104"/>
    </row>
    <row r="121" spans="1:16" ht="96" customHeight="1">
      <c r="A121" s="105">
        <v>150101</v>
      </c>
      <c r="B121" s="106" t="s">
        <v>2</v>
      </c>
      <c r="C121" s="106" t="s">
        <v>71</v>
      </c>
      <c r="D121" s="107">
        <v>3766.06</v>
      </c>
      <c r="E121" s="113">
        <f>100-(F121/D121)*100</f>
        <v>30.219739196932593</v>
      </c>
      <c r="F121" s="107">
        <f>D121-878.841-259.25251</f>
        <v>2627.9664900000002</v>
      </c>
      <c r="G121" s="107">
        <f>452.799+2175.167</f>
        <v>2627.966</v>
      </c>
      <c r="H121" s="146" t="s">
        <v>100</v>
      </c>
      <c r="I121" s="109"/>
      <c r="J121" s="109"/>
      <c r="K121" s="109"/>
      <c r="L121" s="109"/>
      <c r="M121" s="109"/>
      <c r="N121" s="110"/>
      <c r="O121" s="111"/>
      <c r="P121" s="104"/>
    </row>
    <row r="122" spans="1:16" ht="57" customHeight="1">
      <c r="A122" s="97">
        <v>24</v>
      </c>
      <c r="B122" s="98" t="s">
        <v>24</v>
      </c>
      <c r="C122" s="98"/>
      <c r="D122" s="99">
        <f>SUM(D123:D123)</f>
        <v>100</v>
      </c>
      <c r="E122" s="99"/>
      <c r="F122" s="99">
        <f>SUM(F123:F123)</f>
        <v>100</v>
      </c>
      <c r="G122" s="99">
        <f>SUM(G123:G123)</f>
        <v>100</v>
      </c>
      <c r="H122" s="100"/>
      <c r="I122" s="101"/>
      <c r="J122" s="101"/>
      <c r="K122" s="101"/>
      <c r="L122" s="101"/>
      <c r="M122" s="101"/>
      <c r="N122" s="102"/>
      <c r="O122" s="111"/>
      <c r="P122" s="104"/>
    </row>
    <row r="123" spans="1:16" ht="62.25" customHeight="1">
      <c r="A123" s="105">
        <v>150101</v>
      </c>
      <c r="B123" s="106" t="s">
        <v>2</v>
      </c>
      <c r="C123" s="106" t="s">
        <v>72</v>
      </c>
      <c r="D123" s="147">
        <v>100</v>
      </c>
      <c r="E123" s="113">
        <f>100-(F123/D123)*100</f>
        <v>0</v>
      </c>
      <c r="F123" s="107">
        <f>D123-0</f>
        <v>100</v>
      </c>
      <c r="G123" s="107">
        <v>100</v>
      </c>
      <c r="H123" s="108" t="s">
        <v>96</v>
      </c>
      <c r="I123" s="109"/>
      <c r="J123" s="109"/>
      <c r="K123" s="109"/>
      <c r="L123" s="109"/>
      <c r="M123" s="109"/>
      <c r="N123" s="110"/>
      <c r="O123" s="111"/>
      <c r="P123" s="117"/>
    </row>
    <row r="124" spans="1:16" ht="38.25" customHeight="1">
      <c r="A124" s="148" t="s">
        <v>74</v>
      </c>
      <c r="B124" s="98" t="s">
        <v>176</v>
      </c>
      <c r="C124" s="98"/>
      <c r="D124" s="99"/>
      <c r="E124" s="99"/>
      <c r="F124" s="99"/>
      <c r="G124" s="99">
        <f>SUM(G125)</f>
        <v>7.065</v>
      </c>
      <c r="H124" s="100"/>
      <c r="I124" s="101"/>
      <c r="J124" s="101"/>
      <c r="K124" s="101"/>
      <c r="L124" s="101"/>
      <c r="M124" s="101"/>
      <c r="N124" s="102"/>
      <c r="O124" s="111"/>
      <c r="P124" s="104"/>
    </row>
    <row r="125" spans="1:16" ht="59.25" customHeight="1">
      <c r="A125" s="105">
        <v>150101</v>
      </c>
      <c r="B125" s="106" t="s">
        <v>2</v>
      </c>
      <c r="C125" s="106" t="s">
        <v>190</v>
      </c>
      <c r="D125" s="134"/>
      <c r="E125" s="149"/>
      <c r="F125" s="134"/>
      <c r="G125" s="134">
        <v>7.065</v>
      </c>
      <c r="H125" s="108" t="s">
        <v>99</v>
      </c>
      <c r="I125" s="140"/>
      <c r="J125" s="140"/>
      <c r="K125" s="140"/>
      <c r="L125" s="140"/>
      <c r="M125" s="140"/>
      <c r="N125" s="111"/>
      <c r="O125" s="141"/>
      <c r="P125" s="104"/>
    </row>
    <row r="126" spans="1:11" s="127" customFormat="1" ht="60" customHeight="1">
      <c r="A126" s="97">
        <v>93</v>
      </c>
      <c r="B126" s="150" t="s">
        <v>88</v>
      </c>
      <c r="C126" s="151"/>
      <c r="D126" s="152">
        <f>SUM(D127:D128)</f>
        <v>9366.312</v>
      </c>
      <c r="E126" s="153"/>
      <c r="F126" s="152">
        <f>SUM(F127:F128)</f>
        <v>9366.312</v>
      </c>
      <c r="G126" s="152">
        <f>SUM(G127:G128)</f>
        <v>8424.758</v>
      </c>
      <c r="H126" s="154"/>
      <c r="I126" s="155"/>
      <c r="J126" s="103"/>
      <c r="K126" s="156"/>
    </row>
    <row r="127" spans="1:11" ht="41.25" customHeight="1">
      <c r="A127" s="105">
        <v>150101</v>
      </c>
      <c r="B127" s="130" t="s">
        <v>2</v>
      </c>
      <c r="C127" s="106" t="s">
        <v>203</v>
      </c>
      <c r="D127" s="112">
        <v>8369.652</v>
      </c>
      <c r="E127" s="113">
        <f>100-(F127/D127)*100</f>
        <v>0</v>
      </c>
      <c r="F127" s="107">
        <f>D127-0</f>
        <v>8369.652</v>
      </c>
      <c r="G127" s="112">
        <v>7428.098</v>
      </c>
      <c r="H127" s="108" t="s">
        <v>96</v>
      </c>
      <c r="I127" s="114"/>
      <c r="J127" s="110"/>
      <c r="K127" s="132"/>
    </row>
    <row r="128" spans="1:11" ht="39.75" customHeight="1">
      <c r="A128" s="105">
        <v>150101</v>
      </c>
      <c r="B128" s="130" t="s">
        <v>2</v>
      </c>
      <c r="C128" s="106" t="s">
        <v>104</v>
      </c>
      <c r="D128" s="112">
        <v>996.66</v>
      </c>
      <c r="E128" s="113">
        <f>100-(F128/D128)*100</f>
        <v>0</v>
      </c>
      <c r="F128" s="107">
        <v>996.66</v>
      </c>
      <c r="G128" s="112">
        <v>996.66</v>
      </c>
      <c r="H128" s="108" t="s">
        <v>96</v>
      </c>
      <c r="I128" s="114"/>
      <c r="J128" s="110"/>
      <c r="K128" s="138"/>
    </row>
    <row r="129" spans="1:11" s="127" customFormat="1" ht="77.25" customHeight="1">
      <c r="A129" s="97">
        <v>92</v>
      </c>
      <c r="B129" s="150" t="s">
        <v>89</v>
      </c>
      <c r="C129" s="98"/>
      <c r="D129" s="152">
        <f>SUM(D130:D131)</f>
        <v>6712.467000000001</v>
      </c>
      <c r="E129" s="157"/>
      <c r="F129" s="152">
        <f>SUM(F130:F131)</f>
        <v>6712.467000000001</v>
      </c>
      <c r="G129" s="152">
        <f>SUM(G130:G131)</f>
        <v>6712.467000000001</v>
      </c>
      <c r="H129" s="154"/>
      <c r="I129" s="155"/>
      <c r="J129" s="103"/>
      <c r="K129" s="156"/>
    </row>
    <row r="130" spans="1:11" ht="41.25" customHeight="1">
      <c r="A130" s="105">
        <v>150101</v>
      </c>
      <c r="B130" s="130" t="s">
        <v>2</v>
      </c>
      <c r="C130" s="106" t="s">
        <v>177</v>
      </c>
      <c r="D130" s="112">
        <v>336.698</v>
      </c>
      <c r="E130" s="113">
        <f>100-(F130/D130)*100</f>
        <v>0</v>
      </c>
      <c r="F130" s="107">
        <f>D130-0</f>
        <v>336.698</v>
      </c>
      <c r="G130" s="112">
        <v>336.698</v>
      </c>
      <c r="H130" s="108" t="s">
        <v>96</v>
      </c>
      <c r="I130" s="114"/>
      <c r="J130" s="111"/>
      <c r="K130" s="132"/>
    </row>
    <row r="131" spans="1:11" ht="24.75" customHeight="1">
      <c r="A131" s="105">
        <v>150101</v>
      </c>
      <c r="B131" s="130" t="s">
        <v>2</v>
      </c>
      <c r="C131" s="106" t="s">
        <v>178</v>
      </c>
      <c r="D131" s="112">
        <v>6375.769</v>
      </c>
      <c r="E131" s="113">
        <f>100-(F131/D131)*100</f>
        <v>0</v>
      </c>
      <c r="F131" s="107">
        <f>D131-0</f>
        <v>6375.769</v>
      </c>
      <c r="G131" s="112">
        <v>6375.769</v>
      </c>
      <c r="H131" s="108" t="s">
        <v>96</v>
      </c>
      <c r="I131" s="114"/>
      <c r="J131" s="110"/>
      <c r="K131" s="132"/>
    </row>
    <row r="132" spans="1:11" s="127" customFormat="1" ht="77.25" customHeight="1">
      <c r="A132" s="97">
        <v>65</v>
      </c>
      <c r="B132" s="150" t="s">
        <v>124</v>
      </c>
      <c r="C132" s="98"/>
      <c r="D132" s="152"/>
      <c r="E132" s="157"/>
      <c r="F132" s="152"/>
      <c r="G132" s="152">
        <f>SUM(G133:G134)</f>
        <v>665.462</v>
      </c>
      <c r="H132" s="154"/>
      <c r="I132" s="155"/>
      <c r="J132" s="103"/>
      <c r="K132" s="156"/>
    </row>
    <row r="133" spans="1:11" ht="79.5" customHeight="1" thickBot="1">
      <c r="A133" s="158">
        <v>180409</v>
      </c>
      <c r="B133" s="159" t="s">
        <v>43</v>
      </c>
      <c r="C133" s="160" t="s">
        <v>179</v>
      </c>
      <c r="D133" s="161"/>
      <c r="E133" s="162"/>
      <c r="F133" s="163"/>
      <c r="G133" s="161">
        <v>665.462</v>
      </c>
      <c r="H133" s="164"/>
      <c r="I133" s="114"/>
      <c r="J133" s="111"/>
      <c r="K133" s="132"/>
    </row>
    <row r="134" spans="3:11" ht="18.75">
      <c r="C134" s="76"/>
      <c r="J134" s="140"/>
      <c r="K134" s="166"/>
    </row>
    <row r="135" spans="3:7" ht="18.75">
      <c r="C135" s="165"/>
      <c r="D135" s="140"/>
      <c r="E135" s="167"/>
      <c r="F135" s="140"/>
      <c r="G135" s="140"/>
    </row>
    <row r="136" spans="3:7" ht="18.75">
      <c r="C136" s="165"/>
      <c r="D136" s="140"/>
      <c r="E136" s="167"/>
      <c r="F136" s="140"/>
      <c r="G136" s="140"/>
    </row>
    <row r="141" spans="3:5" ht="18.75">
      <c r="C141" s="76"/>
      <c r="E141" s="76"/>
    </row>
    <row r="142" spans="3:5" ht="18.75">
      <c r="C142" s="76"/>
      <c r="E142" s="76"/>
    </row>
    <row r="143" spans="3:5" ht="18.75">
      <c r="C143" s="76"/>
      <c r="E143" s="76"/>
    </row>
    <row r="144" spans="3:5" ht="18.75">
      <c r="C144" s="76"/>
      <c r="E144" s="76"/>
    </row>
    <row r="145" spans="3:5" ht="18.75">
      <c r="C145" s="76"/>
      <c r="E145" s="76"/>
    </row>
    <row r="146" spans="3:5" ht="18.75">
      <c r="C146" s="76"/>
      <c r="E146" s="76"/>
    </row>
    <row r="147" spans="3:5" ht="18.75">
      <c r="C147" s="76"/>
      <c r="E147" s="76"/>
    </row>
    <row r="148" spans="3:5" ht="18.75">
      <c r="C148" s="76"/>
      <c r="E148" s="76"/>
    </row>
    <row r="149" spans="3:5" ht="18.75">
      <c r="C149" s="76"/>
      <c r="E149" s="76"/>
    </row>
    <row r="150" spans="3:5" ht="18.75">
      <c r="C150" s="76"/>
      <c r="E150" s="76"/>
    </row>
    <row r="151" spans="3:5" ht="18.75">
      <c r="C151" s="76"/>
      <c r="E151" s="76"/>
    </row>
    <row r="152" spans="3:5" ht="18.75">
      <c r="C152" s="76"/>
      <c r="E152" s="76"/>
    </row>
    <row r="153" spans="3:5" ht="18.75">
      <c r="C153" s="76"/>
      <c r="E153" s="76"/>
    </row>
    <row r="154" spans="3:5" ht="18.75">
      <c r="C154" s="76"/>
      <c r="E154" s="76"/>
    </row>
    <row r="155" spans="3:5" ht="18.75">
      <c r="C155" s="76"/>
      <c r="E155" s="76"/>
    </row>
    <row r="156" spans="3:5" ht="18.75">
      <c r="C156" s="76"/>
      <c r="E156" s="76"/>
    </row>
    <row r="157" spans="3:5" ht="18.75">
      <c r="C157" s="76"/>
      <c r="E157" s="76"/>
    </row>
    <row r="158" spans="3:5" ht="18.75">
      <c r="C158" s="76"/>
      <c r="E158" s="76"/>
    </row>
    <row r="159" spans="3:5" ht="18.75">
      <c r="C159" s="76"/>
      <c r="E159" s="76"/>
    </row>
    <row r="160" spans="3:5" ht="18.75">
      <c r="C160" s="76"/>
      <c r="E160" s="76"/>
    </row>
    <row r="161" spans="3:5" ht="18.75">
      <c r="C161" s="76"/>
      <c r="E161" s="76"/>
    </row>
    <row r="162" spans="3:5" ht="18.75">
      <c r="C162" s="76"/>
      <c r="E162" s="76"/>
    </row>
    <row r="163" spans="3:5" ht="18.75">
      <c r="C163" s="76"/>
      <c r="E163" s="76"/>
    </row>
    <row r="164" spans="3:5" ht="18.75">
      <c r="C164" s="76"/>
      <c r="E164" s="76"/>
    </row>
    <row r="165" spans="3:5" ht="18.75">
      <c r="C165" s="76"/>
      <c r="E165" s="76"/>
    </row>
    <row r="166" spans="3:5" ht="18.75">
      <c r="C166" s="76"/>
      <c r="E166" s="76"/>
    </row>
    <row r="167" spans="3:5" ht="18.75">
      <c r="C167" s="76"/>
      <c r="E167" s="76"/>
    </row>
    <row r="168" spans="3:5" ht="18.75">
      <c r="C168" s="76"/>
      <c r="E168" s="76"/>
    </row>
    <row r="169" spans="3:5" ht="18.75">
      <c r="C169" s="76"/>
      <c r="E169" s="76"/>
    </row>
    <row r="170" spans="3:5" ht="18.75">
      <c r="C170" s="76"/>
      <c r="E170" s="76"/>
    </row>
    <row r="171" spans="3:5" ht="18.75">
      <c r="C171" s="76"/>
      <c r="E171" s="76"/>
    </row>
    <row r="172" spans="3:5" ht="18.75">
      <c r="C172" s="76"/>
      <c r="E172" s="76"/>
    </row>
    <row r="173" spans="3:5" ht="18.75">
      <c r="C173" s="76"/>
      <c r="E173" s="76"/>
    </row>
    <row r="174" spans="3:5" ht="18.75">
      <c r="C174" s="76"/>
      <c r="E174" s="76"/>
    </row>
    <row r="175" spans="3:5" ht="18.75">
      <c r="C175" s="76"/>
      <c r="E175" s="76"/>
    </row>
    <row r="176" spans="3:5" ht="18.75">
      <c r="C176" s="76"/>
      <c r="E176" s="76"/>
    </row>
    <row r="177" spans="3:5" ht="18.75">
      <c r="C177" s="76"/>
      <c r="E177" s="76"/>
    </row>
  </sheetData>
  <sheetProtection/>
  <mergeCells count="14">
    <mergeCell ref="E12:E13"/>
    <mergeCell ref="A8:H8"/>
    <mergeCell ref="H12:H13"/>
    <mergeCell ref="B11:C11"/>
    <mergeCell ref="G7:H7"/>
    <mergeCell ref="F5:H6"/>
    <mergeCell ref="F1:H1"/>
    <mergeCell ref="F2:H2"/>
    <mergeCell ref="F3:H3"/>
    <mergeCell ref="F12:F13"/>
    <mergeCell ref="G12:G13"/>
    <mergeCell ref="A10:H10"/>
    <mergeCell ref="C12:C13"/>
    <mergeCell ref="D12:D13"/>
  </mergeCells>
  <printOptions/>
  <pageMargins left="0.31496062992125984" right="0.2362204724409449" top="1.25" bottom="0.2362204724409449" header="1.04" footer="0.1968503937007874"/>
  <pageSetup horizontalDpi="600" verticalDpi="600" orientation="landscape" paperSize="9" scale="63"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57"/>
  <sheetViews>
    <sheetView view="pageBreakPreview" zoomScale="60" zoomScalePageLayoutView="0" workbookViewId="0" topLeftCell="A1">
      <selection activeCell="E18" sqref="E18"/>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9" bestFit="1" customWidth="1"/>
    <col min="6" max="9" width="9.140625" style="14" customWidth="1"/>
    <col min="10" max="16384" width="9.140625" style="15" customWidth="1"/>
  </cols>
  <sheetData>
    <row r="1" spans="1:6" s="5" customFormat="1" ht="22.5" customHeight="1">
      <c r="A1" s="3"/>
      <c r="B1" s="3"/>
      <c r="C1" s="3"/>
      <c r="D1" s="4" t="s">
        <v>29</v>
      </c>
      <c r="E1" s="35"/>
      <c r="F1" s="11"/>
    </row>
    <row r="2" spans="1:5" s="5" customFormat="1" ht="48" customHeight="1">
      <c r="A2" s="185" t="s">
        <v>28</v>
      </c>
      <c r="B2" s="185"/>
      <c r="C2" s="185"/>
      <c r="D2" s="185"/>
      <c r="E2" s="36"/>
    </row>
    <row r="3" spans="1:5" s="5" customFormat="1" ht="19.5" customHeight="1" thickBot="1">
      <c r="A3" s="3"/>
      <c r="B3" s="3"/>
      <c r="C3" s="6"/>
      <c r="D3" s="4" t="s">
        <v>10</v>
      </c>
      <c r="E3" s="36"/>
    </row>
    <row r="4" spans="1:5" s="42" customFormat="1" ht="57.75" customHeight="1">
      <c r="A4" s="43" t="s">
        <v>5</v>
      </c>
      <c r="B4" s="20" t="s">
        <v>7</v>
      </c>
      <c r="C4" s="186" t="s">
        <v>9</v>
      </c>
      <c r="D4" s="188" t="s">
        <v>11</v>
      </c>
      <c r="E4" s="35"/>
    </row>
    <row r="5" spans="1:5" s="42" customFormat="1" ht="63.75" customHeight="1" thickBot="1">
      <c r="A5" s="44" t="s">
        <v>6</v>
      </c>
      <c r="B5" s="30" t="s">
        <v>8</v>
      </c>
      <c r="C5" s="187"/>
      <c r="D5" s="189"/>
      <c r="E5" s="35"/>
    </row>
    <row r="6" spans="1:5" s="42" customFormat="1" ht="21" customHeight="1" thickBot="1">
      <c r="A6" s="45">
        <v>1</v>
      </c>
      <c r="B6" s="46">
        <v>2</v>
      </c>
      <c r="C6" s="46">
        <v>3</v>
      </c>
      <c r="D6" s="47">
        <v>4</v>
      </c>
      <c r="E6" s="41"/>
    </row>
    <row r="7" spans="1:5" s="42" customFormat="1" ht="25.5" customHeight="1">
      <c r="A7" s="31"/>
      <c r="B7" s="32" t="s">
        <v>14</v>
      </c>
      <c r="C7" s="33"/>
      <c r="D7" s="34">
        <f>SUM(D8+D11+D17+D22+D27+D29+D31+D37+D40+D42+D44+D46+D50+D52+D54+D48)</f>
        <v>52093.242</v>
      </c>
      <c r="E7" s="35"/>
    </row>
    <row r="8" spans="1:15" ht="25.5" customHeight="1">
      <c r="A8" s="21" t="s">
        <v>74</v>
      </c>
      <c r="B8" s="12" t="s">
        <v>176</v>
      </c>
      <c r="C8" s="12"/>
      <c r="D8" s="22">
        <f>SUM(D9:D10)</f>
        <v>603.281</v>
      </c>
      <c r="E8" s="37"/>
      <c r="F8" s="13"/>
      <c r="H8" s="40"/>
      <c r="I8" s="40"/>
      <c r="J8" s="40"/>
      <c r="K8" s="40"/>
      <c r="L8" s="40"/>
      <c r="M8" s="40"/>
      <c r="N8" s="5"/>
      <c r="O8" s="7"/>
    </row>
    <row r="9" spans="1:15" ht="25.5" customHeight="1">
      <c r="A9" s="23" t="s">
        <v>20</v>
      </c>
      <c r="B9" s="2" t="s">
        <v>21</v>
      </c>
      <c r="C9" s="16" t="s">
        <v>107</v>
      </c>
      <c r="D9" s="24">
        <v>459.625</v>
      </c>
      <c r="E9" s="38"/>
      <c r="F9" s="17"/>
      <c r="H9" s="40"/>
      <c r="I9" s="40"/>
      <c r="J9" s="40"/>
      <c r="K9" s="40"/>
      <c r="L9" s="40"/>
      <c r="M9" s="40"/>
      <c r="N9" s="5"/>
      <c r="O9" s="7"/>
    </row>
    <row r="10" spans="1:15" ht="25.5" customHeight="1">
      <c r="A10" s="25">
        <v>250404</v>
      </c>
      <c r="B10" s="16" t="s">
        <v>129</v>
      </c>
      <c r="C10" s="16" t="s">
        <v>107</v>
      </c>
      <c r="D10" s="24">
        <v>143.656</v>
      </c>
      <c r="E10" s="38"/>
      <c r="F10" s="17"/>
      <c r="H10" s="40"/>
      <c r="I10" s="40"/>
      <c r="J10" s="40"/>
      <c r="K10" s="40"/>
      <c r="L10" s="40"/>
      <c r="M10" s="40"/>
      <c r="N10" s="5"/>
      <c r="O10" s="7"/>
    </row>
    <row r="11" spans="1:15" ht="37.5">
      <c r="A11" s="21">
        <v>10</v>
      </c>
      <c r="B11" s="12" t="s">
        <v>17</v>
      </c>
      <c r="C11" s="12"/>
      <c r="D11" s="22">
        <f>SUM(D12:D16)</f>
        <v>3329.5109999999995</v>
      </c>
      <c r="E11" s="37"/>
      <c r="F11" s="13"/>
      <c r="H11" s="40"/>
      <c r="I11" s="40"/>
      <c r="J11" s="40"/>
      <c r="K11" s="40"/>
      <c r="L11" s="40"/>
      <c r="M11" s="40"/>
      <c r="N11" s="5"/>
      <c r="O11" s="7"/>
    </row>
    <row r="12" spans="1:15" ht="25.5" customHeight="1">
      <c r="A12" s="23" t="s">
        <v>108</v>
      </c>
      <c r="B12" s="2" t="s">
        <v>130</v>
      </c>
      <c r="C12" s="16" t="s">
        <v>107</v>
      </c>
      <c r="D12" s="24">
        <v>572.902</v>
      </c>
      <c r="E12" s="38"/>
      <c r="F12" s="17"/>
      <c r="H12" s="40"/>
      <c r="I12" s="40"/>
      <c r="J12" s="40"/>
      <c r="K12" s="40"/>
      <c r="L12" s="40"/>
      <c r="M12" s="40"/>
      <c r="N12" s="5"/>
      <c r="O12" s="7"/>
    </row>
    <row r="13" spans="1:15" ht="76.5" customHeight="1">
      <c r="A13" s="23" t="s">
        <v>18</v>
      </c>
      <c r="B13" s="1" t="s">
        <v>19</v>
      </c>
      <c r="C13" s="16" t="s">
        <v>107</v>
      </c>
      <c r="D13" s="24">
        <v>2269.912</v>
      </c>
      <c r="E13" s="38"/>
      <c r="F13" s="17"/>
      <c r="H13" s="40"/>
      <c r="I13" s="40"/>
      <c r="J13" s="40"/>
      <c r="K13" s="40"/>
      <c r="L13" s="40"/>
      <c r="M13" s="40"/>
      <c r="N13" s="5"/>
      <c r="O13" s="7"/>
    </row>
    <row r="14" spans="1:16" ht="25.5" customHeight="1">
      <c r="A14" s="23" t="s">
        <v>109</v>
      </c>
      <c r="B14" s="16" t="s">
        <v>140</v>
      </c>
      <c r="C14" s="16" t="s">
        <v>107</v>
      </c>
      <c r="D14" s="24">
        <v>4.2</v>
      </c>
      <c r="E14" s="38"/>
      <c r="F14" s="17"/>
      <c r="H14" s="40"/>
      <c r="I14" s="40"/>
      <c r="J14" s="40"/>
      <c r="K14" s="40"/>
      <c r="L14" s="40"/>
      <c r="M14" s="40"/>
      <c r="N14" s="5"/>
      <c r="O14" s="7"/>
      <c r="P14" s="5"/>
    </row>
    <row r="15" spans="1:16" ht="37.5">
      <c r="A15" s="23" t="s">
        <v>110</v>
      </c>
      <c r="B15" s="1" t="s">
        <v>181</v>
      </c>
      <c r="C15" s="16" t="s">
        <v>107</v>
      </c>
      <c r="D15" s="24">
        <v>460.497</v>
      </c>
      <c r="E15" s="38"/>
      <c r="F15" s="17"/>
      <c r="H15" s="40"/>
      <c r="I15" s="40"/>
      <c r="J15" s="40"/>
      <c r="K15" s="40"/>
      <c r="L15" s="40"/>
      <c r="M15" s="40"/>
      <c r="N15" s="5"/>
      <c r="O15" s="7"/>
      <c r="P15" s="5"/>
    </row>
    <row r="16" spans="1:16" ht="56.25">
      <c r="A16" s="23" t="s">
        <v>111</v>
      </c>
      <c r="B16" s="1" t="s">
        <v>139</v>
      </c>
      <c r="C16" s="16" t="s">
        <v>107</v>
      </c>
      <c r="D16" s="24">
        <v>22</v>
      </c>
      <c r="E16" s="38"/>
      <c r="F16" s="17"/>
      <c r="H16" s="40"/>
      <c r="I16" s="40"/>
      <c r="J16" s="40"/>
      <c r="K16" s="40"/>
      <c r="L16" s="40"/>
      <c r="M16" s="40"/>
      <c r="N16" s="5"/>
      <c r="O16" s="7"/>
      <c r="P16" s="5"/>
    </row>
    <row r="17" spans="1:16" ht="37.5">
      <c r="A17" s="21">
        <v>14</v>
      </c>
      <c r="B17" s="12" t="s">
        <v>183</v>
      </c>
      <c r="C17" s="12"/>
      <c r="D17" s="22">
        <f>SUM(D18:D21)</f>
        <v>3690.7369999999996</v>
      </c>
      <c r="E17" s="37"/>
      <c r="F17" s="13"/>
      <c r="H17" s="40"/>
      <c r="I17" s="40"/>
      <c r="J17" s="40"/>
      <c r="K17" s="40"/>
      <c r="L17" s="40"/>
      <c r="M17" s="40"/>
      <c r="N17" s="5"/>
      <c r="O17" s="7"/>
      <c r="P17" s="5"/>
    </row>
    <row r="18" spans="1:16" ht="25.5" customHeight="1">
      <c r="A18" s="23" t="s">
        <v>22</v>
      </c>
      <c r="B18" s="2" t="s">
        <v>132</v>
      </c>
      <c r="C18" s="16" t="s">
        <v>107</v>
      </c>
      <c r="D18" s="24">
        <v>3091.669</v>
      </c>
      <c r="E18" s="38"/>
      <c r="F18" s="17"/>
      <c r="H18" s="40"/>
      <c r="I18" s="40"/>
      <c r="J18" s="40"/>
      <c r="K18" s="40"/>
      <c r="L18" s="40"/>
      <c r="M18" s="40"/>
      <c r="N18" s="5"/>
      <c r="O18" s="7"/>
      <c r="P18" s="5"/>
    </row>
    <row r="19" spans="1:16" ht="25.5" customHeight="1">
      <c r="A19" s="23" t="s">
        <v>112</v>
      </c>
      <c r="B19" s="1" t="s">
        <v>133</v>
      </c>
      <c r="C19" s="16" t="s">
        <v>107</v>
      </c>
      <c r="D19" s="24">
        <v>43</v>
      </c>
      <c r="E19" s="38"/>
      <c r="F19" s="17"/>
      <c r="H19" s="40"/>
      <c r="I19" s="40"/>
      <c r="J19" s="40"/>
      <c r="K19" s="40"/>
      <c r="L19" s="40"/>
      <c r="M19" s="40"/>
      <c r="N19" s="5"/>
      <c r="O19" s="7"/>
      <c r="P19" s="5"/>
    </row>
    <row r="20" spans="1:16" ht="75">
      <c r="A20" s="23" t="s">
        <v>113</v>
      </c>
      <c r="B20" s="1" t="s">
        <v>134</v>
      </c>
      <c r="C20" s="16" t="s">
        <v>107</v>
      </c>
      <c r="D20" s="24">
        <v>536.16</v>
      </c>
      <c r="E20" s="38"/>
      <c r="F20" s="17"/>
      <c r="H20" s="40"/>
      <c r="I20" s="40"/>
      <c r="J20" s="40"/>
      <c r="K20" s="40"/>
      <c r="L20" s="40"/>
      <c r="M20" s="40"/>
      <c r="N20" s="5"/>
      <c r="O20" s="7"/>
      <c r="P20" s="5"/>
    </row>
    <row r="21" spans="1:16" ht="25.5" customHeight="1">
      <c r="A21" s="23" t="s">
        <v>114</v>
      </c>
      <c r="B21" s="1" t="s">
        <v>131</v>
      </c>
      <c r="C21" s="16" t="s">
        <v>107</v>
      </c>
      <c r="D21" s="24">
        <v>19.908</v>
      </c>
      <c r="E21" s="38"/>
      <c r="F21" s="17"/>
      <c r="H21" s="40"/>
      <c r="I21" s="40"/>
      <c r="J21" s="40"/>
      <c r="K21" s="40"/>
      <c r="L21" s="40"/>
      <c r="M21" s="40"/>
      <c r="N21" s="5"/>
      <c r="O21" s="7"/>
      <c r="P21" s="5"/>
    </row>
    <row r="22" spans="1:16" ht="42" customHeight="1">
      <c r="A22" s="21">
        <v>15</v>
      </c>
      <c r="B22" s="12" t="s">
        <v>69</v>
      </c>
      <c r="C22" s="12"/>
      <c r="D22" s="22">
        <f>SUM(D23:D25)</f>
        <v>113.624</v>
      </c>
      <c r="E22" s="37"/>
      <c r="F22" s="13"/>
      <c r="H22" s="40"/>
      <c r="I22" s="40"/>
      <c r="J22" s="40"/>
      <c r="K22" s="40"/>
      <c r="L22" s="40"/>
      <c r="M22" s="40"/>
      <c r="N22" s="5"/>
      <c r="O22" s="7"/>
      <c r="P22" s="5"/>
    </row>
    <row r="23" spans="1:16" ht="61.5" customHeight="1">
      <c r="A23" s="23" t="s">
        <v>116</v>
      </c>
      <c r="B23" s="1" t="s">
        <v>135</v>
      </c>
      <c r="C23" s="16" t="s">
        <v>107</v>
      </c>
      <c r="D23" s="24">
        <v>8.4</v>
      </c>
      <c r="E23" s="38"/>
      <c r="F23" s="17"/>
      <c r="H23" s="40"/>
      <c r="I23" s="40"/>
      <c r="J23" s="40"/>
      <c r="K23" s="40"/>
      <c r="L23" s="40"/>
      <c r="M23" s="40"/>
      <c r="N23" s="5"/>
      <c r="O23" s="7"/>
      <c r="P23" s="5"/>
    </row>
    <row r="24" spans="1:16" ht="37.5">
      <c r="A24" s="23" t="s">
        <v>20</v>
      </c>
      <c r="B24" s="2" t="s">
        <v>21</v>
      </c>
      <c r="C24" s="16" t="s">
        <v>107</v>
      </c>
      <c r="D24" s="24">
        <v>79.642</v>
      </c>
      <c r="E24" s="38"/>
      <c r="F24" s="17"/>
      <c r="H24" s="40"/>
      <c r="I24" s="40"/>
      <c r="J24" s="40"/>
      <c r="K24" s="40"/>
      <c r="L24" s="40"/>
      <c r="M24" s="40"/>
      <c r="N24" s="5"/>
      <c r="O24" s="7"/>
      <c r="P24" s="5"/>
    </row>
    <row r="25" spans="1:16" ht="276.75" customHeight="1">
      <c r="A25" s="23" t="s">
        <v>115</v>
      </c>
      <c r="B25" s="48" t="s">
        <v>184</v>
      </c>
      <c r="C25" s="16" t="s">
        <v>107</v>
      </c>
      <c r="D25" s="24">
        <v>25.582</v>
      </c>
      <c r="E25" s="38"/>
      <c r="F25" s="17"/>
      <c r="H25" s="40"/>
      <c r="I25" s="40"/>
      <c r="J25" s="40"/>
      <c r="K25" s="40"/>
      <c r="L25" s="40"/>
      <c r="M25" s="40"/>
      <c r="N25" s="5"/>
      <c r="O25" s="7"/>
      <c r="P25" s="5"/>
    </row>
    <row r="26" spans="1:16" ht="336.75" customHeight="1">
      <c r="A26" s="23"/>
      <c r="B26" s="49" t="s">
        <v>185</v>
      </c>
      <c r="C26" s="16"/>
      <c r="D26" s="24">
        <v>25.582</v>
      </c>
      <c r="E26" s="38"/>
      <c r="F26" s="17"/>
      <c r="H26" s="40"/>
      <c r="I26" s="40"/>
      <c r="J26" s="40"/>
      <c r="K26" s="40"/>
      <c r="L26" s="40"/>
      <c r="M26" s="40"/>
      <c r="N26" s="5"/>
      <c r="O26" s="7"/>
      <c r="P26" s="5"/>
    </row>
    <row r="27" spans="1:16" ht="42" customHeight="1">
      <c r="A27" s="21">
        <v>20</v>
      </c>
      <c r="B27" s="12" t="s">
        <v>23</v>
      </c>
      <c r="C27" s="12"/>
      <c r="D27" s="22">
        <f>SUM(D28)</f>
        <v>16.17</v>
      </c>
      <c r="E27" s="37"/>
      <c r="F27" s="13"/>
      <c r="H27" s="41"/>
      <c r="I27" s="41"/>
      <c r="J27" s="41"/>
      <c r="K27" s="41"/>
      <c r="L27" s="41"/>
      <c r="M27" s="41"/>
      <c r="N27" s="42"/>
      <c r="O27" s="8"/>
      <c r="P27" s="42"/>
    </row>
    <row r="28" spans="1:16" ht="25.5" customHeight="1">
      <c r="A28" s="23" t="s">
        <v>20</v>
      </c>
      <c r="B28" s="2" t="s">
        <v>21</v>
      </c>
      <c r="C28" s="16" t="s">
        <v>107</v>
      </c>
      <c r="D28" s="24">
        <v>16.17</v>
      </c>
      <c r="E28" s="38"/>
      <c r="F28" s="17"/>
      <c r="H28" s="41"/>
      <c r="I28" s="41"/>
      <c r="J28" s="41"/>
      <c r="K28" s="41"/>
      <c r="L28" s="41"/>
      <c r="M28" s="41"/>
      <c r="N28" s="42"/>
      <c r="O28" s="8"/>
      <c r="P28" s="42"/>
    </row>
    <row r="29" spans="1:16" ht="57.75" customHeight="1">
      <c r="A29" s="21">
        <v>23</v>
      </c>
      <c r="B29" s="12" t="s">
        <v>117</v>
      </c>
      <c r="C29" s="12"/>
      <c r="D29" s="22">
        <f>SUM(D30)</f>
        <v>5.254</v>
      </c>
      <c r="E29" s="37"/>
      <c r="F29" s="13"/>
      <c r="H29" s="41"/>
      <c r="I29" s="41"/>
      <c r="J29" s="41"/>
      <c r="K29" s="41"/>
      <c r="L29" s="41"/>
      <c r="M29" s="41"/>
      <c r="N29" s="42"/>
      <c r="O29" s="8"/>
      <c r="P29" s="42"/>
    </row>
    <row r="30" spans="1:16" ht="25.5" customHeight="1">
      <c r="A30" s="23" t="s">
        <v>20</v>
      </c>
      <c r="B30" s="2" t="s">
        <v>21</v>
      </c>
      <c r="C30" s="16" t="s">
        <v>107</v>
      </c>
      <c r="D30" s="24">
        <v>5.254</v>
      </c>
      <c r="E30" s="38"/>
      <c r="F30" s="17"/>
      <c r="H30" s="41"/>
      <c r="I30" s="41"/>
      <c r="J30" s="41"/>
      <c r="K30" s="41"/>
      <c r="L30" s="41"/>
      <c r="M30" s="41"/>
      <c r="N30" s="42"/>
      <c r="O30" s="8"/>
      <c r="P30" s="42"/>
    </row>
    <row r="31" spans="1:16" ht="45" customHeight="1">
      <c r="A31" s="21">
        <v>24</v>
      </c>
      <c r="B31" s="12" t="s">
        <v>24</v>
      </c>
      <c r="C31" s="12"/>
      <c r="D31" s="22">
        <f>SUM(D32:D36)</f>
        <v>3640.981</v>
      </c>
      <c r="E31" s="37"/>
      <c r="F31" s="13"/>
      <c r="H31" s="40"/>
      <c r="I31" s="40"/>
      <c r="J31" s="40"/>
      <c r="K31" s="40"/>
      <c r="L31" s="40"/>
      <c r="M31" s="40"/>
      <c r="N31" s="5"/>
      <c r="O31" s="7"/>
      <c r="P31" s="5"/>
    </row>
    <row r="32" spans="1:15" ht="25.5" customHeight="1">
      <c r="A32" s="23" t="s">
        <v>118</v>
      </c>
      <c r="B32" s="2" t="s">
        <v>138</v>
      </c>
      <c r="C32" s="16" t="s">
        <v>107</v>
      </c>
      <c r="D32" s="24">
        <v>1306.673</v>
      </c>
      <c r="E32" s="38"/>
      <c r="F32" s="17"/>
      <c r="H32" s="40"/>
      <c r="I32" s="40"/>
      <c r="J32" s="40"/>
      <c r="K32" s="40"/>
      <c r="L32" s="40"/>
      <c r="M32" s="40"/>
      <c r="N32" s="5"/>
      <c r="O32" s="7"/>
    </row>
    <row r="33" spans="1:15" ht="25.5" customHeight="1">
      <c r="A33" s="23" t="s">
        <v>119</v>
      </c>
      <c r="B33" s="2" t="s">
        <v>136</v>
      </c>
      <c r="C33" s="16" t="s">
        <v>107</v>
      </c>
      <c r="D33" s="24">
        <v>1511.681</v>
      </c>
      <c r="E33" s="38"/>
      <c r="F33" s="17"/>
      <c r="H33" s="40"/>
      <c r="I33" s="40"/>
      <c r="J33" s="40"/>
      <c r="K33" s="40"/>
      <c r="L33" s="40"/>
      <c r="M33" s="40"/>
      <c r="N33" s="5"/>
      <c r="O33" s="7"/>
    </row>
    <row r="34" spans="1:15" ht="37.5">
      <c r="A34" s="23" t="s">
        <v>120</v>
      </c>
      <c r="B34" s="2" t="s">
        <v>137</v>
      </c>
      <c r="C34" s="16" t="s">
        <v>107</v>
      </c>
      <c r="D34" s="24">
        <v>509.116</v>
      </c>
      <c r="E34" s="38"/>
      <c r="F34" s="17"/>
      <c r="H34" s="40"/>
      <c r="I34" s="40"/>
      <c r="J34" s="40"/>
      <c r="K34" s="40"/>
      <c r="L34" s="40"/>
      <c r="M34" s="40"/>
      <c r="N34" s="5"/>
      <c r="O34" s="7"/>
    </row>
    <row r="35" spans="1:15" ht="25.5" customHeight="1">
      <c r="A35" s="23" t="s">
        <v>121</v>
      </c>
      <c r="B35" s="16" t="s">
        <v>182</v>
      </c>
      <c r="C35" s="16" t="s">
        <v>107</v>
      </c>
      <c r="D35" s="24">
        <v>206.788</v>
      </c>
      <c r="E35" s="38"/>
      <c r="F35" s="17"/>
      <c r="H35" s="40"/>
      <c r="I35" s="40"/>
      <c r="J35" s="40"/>
      <c r="K35" s="40"/>
      <c r="L35" s="40"/>
      <c r="M35" s="40"/>
      <c r="N35" s="5"/>
      <c r="O35" s="7"/>
    </row>
    <row r="36" spans="1:15" ht="25.5" customHeight="1">
      <c r="A36" s="23" t="s">
        <v>122</v>
      </c>
      <c r="B36" s="16" t="s">
        <v>141</v>
      </c>
      <c r="C36" s="16" t="s">
        <v>107</v>
      </c>
      <c r="D36" s="24">
        <v>106.723</v>
      </c>
      <c r="E36" s="38"/>
      <c r="F36" s="17"/>
      <c r="H36" s="40"/>
      <c r="I36" s="40"/>
      <c r="J36" s="40"/>
      <c r="K36" s="40"/>
      <c r="L36" s="40"/>
      <c r="M36" s="40"/>
      <c r="N36" s="5"/>
      <c r="O36" s="7"/>
    </row>
    <row r="37" spans="1:15" ht="58.5" customHeight="1">
      <c r="A37" s="21">
        <v>40</v>
      </c>
      <c r="B37" s="12" t="s">
        <v>25</v>
      </c>
      <c r="C37" s="12"/>
      <c r="D37" s="22">
        <f>SUM(D38:D39)</f>
        <v>35779.964</v>
      </c>
      <c r="E37" s="37"/>
      <c r="F37" s="13"/>
      <c r="H37" s="40"/>
      <c r="I37" s="40"/>
      <c r="J37" s="40"/>
      <c r="K37" s="40"/>
      <c r="L37" s="40"/>
      <c r="M37" s="40"/>
      <c r="N37" s="5"/>
      <c r="O37" s="7"/>
    </row>
    <row r="38" spans="1:15" ht="45.75" customHeight="1">
      <c r="A38" s="23" t="s">
        <v>26</v>
      </c>
      <c r="B38" s="2" t="s">
        <v>187</v>
      </c>
      <c r="C38" s="16" t="s">
        <v>107</v>
      </c>
      <c r="D38" s="24">
        <v>35558.964</v>
      </c>
      <c r="E38" s="38"/>
      <c r="F38" s="17"/>
      <c r="H38" s="40"/>
      <c r="I38" s="40"/>
      <c r="J38" s="40"/>
      <c r="K38" s="40"/>
      <c r="L38" s="40"/>
      <c r="M38" s="40"/>
      <c r="N38" s="5"/>
      <c r="O38" s="7"/>
    </row>
    <row r="39" spans="1:15" ht="25.5" customHeight="1">
      <c r="A39" s="23" t="s">
        <v>123</v>
      </c>
      <c r="B39" s="2" t="s">
        <v>129</v>
      </c>
      <c r="C39" s="16" t="s">
        <v>107</v>
      </c>
      <c r="D39" s="24">
        <v>221</v>
      </c>
      <c r="E39" s="38"/>
      <c r="F39" s="17"/>
      <c r="H39" s="40"/>
      <c r="I39" s="40"/>
      <c r="J39" s="40"/>
      <c r="K39" s="40"/>
      <c r="L39" s="40"/>
      <c r="M39" s="40"/>
      <c r="N39" s="5"/>
      <c r="O39" s="7"/>
    </row>
    <row r="40" spans="1:15" ht="60" customHeight="1">
      <c r="A40" s="21">
        <v>41</v>
      </c>
      <c r="B40" s="12" t="s">
        <v>35</v>
      </c>
      <c r="C40" s="12" t="s">
        <v>36</v>
      </c>
      <c r="D40" s="22">
        <f>SUM(D41)</f>
        <v>1936.616</v>
      </c>
      <c r="E40" s="37"/>
      <c r="F40" s="13"/>
      <c r="H40" s="40"/>
      <c r="I40" s="40"/>
      <c r="J40" s="40"/>
      <c r="K40" s="40"/>
      <c r="L40" s="40"/>
      <c r="M40" s="40"/>
      <c r="N40" s="9"/>
      <c r="O40" s="7"/>
    </row>
    <row r="41" spans="1:15" ht="25.5" customHeight="1">
      <c r="A41" s="23" t="s">
        <v>27</v>
      </c>
      <c r="B41" s="1" t="s">
        <v>188</v>
      </c>
      <c r="C41" s="16" t="s">
        <v>107</v>
      </c>
      <c r="D41" s="24">
        <v>1936.616</v>
      </c>
      <c r="E41" s="38"/>
      <c r="F41" s="17"/>
      <c r="H41" s="40"/>
      <c r="I41" s="40"/>
      <c r="J41" s="40"/>
      <c r="K41" s="40"/>
      <c r="L41" s="40"/>
      <c r="M41" s="40"/>
      <c r="N41" s="9"/>
      <c r="O41" s="7"/>
    </row>
    <row r="42" spans="1:15" ht="63.75" customHeight="1">
      <c r="A42" s="21">
        <v>65</v>
      </c>
      <c r="B42" s="12" t="s">
        <v>124</v>
      </c>
      <c r="C42" s="12"/>
      <c r="D42" s="22">
        <f>SUM(D43)</f>
        <v>98.9</v>
      </c>
      <c r="E42" s="37"/>
      <c r="F42" s="13"/>
      <c r="H42" s="40"/>
      <c r="I42" s="40"/>
      <c r="J42" s="40"/>
      <c r="K42" s="5"/>
      <c r="L42" s="5"/>
      <c r="M42" s="5"/>
      <c r="N42" s="5"/>
      <c r="O42" s="5"/>
    </row>
    <row r="43" spans="1:15" ht="25.5" customHeight="1">
      <c r="A43" s="25">
        <v>120100</v>
      </c>
      <c r="B43" s="16" t="s">
        <v>142</v>
      </c>
      <c r="C43" s="16" t="s">
        <v>107</v>
      </c>
      <c r="D43" s="24">
        <v>98.9</v>
      </c>
      <c r="E43" s="38"/>
      <c r="F43" s="17"/>
      <c r="H43" s="40"/>
      <c r="I43" s="40"/>
      <c r="J43" s="40"/>
      <c r="K43" s="5"/>
      <c r="L43" s="5"/>
      <c r="M43" s="5"/>
      <c r="N43" s="5"/>
      <c r="O43" s="5"/>
    </row>
    <row r="44" spans="1:15" ht="45.75" customHeight="1">
      <c r="A44" s="26">
        <v>73</v>
      </c>
      <c r="B44" s="12" t="s">
        <v>3</v>
      </c>
      <c r="C44" s="12"/>
      <c r="D44" s="22">
        <f>SUM(D45)</f>
        <v>6.5</v>
      </c>
      <c r="E44" s="37"/>
      <c r="F44" s="13"/>
      <c r="G44" s="15"/>
      <c r="H44" s="40"/>
      <c r="I44" s="40"/>
      <c r="J44" s="40"/>
      <c r="K44" s="40"/>
      <c r="L44" s="40"/>
      <c r="M44" s="40"/>
      <c r="N44" s="5"/>
      <c r="O44" s="7"/>
    </row>
    <row r="45" spans="1:15" ht="25.5" customHeight="1">
      <c r="A45" s="23" t="s">
        <v>20</v>
      </c>
      <c r="B45" s="2" t="s">
        <v>21</v>
      </c>
      <c r="C45" s="16" t="s">
        <v>107</v>
      </c>
      <c r="D45" s="24">
        <v>6.5</v>
      </c>
      <c r="E45" s="38"/>
      <c r="F45" s="17"/>
      <c r="G45" s="15"/>
      <c r="H45" s="40"/>
      <c r="I45" s="40"/>
      <c r="J45" s="40"/>
      <c r="K45" s="40"/>
      <c r="L45" s="40"/>
      <c r="M45" s="40"/>
      <c r="N45" s="5"/>
      <c r="O45" s="7"/>
    </row>
    <row r="46" spans="1:16" ht="56.25">
      <c r="A46" s="26" t="s">
        <v>125</v>
      </c>
      <c r="B46" s="12" t="s">
        <v>126</v>
      </c>
      <c r="C46" s="12"/>
      <c r="D46" s="22">
        <f>SUM(D47)</f>
        <v>2766.704</v>
      </c>
      <c r="E46" s="37"/>
      <c r="F46" s="13"/>
      <c r="H46" s="41"/>
      <c r="I46" s="41"/>
      <c r="J46" s="41"/>
      <c r="K46" s="41"/>
      <c r="L46" s="41"/>
      <c r="M46" s="41"/>
      <c r="N46" s="41"/>
      <c r="O46" s="42"/>
      <c r="P46" s="8"/>
    </row>
    <row r="47" spans="1:16" ht="75">
      <c r="A47" s="25">
        <v>250344</v>
      </c>
      <c r="B47" s="16" t="s">
        <v>143</v>
      </c>
      <c r="C47" s="16" t="s">
        <v>107</v>
      </c>
      <c r="D47" s="24">
        <v>2766.704</v>
      </c>
      <c r="E47" s="38"/>
      <c r="F47" s="17"/>
      <c r="H47" s="41"/>
      <c r="I47" s="41"/>
      <c r="J47" s="41"/>
      <c r="K47" s="41"/>
      <c r="L47" s="41"/>
      <c r="M47" s="41"/>
      <c r="N47" s="41"/>
      <c r="O47" s="42"/>
      <c r="P47" s="8"/>
    </row>
    <row r="48" spans="1:16" ht="46.5" customHeight="1">
      <c r="A48" s="21">
        <v>90</v>
      </c>
      <c r="B48" s="12" t="s">
        <v>204</v>
      </c>
      <c r="C48" s="12"/>
      <c r="D48" s="22">
        <f>SUM(D49)</f>
        <v>30</v>
      </c>
      <c r="E48" s="37"/>
      <c r="F48" s="13"/>
      <c r="H48" s="40"/>
      <c r="I48" s="5"/>
      <c r="J48" s="5"/>
      <c r="K48" s="5"/>
      <c r="L48" s="5"/>
      <c r="M48" s="5"/>
      <c r="N48" s="5"/>
      <c r="O48" s="5"/>
      <c r="P48" s="5"/>
    </row>
    <row r="49" spans="1:16" ht="25.5" customHeight="1">
      <c r="A49" s="23" t="s">
        <v>27</v>
      </c>
      <c r="B49" s="1" t="s">
        <v>188</v>
      </c>
      <c r="C49" s="18" t="s">
        <v>107</v>
      </c>
      <c r="D49" s="24">
        <v>30</v>
      </c>
      <c r="E49" s="38"/>
      <c r="F49" s="19"/>
      <c r="H49" s="40"/>
      <c r="I49" s="5"/>
      <c r="J49" s="5"/>
      <c r="K49" s="5"/>
      <c r="L49" s="5"/>
      <c r="M49" s="5"/>
      <c r="N49" s="5"/>
      <c r="O49" s="5"/>
      <c r="P49" s="5"/>
    </row>
    <row r="50" spans="1:16" ht="63" customHeight="1">
      <c r="A50" s="21">
        <v>92</v>
      </c>
      <c r="B50" s="12" t="s">
        <v>89</v>
      </c>
      <c r="C50" s="12"/>
      <c r="D50" s="22">
        <f>SUM(D51)</f>
        <v>39</v>
      </c>
      <c r="E50" s="37"/>
      <c r="F50" s="13"/>
      <c r="H50" s="40"/>
      <c r="I50" s="5"/>
      <c r="J50" s="5"/>
      <c r="K50" s="5"/>
      <c r="L50" s="5"/>
      <c r="M50" s="5"/>
      <c r="N50" s="5"/>
      <c r="O50" s="5"/>
      <c r="P50" s="5"/>
    </row>
    <row r="51" spans="1:16" ht="25.5" customHeight="1">
      <c r="A51" s="23" t="s">
        <v>27</v>
      </c>
      <c r="B51" s="1" t="s">
        <v>188</v>
      </c>
      <c r="C51" s="18" t="s">
        <v>107</v>
      </c>
      <c r="D51" s="24">
        <v>39</v>
      </c>
      <c r="E51" s="38"/>
      <c r="F51" s="19"/>
      <c r="H51" s="40"/>
      <c r="I51" s="5"/>
      <c r="J51" s="5"/>
      <c r="K51" s="5"/>
      <c r="L51" s="5"/>
      <c r="M51" s="5"/>
      <c r="N51" s="5"/>
      <c r="O51" s="5"/>
      <c r="P51" s="5"/>
    </row>
    <row r="52" spans="1:16" ht="46.5" customHeight="1">
      <c r="A52" s="21">
        <v>93</v>
      </c>
      <c r="B52" s="12" t="s">
        <v>88</v>
      </c>
      <c r="C52" s="12"/>
      <c r="D52" s="22">
        <f>SUM(D53)</f>
        <v>13</v>
      </c>
      <c r="E52" s="37"/>
      <c r="F52" s="13"/>
      <c r="H52" s="40"/>
      <c r="I52" s="5"/>
      <c r="J52" s="5"/>
      <c r="K52" s="5"/>
      <c r="L52" s="5"/>
      <c r="M52" s="5"/>
      <c r="N52" s="5"/>
      <c r="O52" s="5"/>
      <c r="P52" s="5"/>
    </row>
    <row r="53" spans="1:16" ht="25.5" customHeight="1">
      <c r="A53" s="23" t="s">
        <v>27</v>
      </c>
      <c r="B53" s="1" t="s">
        <v>188</v>
      </c>
      <c r="C53" s="18" t="s">
        <v>107</v>
      </c>
      <c r="D53" s="24">
        <v>13</v>
      </c>
      <c r="E53" s="38"/>
      <c r="F53" s="19"/>
      <c r="H53" s="40"/>
      <c r="I53" s="5"/>
      <c r="J53" s="5"/>
      <c r="K53" s="5"/>
      <c r="L53" s="5"/>
      <c r="M53" s="5"/>
      <c r="N53" s="5"/>
      <c r="O53" s="5"/>
      <c r="P53" s="5"/>
    </row>
    <row r="54" spans="1:16" ht="47.25" customHeight="1">
      <c r="A54" s="21">
        <v>95</v>
      </c>
      <c r="B54" s="12" t="s">
        <v>127</v>
      </c>
      <c r="C54" s="12"/>
      <c r="D54" s="22">
        <f>SUM(D55)</f>
        <v>23</v>
      </c>
      <c r="E54" s="37"/>
      <c r="F54" s="13"/>
      <c r="H54" s="41"/>
      <c r="I54" s="41"/>
      <c r="J54" s="42"/>
      <c r="K54" s="42"/>
      <c r="L54" s="42"/>
      <c r="M54" s="42"/>
      <c r="N54" s="42"/>
      <c r="O54" s="42"/>
      <c r="P54" s="42"/>
    </row>
    <row r="55" spans="1:16" ht="25.5" customHeight="1" thickBot="1">
      <c r="A55" s="27" t="s">
        <v>27</v>
      </c>
      <c r="B55" s="50" t="s">
        <v>188</v>
      </c>
      <c r="C55" s="28" t="s">
        <v>107</v>
      </c>
      <c r="D55" s="29">
        <v>23</v>
      </c>
      <c r="E55" s="38"/>
      <c r="F55" s="19"/>
      <c r="H55" s="41"/>
      <c r="I55" s="41"/>
      <c r="J55" s="42"/>
      <c r="K55" s="42"/>
      <c r="L55" s="42"/>
      <c r="M55" s="42"/>
      <c r="N55" s="42"/>
      <c r="O55" s="42"/>
      <c r="P55" s="42"/>
    </row>
    <row r="56" spans="1:4" ht="46.5" customHeight="1">
      <c r="A56" s="192"/>
      <c r="B56" s="192"/>
      <c r="C56" s="192"/>
      <c r="D56" s="192"/>
    </row>
    <row r="57" spans="1:9" s="171" customFormat="1" ht="60" customHeight="1">
      <c r="A57" s="190" t="s">
        <v>205</v>
      </c>
      <c r="B57" s="190"/>
      <c r="C57" s="191" t="s">
        <v>206</v>
      </c>
      <c r="D57" s="191"/>
      <c r="E57" s="169"/>
      <c r="F57" s="170"/>
      <c r="G57" s="170"/>
      <c r="H57" s="170"/>
      <c r="I57" s="170"/>
    </row>
  </sheetData>
  <sheetProtection/>
  <mergeCells count="6">
    <mergeCell ref="A2:D2"/>
    <mergeCell ref="C4:C5"/>
    <mergeCell ref="D4:D5"/>
    <mergeCell ref="A57:B57"/>
    <mergeCell ref="C57:D57"/>
    <mergeCell ref="A56:D56"/>
  </mergeCells>
  <printOptions/>
  <pageMargins left="1.1811023622047245" right="0.35433070866141736" top="0.63" bottom="0.35433070866141736" header="0.4330708661417323" footer="0.31496062992125984"/>
  <pageSetup firstPageNumber="10" useFirstPageNumber="1" horizontalDpi="600" verticalDpi="600" orientation="portrait" paperSize="9" scale="83"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Совет</cp:lastModifiedBy>
  <cp:lastPrinted>2012-02-27T10:38:22Z</cp:lastPrinted>
  <dcterms:created xsi:type="dcterms:W3CDTF">2010-08-18T08:39:04Z</dcterms:created>
  <dcterms:modified xsi:type="dcterms:W3CDTF">2012-03-05T15:03:26Z</dcterms:modified>
  <cp:category/>
  <cp:version/>
  <cp:contentType/>
  <cp:contentStatus/>
</cp:coreProperties>
</file>