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10" windowWidth="11100" windowHeight="5835" tabRatio="601" activeTab="0"/>
  </bookViews>
  <sheets>
    <sheet name="Місто" sheetId="1" r:id="rId1"/>
    <sheet name="Лист1" sheetId="2" r:id="rId2"/>
  </sheets>
  <definedNames>
    <definedName name="_xlnm.Print_Area" localSheetId="0">'Місто'!$A$1:$M$461</definedName>
  </definedNames>
  <calcPr fullCalcOnLoad="1"/>
</workbook>
</file>

<file path=xl/sharedStrings.xml><?xml version="1.0" encoding="utf-8"?>
<sst xmlns="http://schemas.openxmlformats.org/spreadsheetml/2006/main" count="803" uniqueCount="364">
  <si>
    <t>в тому числі за рахунок субвенції з державного бюджету місцевим бюджетам на надання пільгта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прибудикових територій), вивезення побутового сміття та рідких нечистот</t>
  </si>
  <si>
    <t>в тому числі за рахунок субвенції з державного бюджету місцевим бюджетам на виплату допомоги сім'ям з дітьми, малозабезпеченим сім'ям, інвалідам з дитинства, дітям-інвалідам та тимчасової державної допомоги дітям</t>
  </si>
  <si>
    <t>в тому числі за рахунок субвенції з державного бюджету місцевим бюджетам на надання пільг з послуг зв'язку та інших передбачених законодавством пільг, в тому числі компенсації втрати частини доходів у зв'язку з відміною податку з власників транспортних засобів та відповідним збільшенням ставок акцизного податку з пального для фізичних осіб  (крім пільг на одержання ліків, зубопротезування,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та компенсацію за пільговий проїзд окремих категорій громадян</t>
  </si>
  <si>
    <t>Видатки на проведення робіт, пов'язаних із будівництвом, реконструкцією, ремонтом та утриманням автомобільних доріг</t>
  </si>
  <si>
    <t>Культура і мистецтво</t>
  </si>
  <si>
    <t xml:space="preserve">Видатки на запобігання та ліквідацію надзвичайних ситуацій та наслідків стихійного лиха </t>
  </si>
  <si>
    <t>Програма проведення в місті Запоріжжя Покровського ярмарку</t>
  </si>
  <si>
    <t>Компенсаційні виплати на пільговий проїзд автомобільним транспортом окремим категоріям громадян</t>
  </si>
  <si>
    <t>180107</t>
  </si>
  <si>
    <t>Фінансування енергозберігаючих заходів</t>
  </si>
  <si>
    <t>100105</t>
  </si>
  <si>
    <t>Видатки на утримання об'єктів соціальної сфери підприємств, що передаються до комунальної власності</t>
  </si>
  <si>
    <t xml:space="preserve">Допомога на догляд за дитиною віком до 3-х років </t>
  </si>
  <si>
    <t>090214</t>
  </si>
  <si>
    <t>Пільги окремим категоріям громадян з послуг зв'язку</t>
  </si>
  <si>
    <t>070303</t>
  </si>
  <si>
    <t>Дитячі будинки (в т.ч.сімейного типу, прийомні сім'ї)</t>
  </si>
  <si>
    <t>Відділ по роботі з документами дозвільного характеру міської ради</t>
  </si>
  <si>
    <t>Видатки загального фонду</t>
  </si>
  <si>
    <t>Видатки спеціального фонду</t>
  </si>
  <si>
    <t>Всього</t>
  </si>
  <si>
    <t>010116</t>
  </si>
  <si>
    <t>Органи місцевого самоврядування</t>
  </si>
  <si>
    <t>070000</t>
  </si>
  <si>
    <t>Освіта</t>
  </si>
  <si>
    <t>070201</t>
  </si>
  <si>
    <t>070401</t>
  </si>
  <si>
    <t>Позашкільні заклади освіти, заходи із позашкільної роботи з дітьми</t>
  </si>
  <si>
    <t>070802</t>
  </si>
  <si>
    <t>070804</t>
  </si>
  <si>
    <t>070805</t>
  </si>
  <si>
    <t>080000</t>
  </si>
  <si>
    <t>Охорона здоров'я</t>
  </si>
  <si>
    <t>080101</t>
  </si>
  <si>
    <t>Лікарні</t>
  </si>
  <si>
    <t>080300</t>
  </si>
  <si>
    <t>080500</t>
  </si>
  <si>
    <t>Загальні і спеціалізовані стоматологічні поліклініки</t>
  </si>
  <si>
    <t>080704</t>
  </si>
  <si>
    <t>081002</t>
  </si>
  <si>
    <t>081003</t>
  </si>
  <si>
    <t>081004</t>
  </si>
  <si>
    <t>Централізовані бухгалтерії</t>
  </si>
  <si>
    <t>090000</t>
  </si>
  <si>
    <t>090412</t>
  </si>
  <si>
    <t>091103</t>
  </si>
  <si>
    <t>091204</t>
  </si>
  <si>
    <t>110000</t>
  </si>
  <si>
    <t>Театри</t>
  </si>
  <si>
    <t>Бібліотеки</t>
  </si>
  <si>
    <t>Школи естетичного виховання дітей</t>
  </si>
  <si>
    <t xml:space="preserve">Інші культурно-освітні заклади та заходи </t>
  </si>
  <si>
    <t>Проведення навчально-тренувальних зборів і змагань</t>
  </si>
  <si>
    <t>Утримання та навчально-тренувальна робота дитячо-юнацьких спортивних шкіл</t>
  </si>
  <si>
    <t>Фінансова підтримка спортивних споруд</t>
  </si>
  <si>
    <t>Будівництво</t>
  </si>
  <si>
    <t>180404</t>
  </si>
  <si>
    <t>210105</t>
  </si>
  <si>
    <t xml:space="preserve">Заходи з організації рятування на водах </t>
  </si>
  <si>
    <t>240900</t>
  </si>
  <si>
    <t>250404</t>
  </si>
  <si>
    <t xml:space="preserve">Інші видатки </t>
  </si>
  <si>
    <t>250301</t>
  </si>
  <si>
    <t>Дошкільні заклади освіти</t>
  </si>
  <si>
    <t>Фізична культура і спорт</t>
  </si>
  <si>
    <t>Всього видатків</t>
  </si>
  <si>
    <t>070101</t>
  </si>
  <si>
    <t>070202</t>
  </si>
  <si>
    <t>070304</t>
  </si>
  <si>
    <t>Спеціальні загальноосвітні школи-інтернати, школи та інші заклади освіти для дітей з вадами у фізичному чи розумовому розвитку</t>
  </si>
  <si>
    <t>080203</t>
  </si>
  <si>
    <t>Пологові будинки</t>
  </si>
  <si>
    <t>090305</t>
  </si>
  <si>
    <t>090405</t>
  </si>
  <si>
    <t>РАЗОМ</t>
  </si>
  <si>
    <t>Вечірні (змінні) школи</t>
  </si>
  <si>
    <t>180410</t>
  </si>
  <si>
    <t>Інші заходи, пов'язані з економічною діяльністю</t>
  </si>
  <si>
    <t>Код типової відомчої класифікації видатків</t>
  </si>
  <si>
    <t>Код тимчасової класифікації видатків та кредиту-вання</t>
  </si>
  <si>
    <t>Найменування коду тимчаксової класифікації видатків та кредитування місцевих бюджетів</t>
  </si>
  <si>
    <t>250203</t>
  </si>
  <si>
    <t>Видатки на проведення виборів народних депутатів Автономної Республіки Крим, місцевих рад, сільських, селищних, міських голів</t>
  </si>
  <si>
    <t xml:space="preserve">Додаток 3                           </t>
  </si>
  <si>
    <t>091300</t>
  </si>
  <si>
    <t>170102</t>
  </si>
  <si>
    <t>170602</t>
  </si>
  <si>
    <t>090302</t>
  </si>
  <si>
    <t>090303</t>
  </si>
  <si>
    <t>090304</t>
  </si>
  <si>
    <t xml:space="preserve">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хворобою або вислугою років військовослужбовцям Служби безпеки України, працівникам міліції, особам начальницького складу податкової міліції, рядового і начальницького складу кримінально-виконавчої системи, державної пожежної охорони, пенсіонерам з числа слідчих прокуратури, дітям (до досягнення повноліття) працівників міліціїї, осіб начальницького складу податкової міліції, рядового і начальницького складу </t>
  </si>
  <si>
    <t>кримінально-виконавчої системи,  державної пожежної охорони, загиблих або померлих у зв'язку з виконанням службових обов' язків, 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військовослужбовців, які загинули (померли) або пропали безвісти під час проходження військової служби, батькам та членам сімей осіб рядового і начальницького складу органів і підрозділів цивільного захисту, Державної служби спеціального зв'язку та захисту  інформації України, які загинули (померли), пропали безвісті або стали інвалідами при проходженні служби, суддям у відставці, на житлово-комунальні послуги</t>
  </si>
  <si>
    <t xml:space="preserve">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хворобою або вислугою років працівникам міліції, особам начальницького складу податкової міліції, рядового і начальницького складу кримінально-виконавчої системи, державної пожежної охорони, дітям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державної пожежної охорони, загиблих </t>
  </si>
  <si>
    <t>або померлих у зв'язку з виконанням службових обов'язків, непрацездатним членам сімей, які перебували на їх утриманні, на придбання твердого палива</t>
  </si>
  <si>
    <t>Компенсація особам, які згідно із статтями 43 та 48 Гірничого закону України мають право на безоплатне отримання вугілля на побутові потреби, але проживають у будинках, що мають центральне опалення</t>
  </si>
  <si>
    <t>090215</t>
  </si>
  <si>
    <t>090216</t>
  </si>
  <si>
    <t>Пільги багатодітним сім'ям на житлово-комунальні послуги</t>
  </si>
  <si>
    <t>Інші видатки</t>
  </si>
  <si>
    <t>Соціальний захист та соціальне забезпечення</t>
  </si>
  <si>
    <t xml:space="preserve">Державна соціальна допомога інвалідам з дитинства та дітям - інвалідам </t>
  </si>
  <si>
    <t>090201</t>
  </si>
  <si>
    <t>091209</t>
  </si>
  <si>
    <t>Центри здоров'я і заходи у сфері  санітарної освіти</t>
  </si>
  <si>
    <t>090202</t>
  </si>
  <si>
    <t>090203</t>
  </si>
  <si>
    <t>090204</t>
  </si>
  <si>
    <t>090205</t>
  </si>
  <si>
    <t>090207</t>
  </si>
  <si>
    <t>090208</t>
  </si>
  <si>
    <t>090209</t>
  </si>
  <si>
    <t>Допомога на дітей одиноким матерям</t>
  </si>
  <si>
    <t>090401</t>
  </si>
  <si>
    <t xml:space="preserve">Інші видатки на соціальний захист населення </t>
  </si>
  <si>
    <t>Допомога при народженні дитини</t>
  </si>
  <si>
    <t>Пільги багатодітним сім'ям на придбання твердого палива та скрапленого газу</t>
  </si>
  <si>
    <t>Цільові фонди, утворені органами місцевого самоврядування</t>
  </si>
  <si>
    <t>081009</t>
  </si>
  <si>
    <t>090306</t>
  </si>
  <si>
    <t>Обслуговування внутрішнього боргу</t>
  </si>
  <si>
    <t>240601</t>
  </si>
  <si>
    <t>150101</t>
  </si>
  <si>
    <t>Капітальні вкладення</t>
  </si>
  <si>
    <t>130112</t>
  </si>
  <si>
    <t>до рішення  міської ради</t>
  </si>
  <si>
    <t>230100</t>
  </si>
  <si>
    <t>091101</t>
  </si>
  <si>
    <t>091102</t>
  </si>
  <si>
    <t>Методична робота, інші заходи у сфері народної освіти</t>
  </si>
  <si>
    <t>Централізовані бухгалтерії обласних, міських, районних відділів освіти</t>
  </si>
  <si>
    <t>Групи централізованого господарського обслуговування</t>
  </si>
  <si>
    <t>Поліклініки і амбулаторії (крім спеціалізованих поліклінік та загальних і спеціалізованих стоматологічних поліклінік)</t>
  </si>
  <si>
    <t>Інші заходи по охороні здоров'я</t>
  </si>
  <si>
    <t>Служби технічного нагляду за будівництвом та капітальним ремонтом</t>
  </si>
  <si>
    <t>Палаци і будинки культури, клуби та інші заклади клубного типу</t>
  </si>
  <si>
    <t>Запобігання та ліквідація надзвичайних ситуацій та наслідків стихійного лиха</t>
  </si>
  <si>
    <t>Охорона та раціональне використання природних ресурсів</t>
  </si>
  <si>
    <t>150121</t>
  </si>
  <si>
    <t>Заходи з упередження аварій та запобігання техногенних катастроф у житлово-комунальному господарстві та інших аварійних об'єктах комунальної власності</t>
  </si>
  <si>
    <t>180409</t>
  </si>
  <si>
    <t>Внески органів місцевого самоврядування у статутні фонди суб'єктів підприємницької діяльності</t>
  </si>
  <si>
    <t>091108</t>
  </si>
  <si>
    <t>150122</t>
  </si>
  <si>
    <t>Інвестиційні проекти</t>
  </si>
  <si>
    <t>Назва головного розпорядника коштів</t>
  </si>
  <si>
    <t>споживання</t>
  </si>
  <si>
    <t>з них</t>
  </si>
  <si>
    <t>оплата праці</t>
  </si>
  <si>
    <t>комунальні послуги та енергоносії</t>
  </si>
  <si>
    <t>розвитку</t>
  </si>
  <si>
    <t>010000</t>
  </si>
  <si>
    <t>Державне управління</t>
  </si>
  <si>
    <t>120000</t>
  </si>
  <si>
    <t>Засоби масової інформації</t>
  </si>
  <si>
    <t>150000</t>
  </si>
  <si>
    <t>170000</t>
  </si>
  <si>
    <t>Транспорт, дорожнє господарство, зв'язок, телекомунікації та інформатика</t>
  </si>
  <si>
    <t>240000</t>
  </si>
  <si>
    <t xml:space="preserve">Цільові фонди </t>
  </si>
  <si>
    <t>250000</t>
  </si>
  <si>
    <t>Видатки, не віднесені до основних груп</t>
  </si>
  <si>
    <t>Цільові фонди</t>
  </si>
  <si>
    <t>100000</t>
  </si>
  <si>
    <t>Житлово-комунальне госопдарство</t>
  </si>
  <si>
    <t>Житлово-комунальне господарство</t>
  </si>
  <si>
    <t>180000</t>
  </si>
  <si>
    <t>Інші послуги, пов'язані з економічною діяльністю</t>
  </si>
  <si>
    <t>130000</t>
  </si>
  <si>
    <t>230000</t>
  </si>
  <si>
    <t>Обслуговування боргу</t>
  </si>
  <si>
    <t>в тому числі за рахунок цільових субвенцій з державного бюджету</t>
  </si>
  <si>
    <t>Соціальні програми і заходи державних органів у справах молоді</t>
  </si>
  <si>
    <t>Забезпечення централізованих заходів з лікування хворих на цукровий та нецукровий діабет</t>
  </si>
  <si>
    <t>Програма по проведенню аукціонів на право оренди і продажу земельних ділянок</t>
  </si>
  <si>
    <t>100102</t>
  </si>
  <si>
    <t>Житлове будівництво і придбання житла  військовослужбовцям та особам рядового і начальницького складу, звільненим у запас або відставку за станом здоров'я, віком, вислугою років та у зв'язку  із скороченням штатів, які перебувають на квартирному обліку за місцем проживання, членам сімей з числа цих осіб, які загинули під час виконання ними службових обов'язків, а також учасникам бойових дій в Афганістані та воєнних конфліктів</t>
  </si>
  <si>
    <t>250915</t>
  </si>
  <si>
    <t>Фінансування ремонту приміщень управлінь праці та соціального захисту виконавчих органів міських (міст республіканського в Автономній республіці Крим і обласного значення), районних у містах Києві і Севастополі та районних у містах рад для здійснення заходів з виконання спільного із Світовим банком проекту "Вдосконалення систем соціальної допомоги"</t>
  </si>
  <si>
    <t>100601</t>
  </si>
  <si>
    <t>Програма роботи й розвитку газети Запорізької міської ради "Запорозька Січ" на 2009-2011 роки</t>
  </si>
  <si>
    <t>120100</t>
  </si>
  <si>
    <t>Телебачення і радіомовлення</t>
  </si>
  <si>
    <t>110300</t>
  </si>
  <si>
    <t>Кінематографія</t>
  </si>
  <si>
    <t>Субсидії населенню для відшкодування витрат на оплату житлово-комунальних послуг</t>
  </si>
  <si>
    <t>090406</t>
  </si>
  <si>
    <t>Субсидії населенню для відшкодування витрат на придбання твердого та рідкого пічного побутового палива і скрапленого газу</t>
  </si>
  <si>
    <t>Допомога на дітей, над якими встановлено опіку чи піклування</t>
  </si>
  <si>
    <t>090308</t>
  </si>
  <si>
    <t>Допомога при усиновленні дитини</t>
  </si>
  <si>
    <t>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 - комунальні послуги</t>
  </si>
  <si>
    <t>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придбання твердого палива</t>
  </si>
  <si>
    <t>Інші 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t>
  </si>
  <si>
    <t>Державна соціальна допомога малозабезпеченим сім'ям</t>
  </si>
  <si>
    <t>Служби технічного нагляду за будівництвом і капітальним ремонтом</t>
  </si>
  <si>
    <t>Житлове будівництво і придбання житла  військовослужбовцям та особам рядового і начальницького складу, звільненим у запас або відставку за станом здоров'я, віком, вислугою років та у зв'язку  із скороченням штатів, які перебувають на квартирному обліку за місцем проживання, членам сімей з числа цих осіб, які загинули під час виконання ними службових обов'язків, а також учасникам бойових дій в Афганістані та военних конфліктів</t>
  </si>
  <si>
    <t>Видатки на запобігання та ліквідацію надзвичайних ситуацій та наслідків стихійного лиха (комунальна спеціальна воєнізована аварійно-рятувальна служба)</t>
  </si>
  <si>
    <t xml:space="preserve">Програма використання коштів депутатського фонду </t>
  </si>
  <si>
    <t>Житлове будівництво і придбання житла  військовослужбовцям, особам рядового і начальницького складу кримінально-виконавчої системи та органів внутрішніх справ, в тому числі звільненим у запас або відставку за станом здоров'я, віком, вислугою років та у зв'язку  із скороченням штатів, які перебувають на квартирному обліку за місцем проживання, членам сімей з числа цих осіб, які загинули під час виконання ними службових обов'язків, а також учасникам бойових дій в Афганістані та воєнних конфліктів у зарубіжних країнах</t>
  </si>
  <si>
    <t>Погашення заборгованості з різниці в тарифах на теплову енергію, послуги з водопостачання та водовідведення, що вироблялися, транспортувалися та постачалися населенню, яка виникла у зв'язку з невідповідністю фактичної вартості теплової енергії, послуг з водопостачання та водовідведення тарифам, що затверджувалися або погоджувалися відповідними органами державної влади чи органами місцевого самоврядування</t>
  </si>
  <si>
    <t>090414</t>
  </si>
  <si>
    <t>090417</t>
  </si>
  <si>
    <t>Витрати на поховання учасників бойових дій</t>
  </si>
  <si>
    <t>250913</t>
  </si>
  <si>
    <t>Витрати, пов'язані з наданням та обслуговуванням пільгових довгострокових кредитів, наданих громадянам на будівництво (реконструкцію) та придбання житла</t>
  </si>
  <si>
    <t>(грн.)</t>
  </si>
  <si>
    <t>100103</t>
  </si>
  <si>
    <t>Дотація житлово-комунальному господарству</t>
  </si>
  <si>
    <t xml:space="preserve">Програма раціонального використання території та комплексного містобудівного розвитку міста </t>
  </si>
  <si>
    <t>Утримання центрів соціальних служб для сім'ї, дітей та молоді</t>
  </si>
  <si>
    <t>070808</t>
  </si>
  <si>
    <t>Допомога дітям-сиротам та дітям, позбавленим батьківського піклування, яким виповнюється 18 років</t>
  </si>
  <si>
    <t>170302</t>
  </si>
  <si>
    <t>Компенсаційні виплати за пільговий проїзд окремих категорій громадян на залізничному транспорті</t>
  </si>
  <si>
    <t>170203</t>
  </si>
  <si>
    <t>Програми і заходи центрів соціальних служб для сім'ї, дітей та молоді</t>
  </si>
  <si>
    <t>250344</t>
  </si>
  <si>
    <t>150107</t>
  </si>
  <si>
    <t>070809</t>
  </si>
  <si>
    <t>Здійснення виплат, визначених Законом України "Про реструктуризацію заборгованості з виплат, передбачених статтею 57 Закону України "Про освіту" педагогічним, науково-педагогічним та іншим категоріям працівників навчальних закладів</t>
  </si>
  <si>
    <t>110206</t>
  </si>
  <si>
    <t>170603</t>
  </si>
  <si>
    <t>100302</t>
  </si>
  <si>
    <t>Комбінати комунальних підприємств, районні виробничі об'єднання та інші підприємства, установи та організації житлово-комунального господарства</t>
  </si>
  <si>
    <t>070803</t>
  </si>
  <si>
    <t>Заходи з оздоровлення та відпочинку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</si>
  <si>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090307</t>
  </si>
  <si>
    <t>Тимчасова державна допомога дітям</t>
  </si>
  <si>
    <t>Компенсаційні виплати за пільговий проїзд окремих категорій громадян на  водному транспорті</t>
  </si>
  <si>
    <t>Компенсаційні виплати на пільговий проїзд електротранспортом окремих категорій громадян</t>
  </si>
  <si>
    <t>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дітям війни,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житлово-комунальні послуги</t>
  </si>
  <si>
    <t>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на придбання твердого палива та скрапленого газу</t>
  </si>
  <si>
    <t>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t>
  </si>
  <si>
    <t>Періодичні видання (газети та журнали)</t>
  </si>
  <si>
    <t>Інші заходи у сфері електротранспорту</t>
  </si>
  <si>
    <t>бюджет розвитку</t>
  </si>
  <si>
    <t>капітальні видатки за рахунок коштів, що передаються із загального фонду до бюджету розвитку (спеціальний фонд)</t>
  </si>
  <si>
    <t>___________  №  _____</t>
  </si>
  <si>
    <t>Компенсаційні виплати фізичним особам, які надають соц.послуги</t>
  </si>
  <si>
    <t>100203</t>
  </si>
  <si>
    <t>070806</t>
  </si>
  <si>
    <t>Інші заклади освіти</t>
  </si>
  <si>
    <t>Технічна інвентарізація та оформлення права власності об'єктів нерухомості</t>
  </si>
  <si>
    <t>109000</t>
  </si>
  <si>
    <t>Житлово-комунальне господарства</t>
  </si>
  <si>
    <t>Програма реформування ЖКГ</t>
  </si>
  <si>
    <t>Благоустрій міст, сіл, селищ</t>
  </si>
  <si>
    <t>Капітальний ремонт житлового фонду місцевих органів ради</t>
  </si>
  <si>
    <t>Загальноосвітні школи (в т.ч.школа-дитячий садок, інтернат при школі), спеціалізовані школи, ліцеї, гімназії, колегіуми</t>
  </si>
  <si>
    <t>Цільові фонди, утворені Верховною Радою Автономної Республіки Крим, органами місцевого самоврядування і місцевими органами виконавчої влади</t>
  </si>
  <si>
    <t xml:space="preserve">Допомога у зв`язку з вагітністю і пологами </t>
  </si>
  <si>
    <t>Територіальні центри соціального обслуговування (надання соціальних послуг)</t>
  </si>
  <si>
    <t>Фінансова підтримка громадських організацій інвалідів і ветеранів</t>
  </si>
  <si>
    <t>Внески органів влади Автономної Республіки Крим та органів місцевого самоврядування у статутні фонди суб'єктів підприємницької діяльності</t>
  </si>
  <si>
    <t>Підтримка малого і середнього підприємництва</t>
  </si>
  <si>
    <t>Кошти, що передаються до державного бюджету з бюджету Автономної Республіки Крим, обласних і районних бюджетів, міських (міст Києва та Севастополя, міст республіканського Автономної Республіки Крим та обасного значення) бюджетів, інших бюджетів місцевого самоврядування, для яких у державному бюджеті визначаються міжбюджетні трансферти</t>
  </si>
  <si>
    <t>Виплати грошової компенсації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 допомоги</t>
  </si>
  <si>
    <t>в тому числі за рахунок субвенції з державного бюджету місцевим бюджетам на збереження середньої заробітної плати на період працевлаштування посадових осіб місцевого самоврядування з числа депутатів відповідних рад, що потребують працевлаштування в зв'язку із закінченням строку повноважень</t>
  </si>
  <si>
    <t>в тому числі за рахунок субвенції з державного бюджету місцевим бюджетам на здійснення заходів щодо соціально-економічного розвитку регіонів</t>
  </si>
  <si>
    <t>в тому числі за рахунок субвенції з державного бюджету місцевим бюджетам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 типу та прийомним сім'ям за принципом "гроші ходять за дитиною"</t>
  </si>
  <si>
    <t>в тому числі за рахунок субвенції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t>
  </si>
  <si>
    <t>в тому числі за рахунок субвенції з державного бюджету місцевим бюджетам на виплату допомоги сім'ям з дітьми, малозабезпеченим сім'ям, інвалідам з дитинства і дітям-інвалідам та тимчасової державної допомоги дітям</t>
  </si>
  <si>
    <t>в тому числі за рахунок субвенцій з державного бюджету місцевим бюджетам на фінансування ремонту приміщень управлінь праці та соціального захисту виконавчих органів міських (міст республіканського в Автономній Республіці Крим і обласного значення), районних у містах, Києві і Севастополі та районних у містах рад для здійснення заходів з виконання спільного із Світовим банком проекту "Вдосконалення системи соціальної допомоги"</t>
  </si>
  <si>
    <t>в тому числі за рахунок субвенції з державного бюджету міському бюджету міста Запоріжжя на будівництво автотранспортної магістралі через річку Дніпро у м.Запоріжжя</t>
  </si>
  <si>
    <t>150118</t>
  </si>
  <si>
    <t>Житлове будівництво та придбання житла для окремих категорій населення</t>
  </si>
  <si>
    <t>091205</t>
  </si>
  <si>
    <t>Департамент освіти і науки, молоді та спорту Запорізької міської ради</t>
  </si>
  <si>
    <t>Департамент архітектури та містобудування Запорізької міської ради</t>
  </si>
  <si>
    <t>Департамент комунальної власності та приватизації Запорізької міської ради</t>
  </si>
  <si>
    <t>Департамент фінансової та бюджетної політики Запорізької міської ради</t>
  </si>
  <si>
    <t>Управління з питань правового забезпечення роботи галузей міського господарства Запорізької міської ради</t>
  </si>
  <si>
    <t>Управління комунального господарства та дорожнього будівництва Запорізької міської ради</t>
  </si>
  <si>
    <t>Управління з питань екологічної безпеки Запорізької міської ради</t>
  </si>
  <si>
    <t>Управління з питань попередження надзвичайних ситуацій та цивільного захисту населення Запорізької міської ради</t>
  </si>
  <si>
    <t>Управління з питань охорони здоров'я Запорізької міської ради</t>
  </si>
  <si>
    <t>Управління культури і мистецтв Запорізької міської ради</t>
  </si>
  <si>
    <t>Управління з питань транспортного забезпечення та зв'язку Запорізької міської ради</t>
  </si>
  <si>
    <t>Управління соціального захисту населення Запорізької міської ради</t>
  </si>
  <si>
    <t>Управління реєстрації та єдиного реєстру Запорізької міської ради</t>
  </si>
  <si>
    <t xml:space="preserve"> Районна адміністрація Запорізької міської ради по Ленінському району</t>
  </si>
  <si>
    <t xml:space="preserve"> Районна адміністрація Запорізької міської ради по Хортицькому району</t>
  </si>
  <si>
    <t xml:space="preserve"> Районна адміністрація Запорізької міської ради по Орджонікідзевському району</t>
  </si>
  <si>
    <t xml:space="preserve"> Районна адміністрація Запорізької міської ради по Жовтневому району</t>
  </si>
  <si>
    <t xml:space="preserve"> Районна адміністрація Запорізької міської ради по Заводському району</t>
  </si>
  <si>
    <t xml:space="preserve"> Районна адміністрація Запорізької міської ради по Комунарському району</t>
  </si>
  <si>
    <t xml:space="preserve"> Районна адміністрація Запорізької міської ради по Шевченківському району</t>
  </si>
  <si>
    <t>Інспекція з благоустрою Запорізької міської ради</t>
  </si>
  <si>
    <t>Управління з питань земельних відносин Запорізької міської ради</t>
  </si>
  <si>
    <t>160000</t>
  </si>
  <si>
    <t>Сільське і лісове господарство, рибне господарство та мисливство</t>
  </si>
  <si>
    <t>160101</t>
  </si>
  <si>
    <t>Землеустрій</t>
  </si>
  <si>
    <t>Програма "Призовна дільниця"</t>
  </si>
  <si>
    <t>Служба (управління) у справах дітей Запорізької міської ради</t>
  </si>
  <si>
    <t>Виконавчий комітет Запорізької міської ради</t>
  </si>
  <si>
    <t>Програма забезпечення сприятливих житлових умов для відселення мешканців з аварійного будинку по вул.Ракетна,38а</t>
  </si>
  <si>
    <t>Департамент економічного розвитку Запорізької міської ради</t>
  </si>
  <si>
    <t>Управління розвитку підприємництва та дозвільних послуг Запорізької міської ради</t>
  </si>
  <si>
    <t>Субвенція з місцевого бюджету державному бюджету на виконання програм соціально-економічного та культурного розвитку регіонів</t>
  </si>
  <si>
    <t>Департамент житлового господарства та розподілу житлової площі Запорізької міської ради</t>
  </si>
  <si>
    <t>Програма дератизації та дезинфекції</t>
  </si>
  <si>
    <t xml:space="preserve">в тому числі за рахунок субвенції з державного бюджету місцевим бюджетам на соціально-економічний розвиток </t>
  </si>
  <si>
    <t>Програма  впровадження та забезпечення працездатності систем об'єктивного відеоспостереження в м.Запоріжжі на 2011 рік</t>
  </si>
  <si>
    <t>Програма фінансування видатків на поповнення обігових коштів комунального підприємтва "Водоканал" на 2011 рік</t>
  </si>
  <si>
    <t>в тому числі за рахунок цільової субвенції з державного бюджету місцевим бюджетам на реалізацію пріоритетів розвитку регіонів</t>
  </si>
  <si>
    <t>100602</t>
  </si>
  <si>
    <t>в тому числі за рахунок цільової субвенції з державного бюджету місцевим бюджетам на погашення заборгованості з різниці в тарифах на теплову енергію, що вироблялася, транспортувалася та постачалася населенню, яка виникла у зв'язку з невідповідністю фактичної вартості теплової енергії тарифам, що затверджувалися або погоджувалися відповідними органами державної влади чи органами місцевого самоврядування</t>
  </si>
  <si>
    <t>Погашення заборгованості з різниці в тарифах на теплову енергію, що вироблялася, транспортувалася та постачалася населенню, яка виникла у зв'язку з невідповідністю фактичної вартості теплової енергії тарифас, що затверджувалися або погоджувалися відповідними органами державної влади чи органами місцевого самоврядування</t>
  </si>
  <si>
    <t>Розподіл видатків бюджету міста на 2012 рік за головними розпорядниками коштів</t>
  </si>
  <si>
    <t>Програма проведення заходів щодо запобігання та ліквідації надзвичайних ситуацій техногенного та природного характеру, захисту населення і території міста Запоріжжя на 2012-2014 роки</t>
  </si>
  <si>
    <t>Програма "Освітлення та технічне обслуговування архітектурно-декоративного  обладнання на баштах будинків м.Запоріжжя на 2012-2014 роки"</t>
  </si>
  <si>
    <t>в тому числі за рахунок цільової субвенції з державного бюджету місцевим бюджетам на будівництво, реконструкцію, ремонт та утримання вулиць і доріг комунальної власності у населених пунктах</t>
  </si>
  <si>
    <t>Програма надання автотранспортних та господарських послуг структурним підрозділам та виконавчому комітету міської ради на 2012-2013 роки</t>
  </si>
  <si>
    <t>03</t>
  </si>
  <si>
    <t>90</t>
  </si>
  <si>
    <t>91</t>
  </si>
  <si>
    <t>92</t>
  </si>
  <si>
    <t>93</t>
  </si>
  <si>
    <t>94</t>
  </si>
  <si>
    <t>95</t>
  </si>
  <si>
    <t>96</t>
  </si>
  <si>
    <t>23</t>
  </si>
  <si>
    <t>10</t>
  </si>
  <si>
    <t>14</t>
  </si>
  <si>
    <t>15</t>
  </si>
  <si>
    <t>20</t>
  </si>
  <si>
    <t>67</t>
  </si>
  <si>
    <t>40</t>
  </si>
  <si>
    <t>45</t>
  </si>
  <si>
    <t>41</t>
  </si>
  <si>
    <t>32</t>
  </si>
  <si>
    <t>24</t>
  </si>
  <si>
    <t>65</t>
  </si>
  <si>
    <t>48</t>
  </si>
  <si>
    <t>60</t>
  </si>
  <si>
    <t>50</t>
  </si>
  <si>
    <t>75</t>
  </si>
  <si>
    <t>76</t>
  </si>
  <si>
    <t>73</t>
  </si>
  <si>
    <t>33</t>
  </si>
  <si>
    <t>56</t>
  </si>
  <si>
    <t>Програма фінансової підтримки квартальних, будинкових та вуличних комітетів</t>
  </si>
  <si>
    <t>Програма забезпечення участі Запорізької міської ради в Асоціації міст України та громад, Асоціацію фінансистів та членські внески в Асамблею на 2012-2014 роки</t>
  </si>
  <si>
    <t>в тому числі за рахунок субвенції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прибудикових територій), вивезення побутового сміття та рідких нечистот</t>
  </si>
  <si>
    <t>Програма "Здійснення заходів щодо проведення незалежної оцінки об'єктів м.Запоріжжя на 2012 рік"</t>
  </si>
  <si>
    <t>Програма "Обрізування та звалювання аварійних та сухостійних дерев на прибудинкових територіях житлового фонду комунальної власності міста Запоріжжя в 2012 році"</t>
  </si>
  <si>
    <t>Поточний ремонт житлових будинків та обєктів благоустрою в житловому фонді м.Запоріжжя на 2012 рік</t>
  </si>
  <si>
    <t>Програма "Улаштування освітлення над входами до під"їздів будинків житлового фонду комунальної власності міста на 2012 рік"</t>
  </si>
  <si>
    <t>Програма фінансування робіт по поточному ремонту внутрішньоквартальних  доріг міста Запоріжжя на 2012 рік</t>
  </si>
  <si>
    <t>Програма фінансування робіт по обробці внутрішньоквартальних доріг та тротуарів антиожеледними матеріалами на 2012 рік</t>
  </si>
  <si>
    <t>Програма надання фінансової підтримки комунальному підприємству "Управління капітального будівництва"</t>
  </si>
  <si>
    <t>Програма надання фінансової підтримки комунальним підприємствам на 2012 рік</t>
  </si>
  <si>
    <t>Програма "Ремонт, експлуатація та утримання пасажирських понтонів на 2012 рік"</t>
  </si>
  <si>
    <t>Програма профілактики правопорушень та забезпечення громадської безпеки у м.Запоріжжі у 2012 році</t>
  </si>
  <si>
    <t>Програма підтримки кредитного рейтингу боргових зобов'язань м.Запоріжжя та обслуговування випуску облігацій VII внутрішньої місцевої позики на 2012-2014 роки</t>
  </si>
  <si>
    <t>Програма вирішення нагальних потреб міста за пропозиціями громадських організацій</t>
  </si>
  <si>
    <t>ліквідація наслідків пожежі</t>
  </si>
  <si>
    <t>Програма "Капітальний ремонт нежитлових приміщень та будівель м.Запоріжжя на 2012 рік"</t>
  </si>
  <si>
    <t xml:space="preserve">Програма проведення заходів з підготовки міста Запоріжжя до святкування Новорічних та Різдвяних свят на 2012 рік </t>
  </si>
  <si>
    <t>Секретар міської ради</t>
  </si>
  <si>
    <t>Р.О.Таран</t>
  </si>
  <si>
    <t>Програма благоустрою міста та фінансування комунальних підприємств на поповнення обігових коштів, статутних капіталів і придбання обладнання та матеріалів на 2012-2014 роки</t>
  </si>
  <si>
    <t>Програма "Фінансова підтримка житлово-експлуатаційних підприємств міста Запоріжжя на 2012 рік"</t>
  </si>
</sst>
</file>

<file path=xl/styles.xml><?xml version="1.0" encoding="utf-8"?>
<styleSheet xmlns="http://schemas.openxmlformats.org/spreadsheetml/2006/main">
  <numFmts count="4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0.0"/>
    <numFmt numFmtId="173" formatCode="0_)"/>
    <numFmt numFmtId="174" formatCode="000000"/>
    <numFmt numFmtId="175" formatCode="&quot;£&quot;#,##0;\-&quot;£&quot;#,##0"/>
    <numFmt numFmtId="176" formatCode="&quot;£&quot;#,##0;[Red]\-&quot;£&quot;#,##0"/>
    <numFmt numFmtId="177" formatCode="&quot;£&quot;#,##0.00;\-&quot;£&quot;#,##0.00"/>
    <numFmt numFmtId="178" formatCode="&quot;£&quot;#,##0.00;[Red]\-&quot;£&quot;#,##0.00"/>
    <numFmt numFmtId="179" formatCode="_-&quot;£&quot;* #,##0_-;\-&quot;£&quot;* #,##0_-;_-&quot;£&quot;* &quot;-&quot;_-;_-@_-"/>
    <numFmt numFmtId="180" formatCode="_-* #,##0_-;\-* #,##0_-;_-* &quot;-&quot;_-;_-@_-"/>
    <numFmt numFmtId="181" formatCode="_-&quot;£&quot;* #,##0.00_-;\-&quot;£&quot;* #,##0.00_-;_-&quot;£&quot;* &quot;-&quot;??_-;_-@_-"/>
    <numFmt numFmtId="182" formatCode="_-* #,##0.00_-;\-* #,##0.00_-;_-* &quot;-&quot;??_-;_-@_-"/>
    <numFmt numFmtId="183" formatCode="0.000"/>
    <numFmt numFmtId="184" formatCode="0.0000"/>
    <numFmt numFmtId="185" formatCode="_-* #,##0.000_р_._-;\-* #,##0.000_р_._-;_-* &quot;-&quot;??_р_._-;_-@_-"/>
    <numFmt numFmtId="186" formatCode="_-* #,##0.0000_р_._-;\-* #,##0.0000_р_._-;_-* &quot;-&quot;??_р_._-;_-@_-"/>
    <numFmt numFmtId="187" formatCode="_-* #,##0.00000_р_._-;\-* #,##0.00000_р_._-;_-* &quot;-&quot;??_р_._-;_-@_-"/>
    <numFmt numFmtId="188" formatCode="0.00000"/>
    <numFmt numFmtId="189" formatCode="00000\-0000"/>
    <numFmt numFmtId="190" formatCode="_-* #,##0.0_р_._-;\-* #,##0.0_р_._-;_-* &quot;-&quot;??_р_._-;_-@_-"/>
    <numFmt numFmtId="191" formatCode="_-* #,##0_р_._-;\-* #,##0_р_._-;_-* &quot;-&quot;??_р_._-;_-@_-"/>
    <numFmt numFmtId="192" formatCode="_-* #,##0.0_р_._-;\-* #,##0.0_р_._-;_-* &quot;-&quot;?_р_._-;_-@_-"/>
    <numFmt numFmtId="193" formatCode="#,##0.000_р_."/>
    <numFmt numFmtId="194" formatCode="&quot;Да&quot;;&quot;Да&quot;;&quot;Нет&quot;"/>
    <numFmt numFmtId="195" formatCode="&quot;Истина&quot;;&quot;Истина&quot;;&quot;Ложь&quot;"/>
    <numFmt numFmtId="196" formatCode="&quot;Вкл&quot;;&quot;Вкл&quot;;&quot;Выкл&quot;"/>
    <numFmt numFmtId="197" formatCode="[$€-2]\ ###,000_);[Red]\([$€-2]\ ###,000\)"/>
  </numFmts>
  <fonts count="42">
    <font>
      <sz val="10"/>
      <name val="Arial Cyr"/>
      <family val="0"/>
    </font>
    <font>
      <b/>
      <sz val="10"/>
      <name val="Arial Cyr"/>
      <family val="2"/>
    </font>
    <font>
      <u val="single"/>
      <sz val="10"/>
      <color indexed="12"/>
      <name val="Arial Cyr"/>
      <family val="0"/>
    </font>
    <font>
      <u val="single"/>
      <sz val="10"/>
      <color indexed="36"/>
      <name val="Arial Cyr"/>
      <family val="0"/>
    </font>
    <font>
      <sz val="14"/>
      <name val="Arial Cyr"/>
      <family val="0"/>
    </font>
    <font>
      <b/>
      <sz val="14"/>
      <name val="Arial Cyr"/>
      <family val="0"/>
    </font>
    <font>
      <sz val="9"/>
      <name val="Arial Cyr"/>
      <family val="0"/>
    </font>
    <font>
      <sz val="8"/>
      <name val="Arial Cyr"/>
      <family val="0"/>
    </font>
    <font>
      <sz val="12"/>
      <name val="Arial Cyr"/>
      <family val="2"/>
    </font>
    <font>
      <sz val="10"/>
      <color indexed="10"/>
      <name val="Arial Cyr"/>
      <family val="2"/>
    </font>
    <font>
      <sz val="20"/>
      <name val="Times New Roman"/>
      <family val="1"/>
    </font>
    <font>
      <sz val="22"/>
      <name val="Times New Roman"/>
      <family val="1"/>
    </font>
    <font>
      <sz val="11"/>
      <color indexed="12"/>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12"/>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1"/>
      <color theme="1"/>
      <name val="Calibri"/>
      <family val="2"/>
    </font>
    <font>
      <b/>
      <sz val="11"/>
      <color theme="0"/>
      <name val="Calibri"/>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theme="5" tint="0.5999900102615356"/>
        <bgColor indexed="64"/>
      </patternFill>
    </fill>
    <fill>
      <patternFill patternType="solid">
        <fgColor indexed="11"/>
        <bgColor indexed="64"/>
      </patternFill>
    </fill>
    <fill>
      <patternFill patternType="solid">
        <fgColor theme="8" tint="0.5999900102615356"/>
        <bgColor indexed="64"/>
      </patternFill>
    </fill>
    <fill>
      <patternFill patternType="solid">
        <fgColor indexed="51"/>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62"/>
        <bgColor indexed="64"/>
      </patternFill>
    </fill>
    <fill>
      <patternFill patternType="solid">
        <fgColor theme="5"/>
        <bgColor indexed="64"/>
      </patternFill>
    </fill>
    <fill>
      <patternFill patternType="solid">
        <fgColor theme="6"/>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indexed="2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43"/>
        <bgColor indexed="64"/>
      </patternFill>
    </fill>
    <fill>
      <patternFill patternType="solid">
        <fgColor indexed="9"/>
        <bgColor indexed="64"/>
      </patternFill>
    </fill>
    <fill>
      <patternFill patternType="solid">
        <fgColor indexed="47"/>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color indexed="9"/>
      </left>
      <right style="thin">
        <color indexed="9"/>
      </right>
      <top style="thin">
        <color indexed="9"/>
      </top>
      <bottom>
        <color indexed="63"/>
      </bottom>
    </border>
    <border>
      <left style="thin">
        <color indexed="9"/>
      </left>
      <right style="thin">
        <color indexed="9"/>
      </right>
      <top style="thin">
        <color indexed="9"/>
      </top>
      <bottom style="thin">
        <color indexed="9"/>
      </bottom>
    </border>
    <border>
      <left style="thin"/>
      <right style="thin"/>
      <top>
        <color indexed="63"/>
      </top>
      <bottom style="thin"/>
    </border>
    <border>
      <left style="thin"/>
      <right style="thin"/>
      <top style="thin"/>
      <bottom>
        <color indexed="63"/>
      </bottom>
    </border>
    <border>
      <left style="thin">
        <color indexed="9"/>
      </left>
      <right>
        <color indexed="63"/>
      </right>
      <top style="thin">
        <color indexed="9"/>
      </top>
      <bottom style="thin">
        <color indexed="9"/>
      </bottom>
    </border>
    <border>
      <left>
        <color indexed="63"/>
      </left>
      <right>
        <color indexed="63"/>
      </right>
      <top style="thin">
        <color indexed="9"/>
      </top>
      <bottom style="thin">
        <color indexed="9"/>
      </bottom>
    </border>
    <border>
      <left>
        <color indexed="63"/>
      </left>
      <right style="thin">
        <color indexed="9"/>
      </right>
      <top style="thin">
        <color indexed="9"/>
      </top>
      <bottom style="thin">
        <color indexed="9"/>
      </bottom>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5"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30" fillId="13" borderId="0" applyNumberFormat="0" applyBorder="0" applyAlignment="0" applyProtection="0"/>
    <xf numFmtId="0" fontId="30" fillId="14" borderId="0" applyNumberFormat="0" applyBorder="0" applyAlignment="0" applyProtection="0"/>
    <xf numFmtId="0" fontId="30" fillId="10"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15"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1" fillId="23" borderId="1" applyNumberFormat="0" applyAlignment="0" applyProtection="0"/>
    <xf numFmtId="0" fontId="32" fillId="24" borderId="2" applyNumberFormat="0" applyAlignment="0" applyProtection="0"/>
    <xf numFmtId="0" fontId="33" fillId="24" borderId="1" applyNumberFormat="0" applyAlignment="0" applyProtection="0"/>
    <xf numFmtId="0" fontId="2"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7" fillId="0" borderId="3" applyNumberFormat="0" applyFill="0" applyAlignment="0" applyProtection="0"/>
    <xf numFmtId="0" fontId="18" fillId="0" borderId="4"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34" fillId="0" borderId="6" applyNumberFormat="0" applyFill="0" applyAlignment="0" applyProtection="0"/>
    <xf numFmtId="0" fontId="35" fillId="25" borderId="7" applyNumberFormat="0" applyAlignment="0" applyProtection="0"/>
    <xf numFmtId="0" fontId="22" fillId="0" borderId="0" applyNumberFormat="0" applyFill="0" applyBorder="0" applyAlignment="0" applyProtection="0"/>
    <xf numFmtId="0" fontId="36" fillId="26" borderId="0" applyNumberFormat="0" applyBorder="0" applyAlignment="0" applyProtection="0"/>
    <xf numFmtId="0" fontId="3" fillId="0" borderId="0" applyNumberFormat="0" applyFill="0" applyBorder="0" applyAlignment="0" applyProtection="0"/>
    <xf numFmtId="0" fontId="37" fillId="27" borderId="0" applyNumberFormat="0" applyBorder="0" applyAlignment="0" applyProtection="0"/>
    <xf numFmtId="0" fontId="38" fillId="0" borderId="0" applyNumberFormat="0" applyFill="0" applyBorder="0" applyAlignment="0" applyProtection="0"/>
    <xf numFmtId="0" fontId="0" fillId="28" borderId="8" applyNumberFormat="0" applyFont="0" applyAlignment="0" applyProtection="0"/>
    <xf numFmtId="9" fontId="0" fillId="0" borderId="0" applyFont="0" applyFill="0" applyBorder="0" applyAlignment="0" applyProtection="0"/>
    <xf numFmtId="0" fontId="39" fillId="0" borderId="9" applyNumberFormat="0" applyFill="0" applyAlignment="0" applyProtection="0"/>
    <xf numFmtId="0" fontId="4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1" fillId="29" borderId="0" applyNumberFormat="0" applyBorder="0" applyAlignment="0" applyProtection="0"/>
  </cellStyleXfs>
  <cellXfs count="175">
    <xf numFmtId="0" fontId="0" fillId="0" borderId="0" xfId="0" applyAlignment="1">
      <alignment/>
    </xf>
    <xf numFmtId="0" fontId="1" fillId="0" borderId="0" xfId="0" applyFont="1" applyAlignment="1">
      <alignment/>
    </xf>
    <xf numFmtId="0" fontId="0" fillId="0" borderId="10" xfId="0" applyFont="1" applyBorder="1" applyAlignment="1">
      <alignment horizontal="left" vertical="center" wrapText="1"/>
    </xf>
    <xf numFmtId="0" fontId="0" fillId="0" borderId="0" xfId="0" applyFont="1" applyFill="1" applyAlignment="1">
      <alignment/>
    </xf>
    <xf numFmtId="0" fontId="0" fillId="0" borderId="10" xfId="0" applyFont="1" applyFill="1" applyBorder="1" applyAlignment="1">
      <alignment horizontal="left" wrapText="1"/>
    </xf>
    <xf numFmtId="0" fontId="0" fillId="0" borderId="0" xfId="0" applyFont="1" applyAlignment="1">
      <alignment/>
    </xf>
    <xf numFmtId="0" fontId="0" fillId="0" borderId="10" xfId="0" applyFont="1" applyBorder="1" applyAlignment="1">
      <alignment wrapText="1"/>
    </xf>
    <xf numFmtId="49" fontId="0" fillId="0" borderId="10" xfId="0" applyNumberFormat="1" applyFont="1" applyBorder="1" applyAlignment="1">
      <alignment horizontal="center" vertical="top"/>
    </xf>
    <xf numFmtId="49" fontId="0" fillId="0" borderId="10" xfId="0" applyNumberFormat="1" applyFont="1" applyBorder="1" applyAlignment="1">
      <alignment horizontal="center"/>
    </xf>
    <xf numFmtId="49" fontId="0" fillId="0" borderId="10" xfId="0" applyNumberFormat="1" applyFont="1" applyFill="1" applyBorder="1" applyAlignment="1">
      <alignment horizontal="center"/>
    </xf>
    <xf numFmtId="0" fontId="0" fillId="0" borderId="10" xfId="0" applyFont="1" applyBorder="1" applyAlignment="1">
      <alignment horizontal="left" wrapText="1"/>
    </xf>
    <xf numFmtId="183" fontId="0" fillId="0" borderId="0" xfId="0" applyNumberFormat="1" applyFont="1" applyAlignment="1">
      <alignment/>
    </xf>
    <xf numFmtId="0" fontId="0" fillId="0" borderId="10" xfId="0" applyFont="1" applyFill="1" applyBorder="1" applyAlignment="1">
      <alignment horizontal="left" vertical="center" wrapText="1"/>
    </xf>
    <xf numFmtId="183" fontId="0" fillId="0" borderId="0" xfId="0" applyNumberFormat="1" applyFont="1" applyFill="1" applyAlignment="1">
      <alignment/>
    </xf>
    <xf numFmtId="49" fontId="0" fillId="0" borderId="10" xfId="0" applyNumberFormat="1" applyFont="1" applyFill="1" applyBorder="1" applyAlignment="1">
      <alignment horizontal="center" vertical="center"/>
    </xf>
    <xf numFmtId="0" fontId="0" fillId="0" borderId="10" xfId="0" applyFont="1" applyFill="1" applyBorder="1" applyAlignment="1">
      <alignment wrapText="1"/>
    </xf>
    <xf numFmtId="49" fontId="0" fillId="0" borderId="10" xfId="0" applyNumberFormat="1" applyFont="1" applyBorder="1" applyAlignment="1">
      <alignment horizontal="center" vertical="center"/>
    </xf>
    <xf numFmtId="49" fontId="0" fillId="0" borderId="10" xfId="0" applyNumberFormat="1" applyFont="1" applyBorder="1" applyAlignment="1" quotePrefix="1">
      <alignment horizontal="center" vertical="center"/>
    </xf>
    <xf numFmtId="49" fontId="0" fillId="30" borderId="10" xfId="0" applyNumberFormat="1" applyFont="1" applyFill="1" applyBorder="1" applyAlignment="1">
      <alignment horizontal="center"/>
    </xf>
    <xf numFmtId="0" fontId="0" fillId="30" borderId="0" xfId="0" applyFont="1" applyFill="1" applyAlignment="1">
      <alignment/>
    </xf>
    <xf numFmtId="0" fontId="0" fillId="30" borderId="10" xfId="0" applyFont="1" applyFill="1" applyBorder="1" applyAlignment="1">
      <alignment horizontal="left" wrapText="1"/>
    </xf>
    <xf numFmtId="49" fontId="0" fillId="30" borderId="10" xfId="0" applyNumberFormat="1" applyFont="1" applyFill="1" applyBorder="1" applyAlignment="1">
      <alignment horizontal="center" vertical="center" wrapText="1"/>
    </xf>
    <xf numFmtId="183" fontId="0" fillId="30" borderId="0" xfId="0" applyNumberFormat="1" applyFont="1" applyFill="1" applyAlignment="1">
      <alignment/>
    </xf>
    <xf numFmtId="49" fontId="0" fillId="30" borderId="10" xfId="0" applyNumberFormat="1" applyFont="1" applyFill="1" applyBorder="1" applyAlignment="1">
      <alignment horizontal="center" vertical="center"/>
    </xf>
    <xf numFmtId="1" fontId="0" fillId="0" borderId="10" xfId="0" applyNumberFormat="1" applyFont="1" applyBorder="1" applyAlignment="1">
      <alignment/>
    </xf>
    <xf numFmtId="1" fontId="0" fillId="0" borderId="10" xfId="0" applyNumberFormat="1" applyFont="1" applyBorder="1" applyAlignment="1">
      <alignment horizontal="right"/>
    </xf>
    <xf numFmtId="1" fontId="0" fillId="0" borderId="10" xfId="0" applyNumberFormat="1" applyFont="1" applyFill="1" applyBorder="1" applyAlignment="1">
      <alignment/>
    </xf>
    <xf numFmtId="1" fontId="0" fillId="0" borderId="10" xfId="0" applyNumberFormat="1" applyFont="1" applyFill="1" applyBorder="1" applyAlignment="1">
      <alignment horizontal="right"/>
    </xf>
    <xf numFmtId="1" fontId="0" fillId="0" borderId="10" xfId="0" applyNumberFormat="1" applyFont="1" applyFill="1" applyBorder="1" applyAlignment="1">
      <alignment horizontal="right" wrapText="1"/>
    </xf>
    <xf numFmtId="1" fontId="1" fillId="0" borderId="10" xfId="0" applyNumberFormat="1" applyFont="1" applyFill="1" applyBorder="1" applyAlignment="1">
      <alignment horizontal="right"/>
    </xf>
    <xf numFmtId="1" fontId="0" fillId="30" borderId="10" xfId="0" applyNumberFormat="1" applyFont="1" applyFill="1" applyBorder="1" applyAlignment="1">
      <alignment/>
    </xf>
    <xf numFmtId="1" fontId="0" fillId="30" borderId="10" xfId="0" applyNumberFormat="1" applyFont="1" applyFill="1" applyBorder="1" applyAlignment="1">
      <alignment horizontal="right"/>
    </xf>
    <xf numFmtId="1" fontId="0" fillId="30" borderId="10" xfId="0" applyNumberFormat="1" applyFont="1" applyFill="1" applyBorder="1" applyAlignment="1">
      <alignment horizontal="right" wrapText="1"/>
    </xf>
    <xf numFmtId="2" fontId="0" fillId="0" borderId="10" xfId="0" applyNumberFormat="1" applyFont="1" applyFill="1" applyBorder="1" applyAlignment="1">
      <alignment/>
    </xf>
    <xf numFmtId="0" fontId="5" fillId="0" borderId="11" xfId="0" applyFont="1" applyBorder="1" applyAlignment="1">
      <alignment/>
    </xf>
    <xf numFmtId="0" fontId="1" fillId="0" borderId="11" xfId="0" applyFont="1" applyBorder="1" applyAlignment="1">
      <alignment/>
    </xf>
    <xf numFmtId="49" fontId="0" fillId="0" borderId="10" xfId="0" applyNumberFormat="1" applyFont="1" applyFill="1" applyBorder="1" applyAlignment="1">
      <alignment horizontal="center" vertical="center" wrapText="1"/>
    </xf>
    <xf numFmtId="0" fontId="0" fillId="0" borderId="10" xfId="0" applyFont="1" applyBorder="1" applyAlignment="1">
      <alignment wrapText="1"/>
    </xf>
    <xf numFmtId="1" fontId="0" fillId="0" borderId="10" xfId="0" applyNumberFormat="1" applyFont="1" applyFill="1" applyBorder="1" applyAlignment="1">
      <alignment horizontal="right"/>
    </xf>
    <xf numFmtId="1" fontId="0" fillId="0" borderId="10" xfId="0" applyNumberFormat="1" applyFont="1" applyBorder="1" applyAlignment="1">
      <alignment horizontal="right"/>
    </xf>
    <xf numFmtId="0" fontId="6" fillId="0" borderId="10" xfId="0" applyFont="1" applyFill="1" applyBorder="1" applyAlignment="1">
      <alignment wrapText="1"/>
    </xf>
    <xf numFmtId="49" fontId="0" fillId="0" borderId="10" xfId="0" applyNumberFormat="1" applyFont="1" applyBorder="1" applyAlignment="1">
      <alignment horizontal="center"/>
    </xf>
    <xf numFmtId="0" fontId="6" fillId="0" borderId="10" xfId="0" applyFont="1" applyFill="1" applyBorder="1" applyAlignment="1">
      <alignment wrapText="1"/>
    </xf>
    <xf numFmtId="0" fontId="6" fillId="0" borderId="10" xfId="0" applyFont="1" applyFill="1" applyBorder="1" applyAlignment="1">
      <alignment horizontal="left" wrapText="1"/>
    </xf>
    <xf numFmtId="49" fontId="0" fillId="0" borderId="10" xfId="0" applyNumberFormat="1" applyFont="1" applyFill="1" applyBorder="1" applyAlignment="1">
      <alignment horizontal="center"/>
    </xf>
    <xf numFmtId="0" fontId="0" fillId="0" borderId="10" xfId="0" applyFont="1" applyFill="1" applyBorder="1" applyAlignment="1">
      <alignment horizontal="left" wrapText="1"/>
    </xf>
    <xf numFmtId="1" fontId="0" fillId="0" borderId="10" xfId="0" applyNumberFormat="1" applyFont="1" applyFill="1" applyBorder="1" applyAlignment="1">
      <alignment/>
    </xf>
    <xf numFmtId="0" fontId="0" fillId="0" borderId="0" xfId="0" applyFont="1" applyAlignment="1">
      <alignment/>
    </xf>
    <xf numFmtId="49" fontId="0" fillId="0" borderId="12" xfId="0" applyNumberFormat="1" applyFont="1" applyBorder="1" applyAlignment="1">
      <alignment/>
    </xf>
    <xf numFmtId="0" fontId="0" fillId="0" borderId="12" xfId="0" applyFont="1" applyBorder="1" applyAlignment="1">
      <alignment/>
    </xf>
    <xf numFmtId="49" fontId="0" fillId="0" borderId="11" xfId="0" applyNumberFormat="1" applyFont="1" applyBorder="1" applyAlignment="1">
      <alignment/>
    </xf>
    <xf numFmtId="0" fontId="0" fillId="0" borderId="11" xfId="0" applyFont="1" applyBorder="1" applyAlignment="1">
      <alignment/>
    </xf>
    <xf numFmtId="0" fontId="0" fillId="0" borderId="10" xfId="0" applyFont="1" applyBorder="1" applyAlignment="1">
      <alignment horizontal="center" vertical="center" wrapText="1"/>
    </xf>
    <xf numFmtId="0" fontId="0" fillId="0" borderId="10" xfId="0" applyFont="1" applyBorder="1" applyAlignment="1">
      <alignment horizontal="center"/>
    </xf>
    <xf numFmtId="49" fontId="0" fillId="30" borderId="10" xfId="0" applyNumberFormat="1" applyFont="1" applyFill="1" applyBorder="1" applyAlignment="1">
      <alignment horizontal="center"/>
    </xf>
    <xf numFmtId="0" fontId="0" fillId="30" borderId="10" xfId="0" applyFont="1" applyFill="1" applyBorder="1" applyAlignment="1">
      <alignment horizontal="left" wrapText="1"/>
    </xf>
    <xf numFmtId="1" fontId="0" fillId="30" borderId="10" xfId="0" applyNumberFormat="1" applyFont="1" applyFill="1" applyBorder="1" applyAlignment="1">
      <alignment horizontal="right"/>
    </xf>
    <xf numFmtId="1" fontId="0" fillId="30" borderId="10" xfId="0" applyNumberFormat="1" applyFont="1" applyFill="1" applyBorder="1" applyAlignment="1">
      <alignment/>
    </xf>
    <xf numFmtId="1" fontId="0" fillId="30" borderId="0" xfId="0" applyNumberFormat="1" applyFont="1" applyFill="1" applyAlignment="1">
      <alignment/>
    </xf>
    <xf numFmtId="0" fontId="0" fillId="30" borderId="0" xfId="0" applyFont="1" applyFill="1" applyAlignment="1">
      <alignment/>
    </xf>
    <xf numFmtId="1" fontId="0" fillId="0" borderId="10" xfId="0" applyNumberFormat="1" applyFont="1" applyBorder="1" applyAlignment="1">
      <alignment/>
    </xf>
    <xf numFmtId="1" fontId="0" fillId="0" borderId="0" xfId="0" applyNumberFormat="1" applyFont="1" applyFill="1" applyAlignment="1">
      <alignment/>
    </xf>
    <xf numFmtId="0" fontId="0" fillId="0" borderId="0" xfId="0" applyFont="1" applyFill="1" applyAlignment="1">
      <alignment/>
    </xf>
    <xf numFmtId="0" fontId="0" fillId="0" borderId="10" xfId="0" applyFont="1" applyBorder="1" applyAlignment="1">
      <alignment horizontal="left" wrapText="1"/>
    </xf>
    <xf numFmtId="1" fontId="0" fillId="0" borderId="0" xfId="0" applyNumberFormat="1" applyFont="1" applyAlignment="1">
      <alignment/>
    </xf>
    <xf numFmtId="0" fontId="0" fillId="0" borderId="10" xfId="0" applyFont="1" applyBorder="1" applyAlignment="1">
      <alignment vertical="top" wrapText="1"/>
    </xf>
    <xf numFmtId="49" fontId="0" fillId="0" borderId="0" xfId="0" applyNumberFormat="1" applyFont="1" applyAlignment="1">
      <alignment/>
    </xf>
    <xf numFmtId="49" fontId="0" fillId="0" borderId="10" xfId="0" applyNumberFormat="1" applyFont="1" applyBorder="1" applyAlignment="1">
      <alignment/>
    </xf>
    <xf numFmtId="0" fontId="0" fillId="0" borderId="10" xfId="0" applyFont="1" applyBorder="1" applyAlignment="1">
      <alignment/>
    </xf>
    <xf numFmtId="0" fontId="0" fillId="0" borderId="10" xfId="0" applyFont="1" applyBorder="1" applyAlignment="1">
      <alignment horizontal="left" vertical="center" wrapText="1"/>
    </xf>
    <xf numFmtId="0" fontId="0" fillId="0" borderId="10" xfId="0" applyFont="1" applyFill="1" applyBorder="1" applyAlignment="1">
      <alignment horizontal="left" vertical="center" wrapText="1"/>
    </xf>
    <xf numFmtId="0" fontId="0" fillId="0" borderId="10" xfId="0" applyFont="1" applyFill="1" applyBorder="1" applyAlignment="1">
      <alignment horizontal="justify" wrapText="1"/>
    </xf>
    <xf numFmtId="0" fontId="0" fillId="0" borderId="10" xfId="0" applyFont="1" applyFill="1" applyBorder="1" applyAlignment="1">
      <alignment wrapText="1"/>
    </xf>
    <xf numFmtId="2" fontId="0" fillId="0" borderId="10" xfId="0" applyNumberFormat="1" applyFont="1" applyFill="1" applyBorder="1" applyAlignment="1">
      <alignment horizontal="right"/>
    </xf>
    <xf numFmtId="1" fontId="0" fillId="31" borderId="0" xfId="0" applyNumberFormat="1" applyFont="1" applyFill="1" applyAlignment="1">
      <alignment/>
    </xf>
    <xf numFmtId="0" fontId="0" fillId="31" borderId="0" xfId="0" applyFont="1" applyFill="1" applyAlignment="1">
      <alignment/>
    </xf>
    <xf numFmtId="183" fontId="0" fillId="0" borderId="0" xfId="0" applyNumberFormat="1" applyFont="1" applyAlignment="1">
      <alignment/>
    </xf>
    <xf numFmtId="1" fontId="0" fillId="0" borderId="10" xfId="0" applyNumberFormat="1" applyFont="1" applyFill="1" applyBorder="1" applyAlignment="1">
      <alignment horizontal="left" wrapText="1"/>
    </xf>
    <xf numFmtId="49" fontId="0" fillId="0" borderId="10" xfId="0" applyNumberFormat="1" applyFont="1" applyFill="1" applyBorder="1" applyAlignment="1" quotePrefix="1">
      <alignment horizontal="center"/>
    </xf>
    <xf numFmtId="0" fontId="0" fillId="0" borderId="10" xfId="0" applyBorder="1" applyAlignment="1">
      <alignment wrapText="1"/>
    </xf>
    <xf numFmtId="49" fontId="0" fillId="0" borderId="10" xfId="0" applyNumberFormat="1" applyFont="1" applyFill="1" applyBorder="1" applyAlignment="1">
      <alignment horizontal="center" vertical="top"/>
    </xf>
    <xf numFmtId="0" fontId="0" fillId="0" borderId="10" xfId="0" applyFont="1" applyFill="1" applyBorder="1" applyAlignment="1">
      <alignment horizontal="left" vertical="top" wrapText="1"/>
    </xf>
    <xf numFmtId="0" fontId="0" fillId="0" borderId="10" xfId="0" applyFont="1" applyBorder="1" applyAlignment="1">
      <alignment horizontal="left" vertical="top" wrapText="1"/>
    </xf>
    <xf numFmtId="0" fontId="0" fillId="0" borderId="10" xfId="0" applyFill="1" applyBorder="1" applyAlignment="1">
      <alignment horizontal="left" wrapText="1"/>
    </xf>
    <xf numFmtId="0" fontId="0" fillId="0" borderId="10" xfId="0" applyBorder="1" applyAlignment="1">
      <alignment vertical="top" wrapText="1"/>
    </xf>
    <xf numFmtId="49" fontId="0" fillId="0" borderId="10" xfId="0" applyNumberFormat="1" applyBorder="1" applyAlignment="1">
      <alignment horizontal="center"/>
    </xf>
    <xf numFmtId="0" fontId="0" fillId="0" borderId="10" xfId="0" applyBorder="1" applyAlignment="1">
      <alignment horizontal="left" wrapText="1"/>
    </xf>
    <xf numFmtId="1" fontId="0" fillId="0" borderId="10" xfId="0" applyNumberFormat="1" applyFont="1" applyBorder="1" applyAlignment="1">
      <alignment horizontal="right"/>
    </xf>
    <xf numFmtId="1" fontId="0" fillId="0" borderId="13" xfId="0" applyNumberFormat="1" applyFont="1" applyFill="1" applyBorder="1" applyAlignment="1">
      <alignment/>
    </xf>
    <xf numFmtId="1" fontId="0" fillId="0" borderId="14" xfId="0" applyNumberFormat="1" applyFont="1" applyFill="1" applyBorder="1" applyAlignment="1">
      <alignment/>
    </xf>
    <xf numFmtId="49" fontId="0" fillId="0" borderId="13" xfId="0" applyNumberFormat="1" applyFont="1" applyFill="1" applyBorder="1" applyAlignment="1">
      <alignment horizontal="center"/>
    </xf>
    <xf numFmtId="0" fontId="6" fillId="0" borderId="13" xfId="0" applyFont="1" applyFill="1" applyBorder="1" applyAlignment="1">
      <alignment horizontal="left" wrapText="1"/>
    </xf>
    <xf numFmtId="1" fontId="0" fillId="0" borderId="13" xfId="0" applyNumberFormat="1" applyFont="1" applyFill="1" applyBorder="1" applyAlignment="1">
      <alignment horizontal="right"/>
    </xf>
    <xf numFmtId="49" fontId="0" fillId="0" borderId="14" xfId="0" applyNumberFormat="1" applyFont="1" applyFill="1" applyBorder="1" applyAlignment="1">
      <alignment horizontal="center"/>
    </xf>
    <xf numFmtId="0" fontId="6" fillId="0" borderId="14" xfId="0" applyFont="1" applyFill="1" applyBorder="1" applyAlignment="1">
      <alignment horizontal="left" wrapText="1"/>
    </xf>
    <xf numFmtId="1" fontId="0" fillId="0" borderId="14" xfId="0" applyNumberFormat="1" applyFont="1" applyFill="1" applyBorder="1" applyAlignment="1">
      <alignment horizontal="right"/>
    </xf>
    <xf numFmtId="0" fontId="6" fillId="0" borderId="13" xfId="0" applyNumberFormat="1" applyFont="1" applyFill="1" applyBorder="1" applyAlignment="1">
      <alignment horizontal="left" wrapText="1"/>
    </xf>
    <xf numFmtId="0" fontId="7" fillId="0" borderId="10" xfId="0" applyFont="1" applyBorder="1" applyAlignment="1">
      <alignment horizontal="center" vertical="center" wrapText="1"/>
    </xf>
    <xf numFmtId="0" fontId="7" fillId="0" borderId="13" xfId="0" applyFont="1" applyBorder="1" applyAlignment="1">
      <alignment horizontal="center" vertical="center" wrapText="1"/>
    </xf>
    <xf numFmtId="49" fontId="0" fillId="0" borderId="10" xfId="0" applyNumberFormat="1" applyFill="1" applyBorder="1" applyAlignment="1">
      <alignment horizontal="center"/>
    </xf>
    <xf numFmtId="1" fontId="0" fillId="0" borderId="10" xfId="0" applyNumberFormat="1" applyFont="1" applyBorder="1" applyAlignment="1">
      <alignment horizontal="center" vertical="center"/>
    </xf>
    <xf numFmtId="1" fontId="0" fillId="0" borderId="10" xfId="0" applyNumberFormat="1" applyFont="1" applyBorder="1" applyAlignment="1">
      <alignment horizontal="left" vertical="center" wrapText="1"/>
    </xf>
    <xf numFmtId="0" fontId="0" fillId="0" borderId="13" xfId="0" applyBorder="1" applyAlignment="1">
      <alignment horizontal="center" vertical="center" wrapText="1"/>
    </xf>
    <xf numFmtId="0" fontId="0" fillId="0" borderId="10" xfId="0" applyFill="1" applyBorder="1" applyAlignment="1">
      <alignment horizontal="left" vertical="center" wrapText="1"/>
    </xf>
    <xf numFmtId="0" fontId="7" fillId="0" borderId="10" xfId="0" applyFont="1" applyFill="1" applyBorder="1" applyAlignment="1">
      <alignment wrapText="1"/>
    </xf>
    <xf numFmtId="0" fontId="7" fillId="0" borderId="10" xfId="0" applyFont="1" applyBorder="1" applyAlignment="1">
      <alignment wrapText="1"/>
    </xf>
    <xf numFmtId="0" fontId="7" fillId="0" borderId="10" xfId="0" applyFont="1" applyBorder="1" applyAlignment="1">
      <alignment wrapText="1"/>
    </xf>
    <xf numFmtId="0" fontId="7" fillId="0" borderId="10" xfId="0" applyFont="1" applyBorder="1" applyAlignment="1">
      <alignment horizontal="left" wrapText="1"/>
    </xf>
    <xf numFmtId="1" fontId="0" fillId="0" borderId="10" xfId="0" applyNumberFormat="1" applyBorder="1" applyAlignment="1">
      <alignment horizontal="right"/>
    </xf>
    <xf numFmtId="1" fontId="0" fillId="0" borderId="10" xfId="0" applyNumberFormat="1" applyFont="1" applyBorder="1" applyAlignment="1">
      <alignment horizontal="right" vertical="center"/>
    </xf>
    <xf numFmtId="1" fontId="0" fillId="0" borderId="10" xfId="0" applyNumberFormat="1" applyFont="1" applyBorder="1" applyAlignment="1">
      <alignment vertical="center"/>
    </xf>
    <xf numFmtId="0" fontId="0" fillId="30" borderId="10" xfId="0" applyFill="1" applyBorder="1" applyAlignment="1">
      <alignment wrapText="1"/>
    </xf>
    <xf numFmtId="49" fontId="0" fillId="30" borderId="10" xfId="0" applyNumberFormat="1" applyFill="1" applyBorder="1" applyAlignment="1">
      <alignment horizontal="center"/>
    </xf>
    <xf numFmtId="0" fontId="0" fillId="30" borderId="10" xfId="0" applyFill="1" applyBorder="1" applyAlignment="1">
      <alignment vertical="top" wrapText="1"/>
    </xf>
    <xf numFmtId="0" fontId="0" fillId="30" borderId="10" xfId="0" applyFill="1" applyBorder="1" applyAlignment="1">
      <alignment horizontal="left" wrapText="1"/>
    </xf>
    <xf numFmtId="49" fontId="0" fillId="32" borderId="10" xfId="0" applyNumberFormat="1" applyFont="1" applyFill="1" applyBorder="1" applyAlignment="1">
      <alignment horizontal="center"/>
    </xf>
    <xf numFmtId="0" fontId="0" fillId="32" borderId="10" xfId="0" applyFont="1" applyFill="1" applyBorder="1" applyAlignment="1">
      <alignment horizontal="left" wrapText="1"/>
    </xf>
    <xf numFmtId="1" fontId="0" fillId="32" borderId="10" xfId="0" applyNumberFormat="1" applyFont="1" applyFill="1" applyBorder="1" applyAlignment="1">
      <alignment horizontal="right"/>
    </xf>
    <xf numFmtId="1" fontId="0" fillId="32" borderId="10" xfId="0" applyNumberFormat="1" applyFont="1" applyFill="1" applyBorder="1" applyAlignment="1">
      <alignment/>
    </xf>
    <xf numFmtId="0" fontId="0" fillId="32" borderId="10" xfId="0" applyFont="1" applyFill="1" applyBorder="1" applyAlignment="1">
      <alignment vertical="top" wrapText="1"/>
    </xf>
    <xf numFmtId="49" fontId="0" fillId="0" borderId="0" xfId="0" applyNumberFormat="1" applyAlignment="1">
      <alignment/>
    </xf>
    <xf numFmtId="49" fontId="0" fillId="0" borderId="10" xfId="0" applyNumberFormat="1" applyFont="1" applyBorder="1" applyAlignment="1">
      <alignment horizontal="center"/>
    </xf>
    <xf numFmtId="0" fontId="0" fillId="0" borderId="10" xfId="0" applyFont="1" applyBorder="1" applyAlignment="1">
      <alignment vertical="top" wrapText="1"/>
    </xf>
    <xf numFmtId="1" fontId="0" fillId="0" borderId="10" xfId="0" applyNumberFormat="1" applyFont="1" applyBorder="1" applyAlignment="1">
      <alignment/>
    </xf>
    <xf numFmtId="0" fontId="0" fillId="30" borderId="10" xfId="0" applyFont="1" applyFill="1" applyBorder="1" applyAlignment="1">
      <alignment wrapText="1"/>
    </xf>
    <xf numFmtId="0" fontId="0" fillId="30" borderId="10" xfId="0" applyFont="1" applyFill="1" applyBorder="1" applyAlignment="1">
      <alignment vertical="top" wrapText="1"/>
    </xf>
    <xf numFmtId="0" fontId="6" fillId="30" borderId="10" xfId="0" applyFont="1" applyFill="1" applyBorder="1" applyAlignment="1">
      <alignment wrapText="1"/>
    </xf>
    <xf numFmtId="0" fontId="0" fillId="30" borderId="10" xfId="0" applyFont="1" applyFill="1" applyBorder="1" applyAlignment="1">
      <alignment horizontal="left" wrapText="1"/>
    </xf>
    <xf numFmtId="1" fontId="0" fillId="0" borderId="10" xfId="0" applyNumberFormat="1" applyFill="1" applyBorder="1" applyAlignment="1">
      <alignment horizontal="right"/>
    </xf>
    <xf numFmtId="0" fontId="0" fillId="0" borderId="14" xfId="0" applyFont="1" applyFill="1" applyBorder="1" applyAlignment="1">
      <alignment horizontal="left" wrapText="1"/>
    </xf>
    <xf numFmtId="49" fontId="0" fillId="0" borderId="0" xfId="0" applyNumberFormat="1" applyFont="1" applyBorder="1" applyAlignment="1">
      <alignment horizontal="center"/>
    </xf>
    <xf numFmtId="0" fontId="8" fillId="0" borderId="0" xfId="0" applyFont="1" applyBorder="1" applyAlignment="1">
      <alignment horizontal="left" wrapText="1"/>
    </xf>
    <xf numFmtId="183" fontId="0" fillId="0" borderId="0" xfId="0" applyNumberFormat="1" applyFont="1" applyBorder="1" applyAlignment="1">
      <alignment horizontal="right"/>
    </xf>
    <xf numFmtId="183" fontId="0" fillId="0" borderId="0" xfId="0" applyNumberFormat="1" applyFont="1" applyBorder="1" applyAlignment="1">
      <alignment/>
    </xf>
    <xf numFmtId="49" fontId="0" fillId="0" borderId="0" xfId="0" applyNumberFormat="1" applyFont="1" applyBorder="1" applyAlignment="1">
      <alignment horizontal="left"/>
    </xf>
    <xf numFmtId="0" fontId="0" fillId="0" borderId="0" xfId="0" applyFont="1" applyBorder="1" applyAlignment="1">
      <alignment wrapText="1"/>
    </xf>
    <xf numFmtId="172" fontId="0" fillId="0" borderId="0" xfId="0" applyNumberFormat="1" applyFont="1" applyBorder="1" applyAlignment="1">
      <alignment/>
    </xf>
    <xf numFmtId="0" fontId="0" fillId="0" borderId="0" xfId="0" applyFont="1" applyBorder="1" applyAlignment="1">
      <alignment/>
    </xf>
    <xf numFmtId="49" fontId="0" fillId="0" borderId="0" xfId="0" applyNumberFormat="1" applyFont="1" applyAlignment="1">
      <alignment/>
    </xf>
    <xf numFmtId="0" fontId="4" fillId="0" borderId="0" xfId="0" applyFont="1" applyAlignment="1">
      <alignment/>
    </xf>
    <xf numFmtId="0" fontId="0" fillId="0" borderId="10" xfId="0" applyFont="1" applyBorder="1" applyAlignment="1">
      <alignment vertical="top" wrapText="1"/>
    </xf>
    <xf numFmtId="0" fontId="8" fillId="30" borderId="10" xfId="0" applyFont="1" applyFill="1" applyBorder="1" applyAlignment="1">
      <alignment horizontal="left" wrapText="1"/>
    </xf>
    <xf numFmtId="1" fontId="0" fillId="0" borderId="10" xfId="0" applyNumberFormat="1" applyFont="1" applyBorder="1" applyAlignment="1">
      <alignment/>
    </xf>
    <xf numFmtId="0" fontId="0" fillId="0" borderId="10" xfId="0" applyFont="1" applyBorder="1" applyAlignment="1">
      <alignment wrapText="1"/>
    </xf>
    <xf numFmtId="1" fontId="9" fillId="0" borderId="10" xfId="0" applyNumberFormat="1" applyFont="1" applyFill="1" applyBorder="1" applyAlignment="1">
      <alignment horizontal="right"/>
    </xf>
    <xf numFmtId="0" fontId="10" fillId="0" borderId="0" xfId="0" applyFont="1" applyAlignment="1">
      <alignment/>
    </xf>
    <xf numFmtId="0" fontId="11" fillId="0" borderId="0" xfId="0" applyFont="1" applyAlignment="1">
      <alignment wrapText="1"/>
    </xf>
    <xf numFmtId="183" fontId="11" fillId="0" borderId="0" xfId="0" applyNumberFormat="1" applyFont="1" applyBorder="1" applyAlignment="1">
      <alignment/>
    </xf>
    <xf numFmtId="0" fontId="11" fillId="0" borderId="0" xfId="0" applyFont="1" applyAlignment="1">
      <alignment/>
    </xf>
    <xf numFmtId="0" fontId="4" fillId="0" borderId="12" xfId="0" applyFont="1" applyBorder="1" applyAlignment="1">
      <alignment horizontal="left" wrapText="1"/>
    </xf>
    <xf numFmtId="0" fontId="10" fillId="0" borderId="0" xfId="0" applyFont="1" applyAlignment="1">
      <alignment horizontal="left"/>
    </xf>
    <xf numFmtId="0" fontId="5" fillId="0" borderId="15" xfId="0" applyFont="1" applyBorder="1" applyAlignment="1">
      <alignment horizontal="center"/>
    </xf>
    <xf numFmtId="0" fontId="5" fillId="0" borderId="16" xfId="0" applyFont="1" applyBorder="1" applyAlignment="1">
      <alignment horizontal="center"/>
    </xf>
    <xf numFmtId="0" fontId="5" fillId="0" borderId="17" xfId="0" applyFont="1" applyBorder="1" applyAlignment="1">
      <alignment horizontal="center"/>
    </xf>
    <xf numFmtId="0" fontId="7" fillId="0" borderId="14" xfId="0" applyFont="1" applyBorder="1" applyAlignment="1">
      <alignment horizontal="center" vertical="center" wrapText="1"/>
    </xf>
    <xf numFmtId="0" fontId="7" fillId="0" borderId="18" xfId="0" applyFont="1" applyBorder="1" applyAlignment="1">
      <alignment horizontal="center" vertical="center" wrapText="1"/>
    </xf>
    <xf numFmtId="0" fontId="7" fillId="0" borderId="13" xfId="0" applyFont="1" applyBorder="1" applyAlignment="1">
      <alignment horizontal="center" vertical="center" wrapText="1"/>
    </xf>
    <xf numFmtId="0" fontId="0" fillId="0" borderId="10" xfId="0" applyFont="1" applyBorder="1" applyAlignment="1">
      <alignment horizontal="center" vertical="center"/>
    </xf>
    <xf numFmtId="0" fontId="0" fillId="0" borderId="19" xfId="0" applyFont="1" applyBorder="1" applyAlignment="1">
      <alignment horizontal="center" vertical="center"/>
    </xf>
    <xf numFmtId="0" fontId="0" fillId="0" borderId="20" xfId="0" applyFont="1" applyBorder="1" applyAlignment="1">
      <alignment horizontal="center" vertical="center"/>
    </xf>
    <xf numFmtId="0" fontId="0" fillId="0" borderId="11" xfId="0" applyFont="1" applyFill="1" applyBorder="1" applyAlignment="1">
      <alignment horizontal="center"/>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18" xfId="0" applyBorder="1" applyAlignment="1">
      <alignment horizontal="center" vertical="center" wrapText="1"/>
    </xf>
    <xf numFmtId="0" fontId="0" fillId="0" borderId="13" xfId="0" applyBorder="1" applyAlignment="1">
      <alignment horizontal="center" vertical="center" wrapText="1"/>
    </xf>
    <xf numFmtId="0" fontId="10" fillId="0" borderId="12" xfId="0" applyFont="1" applyBorder="1" applyAlignment="1">
      <alignment horizontal="left" wrapText="1"/>
    </xf>
    <xf numFmtId="0" fontId="0" fillId="0" borderId="14" xfId="0" applyFont="1" applyBorder="1" applyAlignment="1">
      <alignment horizontal="center" vertical="center"/>
    </xf>
    <xf numFmtId="0" fontId="0" fillId="0" borderId="18" xfId="0" applyFont="1" applyBorder="1" applyAlignment="1">
      <alignment horizontal="center" vertical="center"/>
    </xf>
    <xf numFmtId="0" fontId="0" fillId="0" borderId="13" xfId="0" applyFont="1" applyBorder="1" applyAlignment="1">
      <alignment horizontal="center" vertical="center"/>
    </xf>
    <xf numFmtId="0" fontId="0" fillId="0" borderId="14" xfId="0" applyFont="1" applyBorder="1" applyAlignment="1">
      <alignment horizontal="center" vertical="center" wrapText="1"/>
    </xf>
    <xf numFmtId="0" fontId="0" fillId="0" borderId="18" xfId="0" applyFont="1" applyBorder="1" applyAlignment="1">
      <alignment horizontal="center" vertical="center" wrapText="1"/>
    </xf>
    <xf numFmtId="0" fontId="0" fillId="0" borderId="13" xfId="0" applyFont="1" applyBorder="1" applyAlignment="1">
      <alignment horizontal="center" vertical="center" wrapText="1"/>
    </xf>
    <xf numFmtId="0" fontId="10" fillId="0" borderId="0" xfId="0" applyFont="1" applyAlignment="1">
      <alignment horizontal="left" wrapText="1"/>
    </xf>
    <xf numFmtId="0" fontId="0" fillId="0" borderId="21" xfId="0" applyFont="1" applyBorder="1" applyAlignment="1">
      <alignment horizontal="center" vertical="center"/>
    </xf>
    <xf numFmtId="0" fontId="0" fillId="0" borderId="14" xfId="0"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P467"/>
  <sheetViews>
    <sheetView showZeros="0" tabSelected="1" view="pageBreakPreview" zoomScale="75" zoomScaleNormal="75" zoomScaleSheetLayoutView="75" zoomScalePageLayoutView="0" workbookViewId="0" topLeftCell="A4">
      <pane xSplit="2" ySplit="6" topLeftCell="C10" activePane="bottomRight" state="frozen"/>
      <selection pane="topLeft" activeCell="A4" sqref="A4"/>
      <selection pane="topRight" activeCell="C4" sqref="C4"/>
      <selection pane="bottomLeft" activeCell="A10" sqref="A10"/>
      <selection pane="bottomRight" activeCell="A4" sqref="A4:M4"/>
    </sheetView>
  </sheetViews>
  <sheetFormatPr defaultColWidth="9.00390625" defaultRowHeight="12.75"/>
  <cols>
    <col min="1" max="1" width="9.625" style="66" customWidth="1"/>
    <col min="2" max="2" width="34.375" style="47" customWidth="1"/>
    <col min="3" max="3" width="14.25390625" style="47" customWidth="1"/>
    <col min="4" max="4" width="12.875" style="47" customWidth="1"/>
    <col min="5" max="5" width="12.625" style="47" customWidth="1"/>
    <col min="6" max="6" width="12.875" style="47" customWidth="1"/>
    <col min="7" max="7" width="12.875" style="47" bestFit="1" customWidth="1"/>
    <col min="8" max="9" width="10.875" style="47" customWidth="1"/>
    <col min="10" max="10" width="13.00390625" style="47" customWidth="1"/>
    <col min="11" max="11" width="11.875" style="47" customWidth="1"/>
    <col min="12" max="12" width="18.125" style="47" customWidth="1"/>
    <col min="13" max="13" width="15.625" style="47" customWidth="1"/>
    <col min="14" max="14" width="18.00390625" style="47" customWidth="1"/>
    <col min="15" max="15" width="11.625" style="47" bestFit="1" customWidth="1"/>
    <col min="16" max="16384" width="9.125" style="47" customWidth="1"/>
  </cols>
  <sheetData>
    <row r="1" spans="1:13" ht="87" customHeight="1">
      <c r="A1" s="48"/>
      <c r="B1" s="49"/>
      <c r="C1" s="49"/>
      <c r="D1" s="49"/>
      <c r="E1" s="49"/>
      <c r="F1" s="149"/>
      <c r="G1" s="149"/>
      <c r="H1" s="49"/>
      <c r="I1" s="49"/>
      <c r="J1" s="165" t="s">
        <v>83</v>
      </c>
      <c r="K1" s="165"/>
      <c r="L1" s="165"/>
      <c r="M1" s="165"/>
    </row>
    <row r="2" spans="1:13" ht="26.25">
      <c r="A2" s="48"/>
      <c r="B2" s="49"/>
      <c r="C2" s="49"/>
      <c r="D2" s="49"/>
      <c r="E2" s="49"/>
      <c r="F2" s="149"/>
      <c r="G2" s="149"/>
      <c r="H2" s="49"/>
      <c r="I2" s="49"/>
      <c r="J2" s="165" t="s">
        <v>124</v>
      </c>
      <c r="K2" s="165"/>
      <c r="L2" s="165"/>
      <c r="M2" s="165"/>
    </row>
    <row r="3" spans="1:13" ht="30" customHeight="1">
      <c r="A3" s="48"/>
      <c r="B3" s="49"/>
      <c r="C3" s="49"/>
      <c r="D3" s="49"/>
      <c r="E3" s="49"/>
      <c r="F3" s="149"/>
      <c r="G3" s="149"/>
      <c r="H3" s="49"/>
      <c r="I3" s="49"/>
      <c r="J3" s="150" t="s">
        <v>237</v>
      </c>
      <c r="K3" s="150"/>
      <c r="L3" s="150"/>
      <c r="M3" s="150"/>
    </row>
    <row r="4" spans="1:13" ht="32.25" customHeight="1">
      <c r="A4" s="151" t="s">
        <v>309</v>
      </c>
      <c r="B4" s="152"/>
      <c r="C4" s="152"/>
      <c r="D4" s="152"/>
      <c r="E4" s="152"/>
      <c r="F4" s="152"/>
      <c r="G4" s="152"/>
      <c r="H4" s="152"/>
      <c r="I4" s="152"/>
      <c r="J4" s="152"/>
      <c r="K4" s="152"/>
      <c r="L4" s="152"/>
      <c r="M4" s="153"/>
    </row>
    <row r="5" spans="1:13" ht="14.25" customHeight="1">
      <c r="A5" s="50"/>
      <c r="B5" s="51"/>
      <c r="C5" s="34"/>
      <c r="D5" s="34"/>
      <c r="E5" s="34"/>
      <c r="F5" s="34"/>
      <c r="G5" s="34"/>
      <c r="H5" s="34"/>
      <c r="I5" s="35"/>
      <c r="J5" s="35"/>
      <c r="K5" s="160" t="s">
        <v>205</v>
      </c>
      <c r="L5" s="160"/>
      <c r="M5" s="160"/>
    </row>
    <row r="6" spans="1:13" ht="51.75" customHeight="1">
      <c r="A6" s="97" t="s">
        <v>78</v>
      </c>
      <c r="B6" s="52" t="s">
        <v>144</v>
      </c>
      <c r="C6" s="157" t="s">
        <v>18</v>
      </c>
      <c r="D6" s="157"/>
      <c r="E6" s="157"/>
      <c r="F6" s="158" t="s">
        <v>19</v>
      </c>
      <c r="G6" s="173"/>
      <c r="H6" s="173"/>
      <c r="I6" s="173"/>
      <c r="J6" s="173"/>
      <c r="K6" s="173"/>
      <c r="L6" s="159"/>
      <c r="M6" s="166" t="s">
        <v>74</v>
      </c>
    </row>
    <row r="7" spans="1:13" ht="12.75" customHeight="1">
      <c r="A7" s="154" t="s">
        <v>79</v>
      </c>
      <c r="B7" s="174" t="s">
        <v>80</v>
      </c>
      <c r="C7" s="166" t="s">
        <v>20</v>
      </c>
      <c r="D7" s="158" t="s">
        <v>146</v>
      </c>
      <c r="E7" s="159"/>
      <c r="F7" s="166" t="s">
        <v>20</v>
      </c>
      <c r="G7" s="169" t="s">
        <v>145</v>
      </c>
      <c r="H7" s="158" t="s">
        <v>146</v>
      </c>
      <c r="I7" s="159"/>
      <c r="J7" s="169" t="s">
        <v>149</v>
      </c>
      <c r="K7" s="161" t="s">
        <v>146</v>
      </c>
      <c r="L7" s="162"/>
      <c r="M7" s="167"/>
    </row>
    <row r="8" spans="1:13" ht="12.75">
      <c r="A8" s="155"/>
      <c r="B8" s="163"/>
      <c r="C8" s="167"/>
      <c r="D8" s="169" t="s">
        <v>147</v>
      </c>
      <c r="E8" s="169" t="s">
        <v>148</v>
      </c>
      <c r="F8" s="167"/>
      <c r="G8" s="170"/>
      <c r="H8" s="169" t="s">
        <v>147</v>
      </c>
      <c r="I8" s="169" t="s">
        <v>148</v>
      </c>
      <c r="J8" s="170"/>
      <c r="K8" s="163" t="s">
        <v>235</v>
      </c>
      <c r="L8" s="102" t="s">
        <v>146</v>
      </c>
      <c r="M8" s="167"/>
    </row>
    <row r="9" spans="1:13" ht="73.5" customHeight="1">
      <c r="A9" s="156"/>
      <c r="B9" s="164"/>
      <c r="C9" s="168"/>
      <c r="D9" s="171"/>
      <c r="E9" s="171"/>
      <c r="F9" s="168"/>
      <c r="G9" s="171"/>
      <c r="H9" s="171"/>
      <c r="I9" s="171"/>
      <c r="J9" s="171"/>
      <c r="K9" s="164"/>
      <c r="L9" s="98" t="s">
        <v>236</v>
      </c>
      <c r="M9" s="168"/>
    </row>
    <row r="10" spans="1:13" ht="11.25" customHeight="1">
      <c r="A10" s="41">
        <v>1</v>
      </c>
      <c r="B10" s="53">
        <v>2</v>
      </c>
      <c r="C10" s="53">
        <v>3</v>
      </c>
      <c r="D10" s="53">
        <v>4</v>
      </c>
      <c r="E10" s="53">
        <v>5</v>
      </c>
      <c r="F10" s="53">
        <v>6</v>
      </c>
      <c r="G10" s="53">
        <v>7</v>
      </c>
      <c r="H10" s="53">
        <v>8</v>
      </c>
      <c r="I10" s="53">
        <v>9</v>
      </c>
      <c r="J10" s="53">
        <v>10</v>
      </c>
      <c r="K10" s="53">
        <v>11</v>
      </c>
      <c r="L10" s="53">
        <v>12</v>
      </c>
      <c r="M10" s="53">
        <v>13</v>
      </c>
    </row>
    <row r="11" spans="1:15" s="59" customFormat="1" ht="25.5">
      <c r="A11" s="112" t="s">
        <v>314</v>
      </c>
      <c r="B11" s="124" t="s">
        <v>295</v>
      </c>
      <c r="C11" s="56">
        <f>C12+C15+C18+C25+C27+C23</f>
        <v>16992770</v>
      </c>
      <c r="D11" s="56">
        <f>D12+D15+D18+D25+D27+D23</f>
        <v>6647731</v>
      </c>
      <c r="E11" s="56">
        <f>E12+E15+E18+E25+E27+E23</f>
        <v>1462563</v>
      </c>
      <c r="F11" s="56">
        <f>G11+J11</f>
        <v>1051532</v>
      </c>
      <c r="G11" s="56">
        <f aca="true" t="shared" si="0" ref="G11:L11">G12+G15+G18+G25+G27+G23</f>
        <v>311186</v>
      </c>
      <c r="H11" s="56">
        <f t="shared" si="0"/>
        <v>0</v>
      </c>
      <c r="I11" s="56">
        <f t="shared" si="0"/>
        <v>0</v>
      </c>
      <c r="J11" s="56">
        <f t="shared" si="0"/>
        <v>740346</v>
      </c>
      <c r="K11" s="56">
        <f t="shared" si="0"/>
        <v>610346</v>
      </c>
      <c r="L11" s="56">
        <f t="shared" si="0"/>
        <v>603281</v>
      </c>
      <c r="M11" s="57">
        <f aca="true" t="shared" si="1" ref="M11:M40">C11+F11</f>
        <v>18044302</v>
      </c>
      <c r="N11" s="58"/>
      <c r="O11" s="58"/>
    </row>
    <row r="12" spans="1:15" s="62" customFormat="1" ht="12.75">
      <c r="A12" s="44" t="s">
        <v>150</v>
      </c>
      <c r="B12" s="45" t="s">
        <v>151</v>
      </c>
      <c r="C12" s="38">
        <f>C13</f>
        <v>10868849</v>
      </c>
      <c r="D12" s="38">
        <f>D13</f>
        <v>5248995</v>
      </c>
      <c r="E12" s="38">
        <f>E13</f>
        <v>1457017</v>
      </c>
      <c r="F12" s="39">
        <f>G12+J12</f>
        <v>496084</v>
      </c>
      <c r="G12" s="38">
        <f aca="true" t="shared" si="2" ref="G12:L12">G13</f>
        <v>36459</v>
      </c>
      <c r="H12" s="38">
        <f t="shared" si="2"/>
        <v>0</v>
      </c>
      <c r="I12" s="38">
        <f t="shared" si="2"/>
        <v>0</v>
      </c>
      <c r="J12" s="38">
        <f t="shared" si="2"/>
        <v>459625</v>
      </c>
      <c r="K12" s="38">
        <f t="shared" si="2"/>
        <v>459625</v>
      </c>
      <c r="L12" s="38">
        <f t="shared" si="2"/>
        <v>459625</v>
      </c>
      <c r="M12" s="60">
        <f t="shared" si="1"/>
        <v>11364933</v>
      </c>
      <c r="N12" s="58"/>
      <c r="O12" s="61"/>
    </row>
    <row r="13" spans="1:15" ht="12.75">
      <c r="A13" s="41" t="s">
        <v>21</v>
      </c>
      <c r="B13" s="63" t="s">
        <v>22</v>
      </c>
      <c r="C13" s="39">
        <f>9755180+154015-13000-1+472773+108009+13590+378283</f>
        <v>10868849</v>
      </c>
      <c r="D13" s="39">
        <f>4943060+18430+9970+277535</f>
        <v>5248995</v>
      </c>
      <c r="E13" s="39">
        <f>1411670+45347</f>
        <v>1457017</v>
      </c>
      <c r="F13" s="39">
        <f>G13+J13</f>
        <v>496084</v>
      </c>
      <c r="G13" s="39">
        <f>36459</f>
        <v>36459</v>
      </c>
      <c r="H13" s="39"/>
      <c r="I13" s="39"/>
      <c r="J13" s="39">
        <f>285625+250770-76781+11+28515-28515</f>
        <v>459625</v>
      </c>
      <c r="K13" s="39">
        <f>285625+250770-76781+11+28515-28515</f>
        <v>459625</v>
      </c>
      <c r="L13" s="39">
        <f>K13</f>
        <v>459625</v>
      </c>
      <c r="M13" s="60">
        <f t="shared" si="1"/>
        <v>11364933</v>
      </c>
      <c r="N13" s="58"/>
      <c r="O13" s="64"/>
    </row>
    <row r="14" spans="1:15" ht="77.25" customHeight="1" hidden="1">
      <c r="A14" s="41"/>
      <c r="B14" s="106" t="s">
        <v>257</v>
      </c>
      <c r="C14" s="39"/>
      <c r="D14" s="39"/>
      <c r="E14" s="39"/>
      <c r="F14" s="39">
        <f aca="true" t="shared" si="3" ref="F14:F34">G14+J14</f>
        <v>0</v>
      </c>
      <c r="G14" s="39"/>
      <c r="H14" s="39"/>
      <c r="I14" s="39"/>
      <c r="J14" s="39"/>
      <c r="K14" s="39"/>
      <c r="L14" s="39"/>
      <c r="M14" s="60">
        <f t="shared" si="1"/>
        <v>0</v>
      </c>
      <c r="N14" s="58"/>
      <c r="O14" s="64"/>
    </row>
    <row r="15" spans="1:15" ht="12.75">
      <c r="A15" s="41" t="s">
        <v>152</v>
      </c>
      <c r="B15" s="37" t="s">
        <v>153</v>
      </c>
      <c r="C15" s="39">
        <f>C16</f>
        <v>433124</v>
      </c>
      <c r="D15" s="39">
        <f aca="true" t="shared" si="4" ref="D15:L15">D16</f>
        <v>0</v>
      </c>
      <c r="E15" s="39">
        <f t="shared" si="4"/>
        <v>0</v>
      </c>
      <c r="F15" s="39">
        <f t="shared" si="4"/>
        <v>0</v>
      </c>
      <c r="G15" s="39">
        <f t="shared" si="4"/>
        <v>0</v>
      </c>
      <c r="H15" s="39">
        <f t="shared" si="4"/>
        <v>0</v>
      </c>
      <c r="I15" s="39">
        <f t="shared" si="4"/>
        <v>0</v>
      </c>
      <c r="J15" s="39">
        <f t="shared" si="4"/>
        <v>0</v>
      </c>
      <c r="K15" s="39">
        <f t="shared" si="4"/>
        <v>0</v>
      </c>
      <c r="L15" s="39">
        <f t="shared" si="4"/>
        <v>0</v>
      </c>
      <c r="M15" s="60">
        <f t="shared" si="1"/>
        <v>433124</v>
      </c>
      <c r="N15" s="58"/>
      <c r="O15" s="64"/>
    </row>
    <row r="16" spans="1:15" ht="24.75" customHeight="1">
      <c r="A16" s="41">
        <v>120201</v>
      </c>
      <c r="B16" s="65" t="s">
        <v>233</v>
      </c>
      <c r="C16" s="39">
        <f>400000+33124</f>
        <v>433124</v>
      </c>
      <c r="D16" s="39">
        <f>D17</f>
        <v>0</v>
      </c>
      <c r="E16" s="39">
        <f>E17</f>
        <v>0</v>
      </c>
      <c r="F16" s="39">
        <f t="shared" si="3"/>
        <v>0</v>
      </c>
      <c r="G16" s="39">
        <f>G17</f>
        <v>0</v>
      </c>
      <c r="H16" s="39">
        <f>H17</f>
        <v>0</v>
      </c>
      <c r="I16" s="39">
        <f>I17</f>
        <v>0</v>
      </c>
      <c r="J16" s="39">
        <f>J17</f>
        <v>0</v>
      </c>
      <c r="K16" s="39">
        <f>K17</f>
        <v>0</v>
      </c>
      <c r="L16" s="39"/>
      <c r="M16" s="60">
        <f>C16+F16</f>
        <v>433124</v>
      </c>
      <c r="N16" s="58"/>
      <c r="O16" s="64"/>
    </row>
    <row r="17" spans="1:15" ht="38.25" customHeight="1" hidden="1">
      <c r="A17" s="41"/>
      <c r="B17" s="65" t="s">
        <v>179</v>
      </c>
      <c r="C17" s="39"/>
      <c r="D17" s="39"/>
      <c r="E17" s="39"/>
      <c r="F17" s="39">
        <f t="shared" si="3"/>
        <v>0</v>
      </c>
      <c r="G17" s="39"/>
      <c r="H17" s="39"/>
      <c r="I17" s="39"/>
      <c r="J17" s="39"/>
      <c r="K17" s="39"/>
      <c r="L17" s="39"/>
      <c r="M17" s="60">
        <f aca="true" t="shared" si="5" ref="M17:M24">C17+F17</f>
        <v>0</v>
      </c>
      <c r="N17" s="58"/>
      <c r="O17" s="64"/>
    </row>
    <row r="18" spans="1:15" ht="12.75">
      <c r="A18" s="41" t="s">
        <v>154</v>
      </c>
      <c r="B18" s="65" t="s">
        <v>55</v>
      </c>
      <c r="C18" s="39"/>
      <c r="D18" s="39"/>
      <c r="E18" s="39"/>
      <c r="F18" s="39">
        <f t="shared" si="3"/>
        <v>7065</v>
      </c>
      <c r="G18" s="39"/>
      <c r="H18" s="39"/>
      <c r="I18" s="39"/>
      <c r="J18" s="39">
        <f>J19+J20+J22</f>
        <v>7065</v>
      </c>
      <c r="K18" s="39">
        <f>K19+K20+K22</f>
        <v>7065</v>
      </c>
      <c r="L18" s="39"/>
      <c r="M18" s="60">
        <f t="shared" si="5"/>
        <v>7065</v>
      </c>
      <c r="N18" s="58"/>
      <c r="O18" s="64"/>
    </row>
    <row r="19" spans="1:15" ht="26.25" customHeight="1">
      <c r="A19" s="41" t="s">
        <v>121</v>
      </c>
      <c r="B19" s="63" t="s">
        <v>122</v>
      </c>
      <c r="C19" s="39"/>
      <c r="D19" s="39"/>
      <c r="E19" s="39"/>
      <c r="F19" s="39">
        <f t="shared" si="3"/>
        <v>7065</v>
      </c>
      <c r="G19" s="39"/>
      <c r="H19" s="39"/>
      <c r="I19" s="39"/>
      <c r="J19" s="39">
        <f>K19</f>
        <v>7065</v>
      </c>
      <c r="K19" s="39">
        <v>7065</v>
      </c>
      <c r="L19" s="39"/>
      <c r="M19" s="60">
        <f t="shared" si="5"/>
        <v>7065</v>
      </c>
      <c r="N19" s="58"/>
      <c r="O19" s="64"/>
    </row>
    <row r="20" spans="1:15" ht="56.25" customHeight="1" hidden="1">
      <c r="A20" s="41" t="s">
        <v>217</v>
      </c>
      <c r="B20" s="37" t="s">
        <v>175</v>
      </c>
      <c r="C20" s="39"/>
      <c r="D20" s="39"/>
      <c r="E20" s="39"/>
      <c r="F20" s="39">
        <f t="shared" si="3"/>
        <v>0</v>
      </c>
      <c r="G20" s="39"/>
      <c r="H20" s="39"/>
      <c r="I20" s="39"/>
      <c r="J20" s="39"/>
      <c r="K20" s="39"/>
      <c r="L20" s="39"/>
      <c r="M20" s="60">
        <f t="shared" si="5"/>
        <v>0</v>
      </c>
      <c r="N20" s="58"/>
      <c r="O20" s="64"/>
    </row>
    <row r="21" spans="1:15" ht="35.25" customHeight="1" hidden="1">
      <c r="A21" s="41"/>
      <c r="B21" s="37" t="s">
        <v>170</v>
      </c>
      <c r="C21" s="39"/>
      <c r="D21" s="39"/>
      <c r="E21" s="39"/>
      <c r="F21" s="39">
        <f t="shared" si="3"/>
        <v>0</v>
      </c>
      <c r="G21" s="39"/>
      <c r="H21" s="39"/>
      <c r="I21" s="39"/>
      <c r="J21" s="39">
        <f>J20</f>
        <v>0</v>
      </c>
      <c r="K21" s="39">
        <f>K20</f>
        <v>0</v>
      </c>
      <c r="L21" s="39"/>
      <c r="M21" s="60">
        <f t="shared" si="5"/>
        <v>0</v>
      </c>
      <c r="N21" s="58"/>
      <c r="O21" s="64"/>
    </row>
    <row r="22" spans="1:15" ht="38.25" hidden="1">
      <c r="A22" s="85" t="s">
        <v>264</v>
      </c>
      <c r="B22" s="79" t="s">
        <v>265</v>
      </c>
      <c r="C22" s="39"/>
      <c r="D22" s="39"/>
      <c r="E22" s="39"/>
      <c r="F22" s="39">
        <f t="shared" si="3"/>
        <v>0</v>
      </c>
      <c r="G22" s="39"/>
      <c r="H22" s="39"/>
      <c r="I22" s="39"/>
      <c r="J22" s="39"/>
      <c r="K22" s="39"/>
      <c r="L22" s="39"/>
      <c r="M22" s="60">
        <f t="shared" si="5"/>
        <v>0</v>
      </c>
      <c r="N22" s="58"/>
      <c r="O22" s="64"/>
    </row>
    <row r="23" spans="1:15" ht="25.5" hidden="1">
      <c r="A23" s="41" t="s">
        <v>165</v>
      </c>
      <c r="B23" s="63" t="s">
        <v>166</v>
      </c>
      <c r="C23" s="39"/>
      <c r="D23" s="39"/>
      <c r="E23" s="39"/>
      <c r="F23" s="39">
        <f t="shared" si="3"/>
        <v>0</v>
      </c>
      <c r="G23" s="39"/>
      <c r="H23" s="39"/>
      <c r="I23" s="39"/>
      <c r="J23" s="39">
        <f>J24</f>
        <v>0</v>
      </c>
      <c r="K23" s="39">
        <f>K24</f>
        <v>0</v>
      </c>
      <c r="L23" s="39"/>
      <c r="M23" s="60">
        <f t="shared" si="5"/>
        <v>0</v>
      </c>
      <c r="N23" s="58"/>
      <c r="O23" s="64"/>
    </row>
    <row r="24" spans="1:15" ht="38.25" hidden="1">
      <c r="A24" s="41" t="s">
        <v>139</v>
      </c>
      <c r="B24" s="37" t="s">
        <v>140</v>
      </c>
      <c r="C24" s="39"/>
      <c r="D24" s="39"/>
      <c r="E24" s="39"/>
      <c r="F24" s="39">
        <f t="shared" si="3"/>
        <v>0</v>
      </c>
      <c r="G24" s="39"/>
      <c r="H24" s="39"/>
      <c r="I24" s="39"/>
      <c r="J24" s="39"/>
      <c r="K24" s="39">
        <f>J24</f>
        <v>0</v>
      </c>
      <c r="L24" s="39"/>
      <c r="M24" s="60">
        <f t="shared" si="5"/>
        <v>0</v>
      </c>
      <c r="N24" s="58"/>
      <c r="O24" s="64"/>
    </row>
    <row r="25" spans="1:15" ht="14.25" customHeight="1">
      <c r="A25" s="41" t="s">
        <v>157</v>
      </c>
      <c r="B25" s="37" t="s">
        <v>158</v>
      </c>
      <c r="C25" s="39"/>
      <c r="D25" s="39"/>
      <c r="E25" s="39"/>
      <c r="F25" s="39">
        <f t="shared" si="3"/>
        <v>404727</v>
      </c>
      <c r="G25" s="39">
        <f>G26</f>
        <v>274727</v>
      </c>
      <c r="H25" s="39"/>
      <c r="I25" s="39"/>
      <c r="J25" s="39">
        <f>J26</f>
        <v>130000</v>
      </c>
      <c r="K25" s="39"/>
      <c r="L25" s="39"/>
      <c r="M25" s="60">
        <f t="shared" si="1"/>
        <v>404727</v>
      </c>
      <c r="N25" s="58"/>
      <c r="O25" s="64"/>
    </row>
    <row r="26" spans="1:15" ht="81" customHeight="1">
      <c r="A26" s="41" t="s">
        <v>59</v>
      </c>
      <c r="B26" s="84" t="s">
        <v>249</v>
      </c>
      <c r="C26" s="39"/>
      <c r="D26" s="39"/>
      <c r="E26" s="39"/>
      <c r="F26" s="39">
        <f>G26+J26</f>
        <v>404727</v>
      </c>
      <c r="G26" s="39">
        <f>240000+110000+115227-20000-140000-10000-20500</f>
        <v>274727</v>
      </c>
      <c r="H26" s="39"/>
      <c r="I26" s="39"/>
      <c r="J26" s="39">
        <f>20000+100000+10000</f>
        <v>130000</v>
      </c>
      <c r="K26" s="39"/>
      <c r="L26" s="39"/>
      <c r="M26" s="60">
        <f t="shared" si="1"/>
        <v>404727</v>
      </c>
      <c r="N26" s="58"/>
      <c r="O26" s="64"/>
    </row>
    <row r="27" spans="1:15" ht="25.5" customHeight="1">
      <c r="A27" s="41" t="s">
        <v>159</v>
      </c>
      <c r="B27" s="65" t="s">
        <v>160</v>
      </c>
      <c r="C27" s="39">
        <f aca="true" t="shared" si="6" ref="C27:L27">C30+C28</f>
        <v>5690797</v>
      </c>
      <c r="D27" s="39">
        <f t="shared" si="6"/>
        <v>1398736</v>
      </c>
      <c r="E27" s="39">
        <f t="shared" si="6"/>
        <v>5546</v>
      </c>
      <c r="F27" s="39">
        <f t="shared" si="6"/>
        <v>143656</v>
      </c>
      <c r="G27" s="39">
        <f t="shared" si="6"/>
        <v>0</v>
      </c>
      <c r="H27" s="39">
        <f t="shared" si="6"/>
        <v>0</v>
      </c>
      <c r="I27" s="39">
        <f t="shared" si="6"/>
        <v>0</v>
      </c>
      <c r="J27" s="39">
        <f t="shared" si="6"/>
        <v>143656</v>
      </c>
      <c r="K27" s="39">
        <f t="shared" si="6"/>
        <v>143656</v>
      </c>
      <c r="L27" s="39">
        <f t="shared" si="6"/>
        <v>143656</v>
      </c>
      <c r="M27" s="60">
        <f t="shared" si="1"/>
        <v>5834453</v>
      </c>
      <c r="N27" s="58"/>
      <c r="O27" s="64"/>
    </row>
    <row r="28" spans="1:15" ht="51">
      <c r="A28" s="85" t="s">
        <v>81</v>
      </c>
      <c r="B28" s="84" t="s">
        <v>82</v>
      </c>
      <c r="C28" s="39">
        <v>46108</v>
      </c>
      <c r="D28" s="39"/>
      <c r="E28" s="39"/>
      <c r="F28" s="39"/>
      <c r="G28" s="39"/>
      <c r="H28" s="39"/>
      <c r="I28" s="39"/>
      <c r="J28" s="39"/>
      <c r="K28" s="39"/>
      <c r="L28" s="39"/>
      <c r="M28" s="60">
        <f t="shared" si="1"/>
        <v>46108</v>
      </c>
      <c r="N28" s="58"/>
      <c r="O28" s="64"/>
    </row>
    <row r="29" spans="1:15" ht="25.5" hidden="1">
      <c r="A29" s="41"/>
      <c r="B29" s="37" t="s">
        <v>170</v>
      </c>
      <c r="C29" s="39"/>
      <c r="D29" s="39">
        <f>D28</f>
        <v>0</v>
      </c>
      <c r="E29" s="39">
        <f>E28</f>
        <v>0</v>
      </c>
      <c r="F29" s="39"/>
      <c r="G29" s="39"/>
      <c r="H29" s="39"/>
      <c r="I29" s="39"/>
      <c r="J29" s="39"/>
      <c r="K29" s="39"/>
      <c r="L29" s="39"/>
      <c r="M29" s="60">
        <f t="shared" si="1"/>
        <v>0</v>
      </c>
      <c r="N29" s="58"/>
      <c r="O29" s="64"/>
    </row>
    <row r="30" spans="1:15" ht="15.75" customHeight="1">
      <c r="A30" s="41" t="s">
        <v>60</v>
      </c>
      <c r="B30" s="37" t="s">
        <v>98</v>
      </c>
      <c r="C30" s="39">
        <f>SUM(C31:C37)</f>
        <v>5644689</v>
      </c>
      <c r="D30" s="39">
        <f>SUM(D31:D37)</f>
        <v>1398736</v>
      </c>
      <c r="E30" s="39">
        <f>SUM(E31:E37)</f>
        <v>5546</v>
      </c>
      <c r="F30" s="39">
        <f t="shared" si="3"/>
        <v>143656</v>
      </c>
      <c r="G30" s="39">
        <f aca="true" t="shared" si="7" ref="G30:L30">SUM(G31:G37)</f>
        <v>0</v>
      </c>
      <c r="H30" s="39">
        <f t="shared" si="7"/>
        <v>0</v>
      </c>
      <c r="I30" s="39">
        <f t="shared" si="7"/>
        <v>0</v>
      </c>
      <c r="J30" s="39">
        <f>SUM(J31:J37)</f>
        <v>143656</v>
      </c>
      <c r="K30" s="39">
        <f t="shared" si="7"/>
        <v>143656</v>
      </c>
      <c r="L30" s="39">
        <f t="shared" si="7"/>
        <v>143656</v>
      </c>
      <c r="M30" s="60">
        <f t="shared" si="1"/>
        <v>5788345</v>
      </c>
      <c r="N30" s="58"/>
      <c r="O30" s="64"/>
    </row>
    <row r="31" spans="1:15" ht="51" hidden="1">
      <c r="A31" s="41"/>
      <c r="B31" s="79" t="s">
        <v>354</v>
      </c>
      <c r="C31" s="39"/>
      <c r="D31" s="39"/>
      <c r="E31" s="39"/>
      <c r="F31" s="39">
        <f t="shared" si="3"/>
        <v>0</v>
      </c>
      <c r="G31" s="39"/>
      <c r="H31" s="39"/>
      <c r="I31" s="39"/>
      <c r="J31" s="39">
        <f>36104-36104</f>
        <v>0</v>
      </c>
      <c r="K31" s="39">
        <f>J31</f>
        <v>0</v>
      </c>
      <c r="L31" s="39">
        <f>K31</f>
        <v>0</v>
      </c>
      <c r="M31" s="60">
        <f t="shared" si="1"/>
        <v>0</v>
      </c>
      <c r="N31" s="58"/>
      <c r="O31" s="64"/>
    </row>
    <row r="32" spans="1:15" ht="51" hidden="1">
      <c r="A32" s="41"/>
      <c r="B32" s="79" t="s">
        <v>303</v>
      </c>
      <c r="C32" s="39">
        <v>318714</v>
      </c>
      <c r="D32" s="39"/>
      <c r="E32" s="39"/>
      <c r="F32" s="39">
        <f t="shared" si="3"/>
        <v>143656</v>
      </c>
      <c r="G32" s="39"/>
      <c r="H32" s="39"/>
      <c r="I32" s="39"/>
      <c r="J32" s="39">
        <f>K32</f>
        <v>143656</v>
      </c>
      <c r="K32" s="39">
        <f>L32</f>
        <v>143656</v>
      </c>
      <c r="L32" s="39">
        <v>143656</v>
      </c>
      <c r="M32" s="60">
        <f t="shared" si="1"/>
        <v>462370</v>
      </c>
      <c r="N32" s="58"/>
      <c r="O32" s="64"/>
    </row>
    <row r="33" spans="1:15" ht="38.25" customHeight="1" hidden="1">
      <c r="A33" s="41"/>
      <c r="B33" s="79" t="s">
        <v>343</v>
      </c>
      <c r="C33" s="39">
        <f>237960+23296</f>
        <v>261256</v>
      </c>
      <c r="D33" s="39"/>
      <c r="E33" s="39"/>
      <c r="F33" s="39">
        <f t="shared" si="3"/>
        <v>0</v>
      </c>
      <c r="G33" s="39"/>
      <c r="H33" s="39"/>
      <c r="I33" s="39"/>
      <c r="J33" s="39"/>
      <c r="K33" s="39"/>
      <c r="L33" s="39"/>
      <c r="M33" s="60">
        <f t="shared" si="1"/>
        <v>261256</v>
      </c>
      <c r="N33" s="58"/>
      <c r="O33" s="64"/>
    </row>
    <row r="34" spans="1:15" ht="51.75" customHeight="1" hidden="1">
      <c r="A34" s="41"/>
      <c r="B34" s="79" t="s">
        <v>313</v>
      </c>
      <c r="C34" s="39">
        <f>2677000+111780+24924</f>
        <v>2813704</v>
      </c>
      <c r="D34" s="39">
        <v>1398736</v>
      </c>
      <c r="E34" s="39">
        <v>5546</v>
      </c>
      <c r="F34" s="39">
        <f t="shared" si="3"/>
        <v>0</v>
      </c>
      <c r="G34" s="39"/>
      <c r="H34" s="39"/>
      <c r="I34" s="39"/>
      <c r="J34" s="39"/>
      <c r="K34" s="39"/>
      <c r="L34" s="39"/>
      <c r="M34" s="60">
        <f t="shared" si="1"/>
        <v>2813704</v>
      </c>
      <c r="N34" s="58"/>
      <c r="O34" s="64"/>
    </row>
    <row r="35" spans="1:15" ht="51.75" customHeight="1" hidden="1">
      <c r="A35" s="41"/>
      <c r="B35" s="79" t="s">
        <v>356</v>
      </c>
      <c r="C35" s="39">
        <v>30000</v>
      </c>
      <c r="D35" s="39"/>
      <c r="E35" s="39"/>
      <c r="F35" s="39"/>
      <c r="G35" s="39"/>
      <c r="H35" s="39"/>
      <c r="I35" s="39"/>
      <c r="J35" s="39"/>
      <c r="K35" s="39"/>
      <c r="L35" s="39"/>
      <c r="M35" s="60">
        <f t="shared" si="1"/>
        <v>30000</v>
      </c>
      <c r="N35" s="58"/>
      <c r="O35" s="64"/>
    </row>
    <row r="36" spans="1:15" ht="25.5" hidden="1">
      <c r="A36" s="41"/>
      <c r="B36" s="84" t="s">
        <v>197</v>
      </c>
      <c r="C36" s="39">
        <f>5759497-1467000+48000-2040285-142360-58000-124600-89797-110000-35000</f>
        <v>1740455</v>
      </c>
      <c r="D36" s="39"/>
      <c r="E36" s="39"/>
      <c r="F36" s="39"/>
      <c r="G36" s="39"/>
      <c r="H36" s="39"/>
      <c r="I36" s="39"/>
      <c r="J36" s="39"/>
      <c r="K36" s="39"/>
      <c r="L36" s="39"/>
      <c r="M36" s="60">
        <f t="shared" si="1"/>
        <v>1740455</v>
      </c>
      <c r="N36" s="58"/>
      <c r="O36" s="64"/>
    </row>
    <row r="37" spans="1:15" ht="42" customHeight="1" hidden="1">
      <c r="A37" s="41"/>
      <c r="B37" s="79" t="s">
        <v>351</v>
      </c>
      <c r="C37" s="39">
        <v>480560</v>
      </c>
      <c r="D37" s="39"/>
      <c r="E37" s="39"/>
      <c r="F37" s="39"/>
      <c r="G37" s="39"/>
      <c r="H37" s="39"/>
      <c r="I37" s="39"/>
      <c r="J37" s="39"/>
      <c r="K37" s="39"/>
      <c r="L37" s="39"/>
      <c r="M37" s="60">
        <f t="shared" si="1"/>
        <v>480560</v>
      </c>
      <c r="N37" s="58"/>
      <c r="O37" s="64"/>
    </row>
    <row r="38" spans="1:15" s="75" customFormat="1" ht="39" customHeight="1" hidden="1">
      <c r="A38" s="54"/>
      <c r="B38" s="55" t="s">
        <v>17</v>
      </c>
      <c r="C38" s="56">
        <f>C40</f>
        <v>0</v>
      </c>
      <c r="D38" s="56">
        <f>D40</f>
        <v>0</v>
      </c>
      <c r="E38" s="56">
        <f>E40</f>
        <v>0</v>
      </c>
      <c r="F38" s="56">
        <f>G38+J38</f>
        <v>0</v>
      </c>
      <c r="G38" s="56">
        <f>G40</f>
        <v>0</v>
      </c>
      <c r="H38" s="56">
        <f>H40</f>
        <v>0</v>
      </c>
      <c r="I38" s="56">
        <f>I40</f>
        <v>0</v>
      </c>
      <c r="J38" s="56">
        <f>J40</f>
        <v>0</v>
      </c>
      <c r="K38" s="56">
        <f>K40</f>
        <v>0</v>
      </c>
      <c r="L38" s="56"/>
      <c r="M38" s="57">
        <f t="shared" si="1"/>
        <v>0</v>
      </c>
      <c r="N38" s="58"/>
      <c r="O38" s="74"/>
    </row>
    <row r="39" spans="1:15" s="62" customFormat="1" ht="12.75" customHeight="1" hidden="1">
      <c r="A39" s="44" t="s">
        <v>150</v>
      </c>
      <c r="B39" s="45" t="s">
        <v>151</v>
      </c>
      <c r="C39" s="38">
        <f aca="true" t="shared" si="8" ref="C39:J39">C40</f>
        <v>0</v>
      </c>
      <c r="D39" s="38">
        <f t="shared" si="8"/>
        <v>0</v>
      </c>
      <c r="E39" s="38">
        <f t="shared" si="8"/>
        <v>0</v>
      </c>
      <c r="F39" s="38">
        <f t="shared" si="8"/>
        <v>0</v>
      </c>
      <c r="G39" s="38">
        <f t="shared" si="8"/>
        <v>0</v>
      </c>
      <c r="H39" s="38">
        <f t="shared" si="8"/>
        <v>0</v>
      </c>
      <c r="I39" s="38">
        <f t="shared" si="8"/>
        <v>0</v>
      </c>
      <c r="J39" s="38">
        <f t="shared" si="8"/>
        <v>0</v>
      </c>
      <c r="K39" s="38"/>
      <c r="L39" s="38"/>
      <c r="M39" s="60">
        <f t="shared" si="1"/>
        <v>0</v>
      </c>
      <c r="N39" s="58"/>
      <c r="O39" s="61"/>
    </row>
    <row r="40" spans="1:15" ht="5.25" customHeight="1" hidden="1">
      <c r="A40" s="41" t="s">
        <v>21</v>
      </c>
      <c r="B40" s="63" t="s">
        <v>22</v>
      </c>
      <c r="C40" s="39"/>
      <c r="D40" s="39"/>
      <c r="E40" s="39"/>
      <c r="F40" s="38">
        <f>G40+J40</f>
        <v>0</v>
      </c>
      <c r="G40" s="39"/>
      <c r="H40" s="39"/>
      <c r="I40" s="39"/>
      <c r="J40" s="39"/>
      <c r="K40" s="39"/>
      <c r="L40" s="39"/>
      <c r="M40" s="60">
        <f t="shared" si="1"/>
        <v>0</v>
      </c>
      <c r="N40" s="58"/>
      <c r="O40" s="64"/>
    </row>
    <row r="41" spans="1:15" s="59" customFormat="1" ht="41.25" customHeight="1">
      <c r="A41" s="112" t="s">
        <v>323</v>
      </c>
      <c r="B41" s="113" t="s">
        <v>267</v>
      </c>
      <c r="C41" s="56">
        <f>C42+C44+C61+C66+C73+C77</f>
        <v>760050323</v>
      </c>
      <c r="D41" s="56">
        <f>D42+D44+D61+D66+D73+D77</f>
        <v>432877830</v>
      </c>
      <c r="E41" s="56">
        <f>E42+E44+E61+E66+E73+E77</f>
        <v>118516702</v>
      </c>
      <c r="F41" s="56">
        <f aca="true" t="shared" si="9" ref="F41:L41">F42+F44+F61+F66+F73+F77</f>
        <v>49148796</v>
      </c>
      <c r="G41" s="56">
        <f t="shared" si="9"/>
        <v>26727991</v>
      </c>
      <c r="H41" s="56">
        <f t="shared" si="9"/>
        <v>5874505</v>
      </c>
      <c r="I41" s="56">
        <f t="shared" si="9"/>
        <v>281920</v>
      </c>
      <c r="J41" s="56">
        <f t="shared" si="9"/>
        <v>22420805</v>
      </c>
      <c r="K41" s="56">
        <f>K42+K44+K61+K66+K73+K77</f>
        <v>21381011</v>
      </c>
      <c r="L41" s="56">
        <f t="shared" si="9"/>
        <v>2096230</v>
      </c>
      <c r="M41" s="57">
        <f aca="true" t="shared" si="10" ref="M41:M65">C41+F41</f>
        <v>809199119</v>
      </c>
      <c r="N41" s="58"/>
      <c r="O41" s="58"/>
    </row>
    <row r="42" spans="1:15" s="62" customFormat="1" ht="12.75">
      <c r="A42" s="44" t="s">
        <v>150</v>
      </c>
      <c r="B42" s="45" t="s">
        <v>151</v>
      </c>
      <c r="C42" s="38">
        <f>C43</f>
        <v>3596289</v>
      </c>
      <c r="D42" s="38">
        <f>D43</f>
        <v>2441418</v>
      </c>
      <c r="E42" s="38">
        <f>E43</f>
        <v>172460</v>
      </c>
      <c r="F42" s="39">
        <f aca="true" t="shared" si="11" ref="F42:F79">G42+J42</f>
        <v>0</v>
      </c>
      <c r="G42" s="38"/>
      <c r="H42" s="38"/>
      <c r="I42" s="38"/>
      <c r="J42" s="38"/>
      <c r="K42" s="38"/>
      <c r="L42" s="38"/>
      <c r="M42" s="60">
        <f t="shared" si="10"/>
        <v>3596289</v>
      </c>
      <c r="N42" s="58"/>
      <c r="O42" s="61"/>
    </row>
    <row r="43" spans="1:15" ht="12.75">
      <c r="A43" s="41" t="s">
        <v>21</v>
      </c>
      <c r="B43" s="63" t="s">
        <v>22</v>
      </c>
      <c r="C43" s="39">
        <f>3370430+24830+199517+1512</f>
        <v>3596289</v>
      </c>
      <c r="D43" s="39">
        <f>2291270+150148</f>
        <v>2441418</v>
      </c>
      <c r="E43" s="39">
        <v>172460</v>
      </c>
      <c r="F43" s="39">
        <f t="shared" si="11"/>
        <v>0</v>
      </c>
      <c r="G43" s="39"/>
      <c r="H43" s="39"/>
      <c r="I43" s="39"/>
      <c r="J43" s="39"/>
      <c r="K43" s="39"/>
      <c r="L43" s="39"/>
      <c r="M43" s="60">
        <f t="shared" si="10"/>
        <v>3596289</v>
      </c>
      <c r="N43" s="58"/>
      <c r="O43" s="64"/>
    </row>
    <row r="44" spans="1:15" ht="12.75">
      <c r="A44" s="41" t="s">
        <v>23</v>
      </c>
      <c r="B44" s="63" t="s">
        <v>24</v>
      </c>
      <c r="C44" s="39">
        <f>SUM(C45:C59)</f>
        <v>728621208</v>
      </c>
      <c r="D44" s="39">
        <f>SUM(D45:D59)</f>
        <v>415160699</v>
      </c>
      <c r="E44" s="39">
        <f>SUM(E45:E59)</f>
        <v>115831412</v>
      </c>
      <c r="F44" s="39">
        <f aca="true" t="shared" si="12" ref="F44:L44">F45+F47+F49+F50+F51+F53+F54+F55+F56+F57+F58</f>
        <v>29973415</v>
      </c>
      <c r="G44" s="39">
        <f t="shared" si="12"/>
        <v>25476304</v>
      </c>
      <c r="H44" s="39">
        <f t="shared" si="12"/>
        <v>5602986</v>
      </c>
      <c r="I44" s="39">
        <f t="shared" si="12"/>
        <v>267362</v>
      </c>
      <c r="J44" s="39">
        <f t="shared" si="12"/>
        <v>4497111</v>
      </c>
      <c r="K44" s="39">
        <f t="shared" si="12"/>
        <v>4028173</v>
      </c>
      <c r="L44" s="39">
        <f t="shared" si="12"/>
        <v>1939830</v>
      </c>
      <c r="M44" s="60">
        <f t="shared" si="10"/>
        <v>758594623</v>
      </c>
      <c r="N44" s="58"/>
      <c r="O44" s="64"/>
    </row>
    <row r="45" spans="1:15" ht="12.75">
      <c r="A45" s="41" t="s">
        <v>66</v>
      </c>
      <c r="B45" s="69" t="s">
        <v>63</v>
      </c>
      <c r="C45" s="39">
        <f>191666077+1245600+38800-381223+(277500)+(103000)-45440+(53500)-(22000)+(5000)+6153810+(31000)+4129+5601</f>
        <v>199135354</v>
      </c>
      <c r="D45" s="39">
        <f>101479330+4511300</f>
        <v>105990630</v>
      </c>
      <c r="E45" s="39">
        <f>36094104+488420-17856</f>
        <v>36564668</v>
      </c>
      <c r="F45" s="39">
        <f>G45+J45</f>
        <v>12246002</v>
      </c>
      <c r="G45" s="39">
        <v>11644416</v>
      </c>
      <c r="H45" s="39">
        <v>238230</v>
      </c>
      <c r="I45" s="39">
        <v>16890</v>
      </c>
      <c r="J45" s="39">
        <f>382847+99255+(79800)+(11000)+(29285)+(15000)-(21000)+(5399)</f>
        <v>601586</v>
      </c>
      <c r="K45" s="39">
        <f>382847+99255+(79800)+(11000)+(29285)+(15000)-(21000)+(5399)</f>
        <v>601586</v>
      </c>
      <c r="L45" s="39">
        <f>382847-45138-78400-55046+(79800)+(11000)+(29285)+(15000)-(21000)-131416+(5399)</f>
        <v>192331</v>
      </c>
      <c r="M45" s="60">
        <f t="shared" si="10"/>
        <v>211381356</v>
      </c>
      <c r="N45" s="58"/>
      <c r="O45" s="64"/>
    </row>
    <row r="46" spans="1:15" ht="45" hidden="1">
      <c r="A46" s="41"/>
      <c r="B46" s="107" t="s">
        <v>258</v>
      </c>
      <c r="C46" s="39"/>
      <c r="D46" s="39"/>
      <c r="E46" s="39"/>
      <c r="F46" s="39">
        <f t="shared" si="11"/>
        <v>0</v>
      </c>
      <c r="G46" s="39"/>
      <c r="H46" s="39"/>
      <c r="I46" s="39"/>
      <c r="J46" s="39"/>
      <c r="K46" s="39"/>
      <c r="L46" s="39"/>
      <c r="M46" s="60">
        <f t="shared" si="10"/>
        <v>0</v>
      </c>
      <c r="N46" s="58"/>
      <c r="O46" s="64"/>
    </row>
    <row r="47" spans="1:15" ht="51">
      <c r="A47" s="41" t="s">
        <v>25</v>
      </c>
      <c r="B47" s="86" t="s">
        <v>248</v>
      </c>
      <c r="C47" s="39">
        <f>456927127+2060473+34190-335714+(509500)+(108500)-(60000)+(16000)+73258+(181200)+(23000)+(5000)+6121290+(34500)-4129+(115000)</f>
        <v>465809195</v>
      </c>
      <c r="D47" s="39">
        <f>265210696+4515000</f>
        <v>269725696</v>
      </c>
      <c r="E47" s="39">
        <f>71833073+478442-24462</f>
        <v>72287053</v>
      </c>
      <c r="F47" s="39">
        <f t="shared" si="11"/>
        <v>16425702</v>
      </c>
      <c r="G47" s="39">
        <v>13290936</v>
      </c>
      <c r="H47" s="39">
        <v>5280685</v>
      </c>
      <c r="I47" s="39">
        <v>197303</v>
      </c>
      <c r="J47" s="39">
        <f>276154+400000+386964+1052948+(348000)+(110000)-(28000)+(144500)+(20000)-(12900)+502100-(65000)</f>
        <v>3134766</v>
      </c>
      <c r="K47" s="39">
        <f>400000+386964+1052948+(348000)+(110000)-(28000)+(144500)+(20000)-(12900)+502100-(65000)</f>
        <v>2858612</v>
      </c>
      <c r="L47" s="39">
        <f>400000+386964+(348000)+(110000)-(28000)-176000+(144500)-11740-6670+126000-13590-11570+(20000)-14520-(12900)+502100-90393-(65000)</f>
        <v>1607181</v>
      </c>
      <c r="M47" s="60">
        <f t="shared" si="10"/>
        <v>482234897</v>
      </c>
      <c r="N47" s="58"/>
      <c r="O47" s="64"/>
    </row>
    <row r="48" spans="1:15" ht="45" hidden="1">
      <c r="A48" s="41"/>
      <c r="B48" s="107" t="s">
        <v>258</v>
      </c>
      <c r="C48" s="39"/>
      <c r="D48" s="39"/>
      <c r="E48" s="39"/>
      <c r="F48" s="39">
        <f t="shared" si="11"/>
        <v>0</v>
      </c>
      <c r="G48" s="39"/>
      <c r="H48" s="39"/>
      <c r="I48" s="39"/>
      <c r="J48" s="39"/>
      <c r="K48" s="39"/>
      <c r="L48" s="39"/>
      <c r="M48" s="60">
        <f t="shared" si="10"/>
        <v>0</v>
      </c>
      <c r="N48" s="58"/>
      <c r="O48" s="64"/>
    </row>
    <row r="49" spans="1:15" ht="12.75">
      <c r="A49" s="100" t="s">
        <v>67</v>
      </c>
      <c r="B49" s="101" t="s">
        <v>75</v>
      </c>
      <c r="C49" s="39">
        <f>6973000+4299+(12000)-(4000)-3100</f>
        <v>6982199</v>
      </c>
      <c r="D49" s="39">
        <v>4930673</v>
      </c>
      <c r="E49" s="39">
        <f>279782+3333-145</f>
        <v>282970</v>
      </c>
      <c r="F49" s="39">
        <f t="shared" si="11"/>
        <v>11022</v>
      </c>
      <c r="G49" s="39">
        <v>1822</v>
      </c>
      <c r="H49" s="39"/>
      <c r="I49" s="39"/>
      <c r="J49" s="39">
        <f>(15200)-(11000)+(5000)</f>
        <v>9200</v>
      </c>
      <c r="K49" s="39">
        <f>(15200)-(11000)+(5000)</f>
        <v>9200</v>
      </c>
      <c r="L49" s="39">
        <f>K49</f>
        <v>9200</v>
      </c>
      <c r="M49" s="60">
        <f t="shared" si="10"/>
        <v>6993221</v>
      </c>
      <c r="N49" s="58"/>
      <c r="O49" s="64"/>
    </row>
    <row r="50" spans="1:14" s="3" customFormat="1" ht="51">
      <c r="A50" s="8" t="s">
        <v>68</v>
      </c>
      <c r="B50" s="2" t="s">
        <v>69</v>
      </c>
      <c r="C50" s="27">
        <f>4162757+2045-3245</f>
        <v>4161557</v>
      </c>
      <c r="D50" s="27">
        <v>3055832</v>
      </c>
      <c r="E50" s="27"/>
      <c r="F50" s="27">
        <f t="shared" si="11"/>
        <v>0</v>
      </c>
      <c r="G50" s="27">
        <v>0</v>
      </c>
      <c r="H50" s="27"/>
      <c r="I50" s="27"/>
      <c r="J50" s="27"/>
      <c r="K50" s="27"/>
      <c r="L50" s="27"/>
      <c r="M50" s="26">
        <f t="shared" si="10"/>
        <v>4161557</v>
      </c>
      <c r="N50" s="58"/>
    </row>
    <row r="51" spans="1:15" ht="25.5">
      <c r="A51" s="41" t="s">
        <v>26</v>
      </c>
      <c r="B51" s="63" t="s">
        <v>27</v>
      </c>
      <c r="C51" s="39">
        <f>26090500+218994+5410-53570+(9000)+(2000)-17278+(1000)+(8000)+1196200+(23000)</f>
        <v>27483256</v>
      </c>
      <c r="D51" s="39">
        <f>15165290+879500</f>
        <v>16044790</v>
      </c>
      <c r="E51" s="39">
        <f>5051052+1098-328</f>
        <v>5051822</v>
      </c>
      <c r="F51" s="39">
        <f t="shared" si="11"/>
        <v>878106</v>
      </c>
      <c r="G51" s="39">
        <v>338547</v>
      </c>
      <c r="H51" s="39">
        <v>84071</v>
      </c>
      <c r="I51" s="39">
        <v>53169</v>
      </c>
      <c r="J51" s="39">
        <f>78784+840+427657+(28000)+(4000)+17278+(4000)+(2000)-(23000)</f>
        <v>539559</v>
      </c>
      <c r="K51" s="39">
        <f>840+427657+(28000)+(4000)+17278+(4000)+(2000)-(23000)</f>
        <v>460775</v>
      </c>
      <c r="L51" s="39">
        <f>840+(28000)+(4000)+17278+(4000)+(2000)-(23000)</f>
        <v>33118</v>
      </c>
      <c r="M51" s="60">
        <f t="shared" si="10"/>
        <v>28361362</v>
      </c>
      <c r="N51" s="58"/>
      <c r="O51" s="64"/>
    </row>
    <row r="52" spans="1:15" ht="42.75" customHeight="1" hidden="1">
      <c r="A52" s="41"/>
      <c r="B52" s="107" t="s">
        <v>258</v>
      </c>
      <c r="C52" s="39"/>
      <c r="D52" s="39"/>
      <c r="E52" s="39"/>
      <c r="F52" s="39">
        <f t="shared" si="11"/>
        <v>0</v>
      </c>
      <c r="G52" s="39"/>
      <c r="H52" s="39"/>
      <c r="I52" s="39"/>
      <c r="J52" s="39"/>
      <c r="K52" s="39"/>
      <c r="L52" s="39"/>
      <c r="M52" s="60">
        <f t="shared" si="10"/>
        <v>0</v>
      </c>
      <c r="N52" s="58"/>
      <c r="O52" s="64"/>
    </row>
    <row r="53" spans="1:15" ht="27.75" customHeight="1">
      <c r="A53" s="41" t="s">
        <v>28</v>
      </c>
      <c r="B53" s="63" t="s">
        <v>128</v>
      </c>
      <c r="C53" s="39">
        <f>4483034+204621</f>
        <v>4687655</v>
      </c>
      <c r="D53" s="39">
        <v>3166844</v>
      </c>
      <c r="E53" s="39">
        <f>99895+1827</f>
        <v>101722</v>
      </c>
      <c r="F53" s="39">
        <f t="shared" si="11"/>
        <v>24500</v>
      </c>
      <c r="G53" s="39">
        <v>0</v>
      </c>
      <c r="H53" s="39"/>
      <c r="I53" s="39"/>
      <c r="J53" s="39">
        <f>25000-500</f>
        <v>24500</v>
      </c>
      <c r="K53" s="39">
        <f>J53</f>
        <v>24500</v>
      </c>
      <c r="L53" s="39">
        <f>K53</f>
        <v>24500</v>
      </c>
      <c r="M53" s="60">
        <f t="shared" si="10"/>
        <v>4712155</v>
      </c>
      <c r="N53" s="58"/>
      <c r="O53" s="64"/>
    </row>
    <row r="54" spans="1:15" ht="39" customHeight="1">
      <c r="A54" s="41" t="s">
        <v>224</v>
      </c>
      <c r="B54" s="79" t="s">
        <v>194</v>
      </c>
      <c r="C54" s="39">
        <f>849883+54088-617</f>
        <v>903354</v>
      </c>
      <c r="D54" s="39">
        <v>514137</v>
      </c>
      <c r="E54" s="39"/>
      <c r="F54" s="39">
        <f>G54+J54</f>
        <v>0</v>
      </c>
      <c r="G54" s="39"/>
      <c r="H54" s="39"/>
      <c r="I54" s="39"/>
      <c r="J54" s="39"/>
      <c r="K54" s="39"/>
      <c r="L54" s="39"/>
      <c r="M54" s="60">
        <f t="shared" si="10"/>
        <v>903354</v>
      </c>
      <c r="N54" s="58"/>
      <c r="O54" s="64"/>
    </row>
    <row r="55" spans="1:15" ht="36.75" customHeight="1">
      <c r="A55" s="41" t="s">
        <v>29</v>
      </c>
      <c r="B55" s="37" t="s">
        <v>129</v>
      </c>
      <c r="C55" s="39">
        <f>10879715+103682-8026</f>
        <v>10975371</v>
      </c>
      <c r="D55" s="39">
        <v>7048208</v>
      </c>
      <c r="E55" s="39">
        <f>403767+7575-95</f>
        <v>411247</v>
      </c>
      <c r="F55" s="39">
        <f t="shared" si="11"/>
        <v>73500</v>
      </c>
      <c r="G55" s="39"/>
      <c r="H55" s="39"/>
      <c r="I55" s="39"/>
      <c r="J55" s="39">
        <f>75000-1500</f>
        <v>73500</v>
      </c>
      <c r="K55" s="39">
        <f>J55</f>
        <v>73500</v>
      </c>
      <c r="L55" s="39">
        <f>K55</f>
        <v>73500</v>
      </c>
      <c r="M55" s="60">
        <f t="shared" si="10"/>
        <v>11048871</v>
      </c>
      <c r="N55" s="58"/>
      <c r="O55" s="64"/>
    </row>
    <row r="56" spans="1:15" ht="25.5">
      <c r="A56" s="41" t="s">
        <v>30</v>
      </c>
      <c r="B56" s="37" t="s">
        <v>130</v>
      </c>
      <c r="C56" s="39">
        <f>4576271+50763+(15000)-1040</f>
        <v>4640994</v>
      </c>
      <c r="D56" s="39">
        <v>2310290</v>
      </c>
      <c r="E56" s="39">
        <f>835432-390</f>
        <v>835042</v>
      </c>
      <c r="F56" s="39">
        <f t="shared" si="11"/>
        <v>314583</v>
      </c>
      <c r="G56" s="39">
        <v>200583</v>
      </c>
      <c r="H56" s="39"/>
      <c r="I56" s="39"/>
      <c r="J56" s="39">
        <v>114000</v>
      </c>
      <c r="K56" s="39"/>
      <c r="L56" s="39"/>
      <c r="M56" s="60">
        <f t="shared" si="10"/>
        <v>4955577</v>
      </c>
      <c r="N56" s="58"/>
      <c r="O56" s="64"/>
    </row>
    <row r="57" spans="1:15" ht="12.75">
      <c r="A57" s="85" t="s">
        <v>240</v>
      </c>
      <c r="B57" s="79" t="s">
        <v>241</v>
      </c>
      <c r="C57" s="39">
        <f>3536336+7227-1790</f>
        <v>3541773</v>
      </c>
      <c r="D57" s="39">
        <v>2373599</v>
      </c>
      <c r="E57" s="39">
        <f>293559+3430-101</f>
        <v>296888</v>
      </c>
      <c r="F57" s="39">
        <f t="shared" si="11"/>
        <v>0</v>
      </c>
      <c r="G57" s="39"/>
      <c r="H57" s="39"/>
      <c r="I57" s="39"/>
      <c r="J57" s="39">
        <f>(5000)-(5000)</f>
        <v>0</v>
      </c>
      <c r="K57" s="39">
        <f>J57</f>
        <v>0</v>
      </c>
      <c r="L57" s="39">
        <f>K57</f>
        <v>0</v>
      </c>
      <c r="M57" s="60">
        <f t="shared" si="10"/>
        <v>3541773</v>
      </c>
      <c r="N57" s="58"/>
      <c r="O57" s="64"/>
    </row>
    <row r="58" spans="1:15" ht="48.75" customHeight="1">
      <c r="A58" s="41" t="s">
        <v>210</v>
      </c>
      <c r="B58" s="37" t="s">
        <v>211</v>
      </c>
      <c r="C58" s="39">
        <v>300500</v>
      </c>
      <c r="D58" s="39"/>
      <c r="E58" s="39"/>
      <c r="F58" s="39">
        <f t="shared" si="11"/>
        <v>0</v>
      </c>
      <c r="G58" s="39"/>
      <c r="H58" s="39"/>
      <c r="I58" s="39"/>
      <c r="J58" s="39"/>
      <c r="K58" s="39"/>
      <c r="L58" s="39"/>
      <c r="M58" s="60">
        <f t="shared" si="10"/>
        <v>300500</v>
      </c>
      <c r="N58" s="58"/>
      <c r="O58" s="64"/>
    </row>
    <row r="59" spans="1:15" ht="102" hidden="1">
      <c r="A59" s="41" t="s">
        <v>218</v>
      </c>
      <c r="B59" s="37" t="s">
        <v>219</v>
      </c>
      <c r="C59" s="39"/>
      <c r="D59" s="39"/>
      <c r="E59" s="39"/>
      <c r="F59" s="39">
        <f t="shared" si="11"/>
        <v>0</v>
      </c>
      <c r="G59" s="39"/>
      <c r="H59" s="39"/>
      <c r="I59" s="39"/>
      <c r="J59" s="39"/>
      <c r="K59" s="39"/>
      <c r="L59" s="39"/>
      <c r="M59" s="60">
        <f t="shared" si="10"/>
        <v>0</v>
      </c>
      <c r="N59" s="58"/>
      <c r="O59" s="64"/>
    </row>
    <row r="60" spans="1:15" ht="25.5" hidden="1">
      <c r="A60" s="41"/>
      <c r="B60" s="37" t="s">
        <v>170</v>
      </c>
      <c r="C60" s="39"/>
      <c r="D60" s="39"/>
      <c r="E60" s="39"/>
      <c r="F60" s="39"/>
      <c r="G60" s="39"/>
      <c r="H60" s="39"/>
      <c r="I60" s="39"/>
      <c r="J60" s="39"/>
      <c r="K60" s="39"/>
      <c r="L60" s="39"/>
      <c r="M60" s="60">
        <f t="shared" si="10"/>
        <v>0</v>
      </c>
      <c r="N60" s="58"/>
      <c r="O60" s="64"/>
    </row>
    <row r="61" spans="1:15" ht="27" customHeight="1">
      <c r="A61" s="41" t="s">
        <v>43</v>
      </c>
      <c r="B61" s="37" t="s">
        <v>99</v>
      </c>
      <c r="C61" s="39">
        <f>SUM(C62:C65)</f>
        <v>3915768</v>
      </c>
      <c r="D61" s="39">
        <f>SUM(D62:D65)</f>
        <v>2023573</v>
      </c>
      <c r="E61" s="39">
        <f>SUM(E62:E65)</f>
        <v>21806</v>
      </c>
      <c r="F61" s="39">
        <f>G61+J61</f>
        <v>134400</v>
      </c>
      <c r="G61" s="39">
        <f aca="true" t="shared" si="13" ref="G61:L61">SUM(G62:G65)</f>
        <v>0</v>
      </c>
      <c r="H61" s="39">
        <f t="shared" si="13"/>
        <v>0</v>
      </c>
      <c r="I61" s="39">
        <f t="shared" si="13"/>
        <v>0</v>
      </c>
      <c r="J61" s="39">
        <f t="shared" si="13"/>
        <v>134400</v>
      </c>
      <c r="K61" s="39">
        <f t="shared" si="13"/>
        <v>134400</v>
      </c>
      <c r="L61" s="39">
        <f t="shared" si="13"/>
        <v>134400</v>
      </c>
      <c r="M61" s="60">
        <f t="shared" si="10"/>
        <v>4050168</v>
      </c>
      <c r="N61" s="58"/>
      <c r="O61" s="64"/>
    </row>
    <row r="62" spans="1:15" ht="25.5">
      <c r="A62" s="41" t="s">
        <v>126</v>
      </c>
      <c r="B62" s="65" t="s">
        <v>209</v>
      </c>
      <c r="C62" s="39">
        <f>1098928+3379+1709314</f>
        <v>2811621</v>
      </c>
      <c r="D62" s="39">
        <f>774870+1154429</f>
        <v>1929299</v>
      </c>
      <c r="E62" s="39">
        <v>21806</v>
      </c>
      <c r="F62" s="39">
        <f>G62+J62</f>
        <v>134400</v>
      </c>
      <c r="G62" s="39"/>
      <c r="H62" s="39"/>
      <c r="I62" s="39"/>
      <c r="J62" s="87">
        <f>K62</f>
        <v>134400</v>
      </c>
      <c r="K62" s="87">
        <f>L62</f>
        <v>134400</v>
      </c>
      <c r="L62" s="87">
        <v>134400</v>
      </c>
      <c r="M62" s="60">
        <f>C62+F62</f>
        <v>2946021</v>
      </c>
      <c r="N62" s="58"/>
      <c r="O62" s="64"/>
    </row>
    <row r="63" spans="1:15" ht="14.25" customHeight="1">
      <c r="A63" s="41" t="s">
        <v>127</v>
      </c>
      <c r="B63" s="65" t="s">
        <v>215</v>
      </c>
      <c r="C63" s="39">
        <f>182191+6604</f>
        <v>188795</v>
      </c>
      <c r="D63" s="39">
        <v>94274</v>
      </c>
      <c r="E63" s="39"/>
      <c r="F63" s="39">
        <f>G63+J63</f>
        <v>0</v>
      </c>
      <c r="G63" s="39"/>
      <c r="H63" s="39"/>
      <c r="I63" s="39"/>
      <c r="J63" s="39"/>
      <c r="K63" s="39"/>
      <c r="L63" s="39"/>
      <c r="M63" s="60">
        <f>C63+F63</f>
        <v>188795</v>
      </c>
      <c r="N63" s="58"/>
      <c r="O63" s="64"/>
    </row>
    <row r="64" spans="1:15" ht="29.25" customHeight="1">
      <c r="A64" s="41" t="s">
        <v>45</v>
      </c>
      <c r="B64" s="65" t="s">
        <v>171</v>
      </c>
      <c r="C64" s="39">
        <f>402381+96971</f>
        <v>499352</v>
      </c>
      <c r="D64" s="39"/>
      <c r="E64" s="39"/>
      <c r="F64" s="39">
        <f>G64+J64</f>
        <v>0</v>
      </c>
      <c r="G64" s="39"/>
      <c r="H64" s="39"/>
      <c r="I64" s="39"/>
      <c r="J64" s="39"/>
      <c r="K64" s="39"/>
      <c r="L64" s="39"/>
      <c r="M64" s="60">
        <f>C64+F64</f>
        <v>499352</v>
      </c>
      <c r="N64" s="58"/>
      <c r="O64" s="64"/>
    </row>
    <row r="65" spans="1:15" ht="92.25" customHeight="1">
      <c r="A65" s="41" t="s">
        <v>141</v>
      </c>
      <c r="B65" s="37" t="s">
        <v>225</v>
      </c>
      <c r="C65" s="39">
        <v>416000</v>
      </c>
      <c r="D65" s="39"/>
      <c r="E65" s="39"/>
      <c r="F65" s="39"/>
      <c r="G65" s="39"/>
      <c r="H65" s="39"/>
      <c r="I65" s="39"/>
      <c r="J65" s="39"/>
      <c r="K65" s="39"/>
      <c r="L65" s="39"/>
      <c r="M65" s="60">
        <f t="shared" si="10"/>
        <v>416000</v>
      </c>
      <c r="N65" s="58"/>
      <c r="O65" s="64"/>
    </row>
    <row r="66" spans="1:15" ht="14.25" customHeight="1">
      <c r="A66" s="41" t="s">
        <v>167</v>
      </c>
      <c r="B66" s="37" t="s">
        <v>64</v>
      </c>
      <c r="C66" s="39">
        <f>SUM(C67:C71)</f>
        <v>23917058</v>
      </c>
      <c r="D66" s="39">
        <f>SUM(D67:D71)</f>
        <v>13252140</v>
      </c>
      <c r="E66" s="39">
        <f>SUM(E67:E71)</f>
        <v>2491024</v>
      </c>
      <c r="F66" s="39">
        <f t="shared" si="11"/>
        <v>1262687</v>
      </c>
      <c r="G66" s="39">
        <f aca="true" t="shared" si="14" ref="G66:L66">SUM(G67:G71)</f>
        <v>1227187</v>
      </c>
      <c r="H66" s="39">
        <f t="shared" si="14"/>
        <v>271519</v>
      </c>
      <c r="I66" s="39">
        <f t="shared" si="14"/>
        <v>14558</v>
      </c>
      <c r="J66" s="39">
        <f t="shared" si="14"/>
        <v>35500</v>
      </c>
      <c r="K66" s="39">
        <f t="shared" si="14"/>
        <v>22000</v>
      </c>
      <c r="L66" s="39">
        <f t="shared" si="14"/>
        <v>22000</v>
      </c>
      <c r="M66" s="60">
        <f aca="true" t="shared" si="15" ref="M66:M104">C66+F66</f>
        <v>25179745</v>
      </c>
      <c r="N66" s="58"/>
      <c r="O66" s="64"/>
    </row>
    <row r="67" spans="1:15" ht="25.5">
      <c r="A67" s="41">
        <v>130102</v>
      </c>
      <c r="B67" s="84" t="s">
        <v>52</v>
      </c>
      <c r="C67" s="39">
        <f>263200+10000+10643</f>
        <v>283843</v>
      </c>
      <c r="D67" s="39"/>
      <c r="E67" s="39"/>
      <c r="F67" s="39">
        <f t="shared" si="11"/>
        <v>0</v>
      </c>
      <c r="G67" s="39"/>
      <c r="H67" s="39"/>
      <c r="I67" s="39"/>
      <c r="J67" s="39"/>
      <c r="K67" s="39"/>
      <c r="L67" s="39"/>
      <c r="M67" s="60">
        <f t="shared" si="15"/>
        <v>283843</v>
      </c>
      <c r="N67" s="58"/>
      <c r="O67" s="64"/>
    </row>
    <row r="68" spans="1:15" ht="38.25">
      <c r="A68" s="41">
        <v>130107</v>
      </c>
      <c r="B68" s="84" t="s">
        <v>53</v>
      </c>
      <c r="C68" s="39">
        <f>17842301+80117-24177+(7000)+(25000)-10000+(3000)+702376</f>
        <v>18625617</v>
      </c>
      <c r="D68" s="39">
        <f>11455509+546795</f>
        <v>12002304</v>
      </c>
      <c r="E68" s="39">
        <f>1913577+10949</f>
        <v>1924526</v>
      </c>
      <c r="F68" s="39">
        <f t="shared" si="11"/>
        <v>1121144</v>
      </c>
      <c r="G68" s="39">
        <v>1099144</v>
      </c>
      <c r="H68" s="39">
        <v>244857</v>
      </c>
      <c r="I68" s="39">
        <v>1200</v>
      </c>
      <c r="J68" s="39">
        <f>(17000)+(5000)</f>
        <v>22000</v>
      </c>
      <c r="K68" s="39">
        <f>(17000)+(5000)</f>
        <v>22000</v>
      </c>
      <c r="L68" s="39">
        <f>K68</f>
        <v>22000</v>
      </c>
      <c r="M68" s="60">
        <f t="shared" si="15"/>
        <v>19746761</v>
      </c>
      <c r="N68" s="58"/>
      <c r="O68" s="64"/>
    </row>
    <row r="69" spans="1:15" ht="25.5">
      <c r="A69" s="41">
        <v>130110</v>
      </c>
      <c r="B69" s="84" t="s">
        <v>54</v>
      </c>
      <c r="C69" s="39">
        <f>4528599+126+65157</f>
        <v>4593882</v>
      </c>
      <c r="D69" s="39">
        <f>962368+56023</f>
        <v>1018391</v>
      </c>
      <c r="E69" s="39">
        <v>467223</v>
      </c>
      <c r="F69" s="39">
        <f t="shared" si="11"/>
        <v>105283</v>
      </c>
      <c r="G69" s="39">
        <v>94283</v>
      </c>
      <c r="H69" s="39">
        <v>12606</v>
      </c>
      <c r="I69" s="39">
        <v>11191</v>
      </c>
      <c r="J69" s="39">
        <v>11000</v>
      </c>
      <c r="K69" s="39"/>
      <c r="L69" s="39"/>
      <c r="M69" s="60">
        <f t="shared" si="15"/>
        <v>4699165</v>
      </c>
      <c r="N69" s="58"/>
      <c r="O69" s="64"/>
    </row>
    <row r="70" spans="1:15" ht="12.75">
      <c r="A70" s="41" t="s">
        <v>123</v>
      </c>
      <c r="B70" s="65" t="s">
        <v>61</v>
      </c>
      <c r="C70" s="39">
        <f>399100+249+14367</f>
        <v>413716</v>
      </c>
      <c r="D70" s="39">
        <f>218563+12882</f>
        <v>231445</v>
      </c>
      <c r="E70" s="39">
        <v>99275</v>
      </c>
      <c r="F70" s="39">
        <f t="shared" si="11"/>
        <v>36260</v>
      </c>
      <c r="G70" s="39">
        <v>33760</v>
      </c>
      <c r="H70" s="39">
        <v>14056</v>
      </c>
      <c r="I70" s="39">
        <v>2167</v>
      </c>
      <c r="J70" s="39">
        <v>2500</v>
      </c>
      <c r="K70" s="39"/>
      <c r="L70" s="39"/>
      <c r="M70" s="60">
        <f t="shared" si="15"/>
        <v>449976</v>
      </c>
      <c r="N70" s="58"/>
      <c r="O70" s="64"/>
    </row>
    <row r="71" spans="1:15" ht="16.5" customHeight="1" hidden="1">
      <c r="A71" s="41">
        <v>130113</v>
      </c>
      <c r="B71" s="37" t="s">
        <v>42</v>
      </c>
      <c r="C71" s="39"/>
      <c r="D71" s="39"/>
      <c r="E71" s="39"/>
      <c r="F71" s="39">
        <f t="shared" si="11"/>
        <v>0</v>
      </c>
      <c r="G71" s="39"/>
      <c r="H71" s="39"/>
      <c r="I71" s="39"/>
      <c r="J71" s="39"/>
      <c r="K71" s="39"/>
      <c r="L71" s="39"/>
      <c r="M71" s="60">
        <f t="shared" si="15"/>
        <v>0</v>
      </c>
      <c r="N71" s="58"/>
      <c r="O71" s="64"/>
    </row>
    <row r="72" spans="1:15" ht="38.25" hidden="1">
      <c r="A72" s="41">
        <v>130107</v>
      </c>
      <c r="B72" s="65" t="s">
        <v>53</v>
      </c>
      <c r="C72" s="39"/>
      <c r="D72" s="39"/>
      <c r="E72" s="39"/>
      <c r="F72" s="39">
        <f t="shared" si="11"/>
        <v>0</v>
      </c>
      <c r="G72" s="39"/>
      <c r="H72" s="39"/>
      <c r="I72" s="39"/>
      <c r="J72" s="39"/>
      <c r="K72" s="39"/>
      <c r="L72" s="39"/>
      <c r="M72" s="60">
        <f t="shared" si="15"/>
        <v>0</v>
      </c>
      <c r="N72" s="58"/>
      <c r="O72" s="64"/>
    </row>
    <row r="73" spans="1:15" ht="12.75">
      <c r="A73" s="41" t="s">
        <v>154</v>
      </c>
      <c r="B73" s="65" t="s">
        <v>55</v>
      </c>
      <c r="C73" s="39">
        <f>C74+C75</f>
        <v>0</v>
      </c>
      <c r="D73" s="39">
        <f>D74+D75</f>
        <v>0</v>
      </c>
      <c r="E73" s="39">
        <f>E74+E75</f>
        <v>0</v>
      </c>
      <c r="F73" s="39">
        <f t="shared" si="11"/>
        <v>17196438</v>
      </c>
      <c r="G73" s="39">
        <f>G74+G75</f>
        <v>0</v>
      </c>
      <c r="H73" s="39">
        <f>H74+H75</f>
        <v>0</v>
      </c>
      <c r="I73" s="39">
        <f>I74+I75</f>
        <v>0</v>
      </c>
      <c r="J73" s="39">
        <f>J74+J75</f>
        <v>17196438</v>
      </c>
      <c r="K73" s="39">
        <f>K74+K75</f>
        <v>17196438</v>
      </c>
      <c r="L73" s="39"/>
      <c r="M73" s="60">
        <f t="shared" si="15"/>
        <v>17196438</v>
      </c>
      <c r="N73" s="58"/>
      <c r="O73" s="64"/>
    </row>
    <row r="74" spans="1:15" s="59" customFormat="1" ht="12.75">
      <c r="A74" s="41" t="s">
        <v>121</v>
      </c>
      <c r="B74" s="65" t="s">
        <v>122</v>
      </c>
      <c r="C74" s="39"/>
      <c r="D74" s="39"/>
      <c r="E74" s="39"/>
      <c r="F74" s="39">
        <f t="shared" si="11"/>
        <v>17196438</v>
      </c>
      <c r="G74" s="39"/>
      <c r="H74" s="39"/>
      <c r="I74" s="39"/>
      <c r="J74" s="39">
        <f>K74</f>
        <v>17196438</v>
      </c>
      <c r="K74" s="87">
        <f>14691804+2794634-290000</f>
        <v>17196438</v>
      </c>
      <c r="L74" s="39"/>
      <c r="M74" s="60">
        <f t="shared" si="15"/>
        <v>17196438</v>
      </c>
      <c r="N74" s="58"/>
      <c r="O74" s="58"/>
    </row>
    <row r="75" spans="1:15" s="62" customFormat="1" ht="12.75" hidden="1">
      <c r="A75" s="41" t="s">
        <v>142</v>
      </c>
      <c r="B75" s="65" t="s">
        <v>143</v>
      </c>
      <c r="C75" s="39"/>
      <c r="D75" s="39"/>
      <c r="E75" s="39"/>
      <c r="F75" s="39">
        <f t="shared" si="11"/>
        <v>0</v>
      </c>
      <c r="G75" s="39"/>
      <c r="H75" s="39"/>
      <c r="I75" s="39"/>
      <c r="J75" s="39"/>
      <c r="K75" s="39">
        <f>J75</f>
        <v>0</v>
      </c>
      <c r="L75" s="39"/>
      <c r="M75" s="60">
        <f t="shared" si="15"/>
        <v>0</v>
      </c>
      <c r="N75" s="58"/>
      <c r="O75" s="61"/>
    </row>
    <row r="76" spans="1:15" ht="25.5" hidden="1">
      <c r="A76" s="41"/>
      <c r="B76" s="65" t="s">
        <v>170</v>
      </c>
      <c r="C76" s="39"/>
      <c r="D76" s="39"/>
      <c r="E76" s="39"/>
      <c r="F76" s="39">
        <f t="shared" si="11"/>
        <v>0</v>
      </c>
      <c r="G76" s="39"/>
      <c r="H76" s="39"/>
      <c r="I76" s="39"/>
      <c r="J76" s="39"/>
      <c r="K76" s="39">
        <f>J76</f>
        <v>0</v>
      </c>
      <c r="L76" s="39"/>
      <c r="M76" s="60">
        <f t="shared" si="15"/>
        <v>0</v>
      </c>
      <c r="N76" s="58"/>
      <c r="O76" s="64"/>
    </row>
    <row r="77" spans="1:15" s="62" customFormat="1" ht="12.75">
      <c r="A77" s="41" t="s">
        <v>157</v>
      </c>
      <c r="B77" s="84" t="s">
        <v>161</v>
      </c>
      <c r="C77" s="39"/>
      <c r="D77" s="39"/>
      <c r="E77" s="39"/>
      <c r="F77" s="39">
        <f>G77+J77</f>
        <v>581856</v>
      </c>
      <c r="G77" s="39">
        <f>G78+G79</f>
        <v>24500</v>
      </c>
      <c r="H77" s="39">
        <f>H78</f>
        <v>0</v>
      </c>
      <c r="I77" s="39">
        <f>I78</f>
        <v>0</v>
      </c>
      <c r="J77" s="39">
        <f>J78+J79</f>
        <v>557356</v>
      </c>
      <c r="K77" s="39">
        <f>K78+K79</f>
        <v>0</v>
      </c>
      <c r="L77" s="39">
        <f>L78+L79</f>
        <v>0</v>
      </c>
      <c r="M77" s="60">
        <f t="shared" si="15"/>
        <v>581856</v>
      </c>
      <c r="N77" s="58"/>
      <c r="O77" s="61"/>
    </row>
    <row r="78" spans="1:15" ht="25.5">
      <c r="A78" s="41" t="s">
        <v>120</v>
      </c>
      <c r="B78" s="65" t="s">
        <v>136</v>
      </c>
      <c r="C78" s="39"/>
      <c r="D78" s="39"/>
      <c r="E78" s="39"/>
      <c r="F78" s="39">
        <f t="shared" si="11"/>
        <v>581856</v>
      </c>
      <c r="G78" s="39">
        <v>24500</v>
      </c>
      <c r="H78" s="39"/>
      <c r="I78" s="39"/>
      <c r="J78" s="39">
        <f>426000+131356</f>
        <v>557356</v>
      </c>
      <c r="K78" s="39"/>
      <c r="L78" s="39"/>
      <c r="M78" s="60">
        <f>C78+F78</f>
        <v>581856</v>
      </c>
      <c r="N78" s="58"/>
      <c r="O78" s="64"/>
    </row>
    <row r="79" spans="1:15" ht="25.5" hidden="1">
      <c r="A79" s="121" t="s">
        <v>59</v>
      </c>
      <c r="B79" s="122" t="s">
        <v>116</v>
      </c>
      <c r="C79" s="87"/>
      <c r="D79" s="87"/>
      <c r="E79" s="87"/>
      <c r="F79" s="87">
        <f t="shared" si="11"/>
        <v>0</v>
      </c>
      <c r="G79" s="87">
        <f>262546-262546</f>
        <v>0</v>
      </c>
      <c r="H79" s="87"/>
      <c r="I79" s="87"/>
      <c r="J79" s="87">
        <f>98000-98000</f>
        <v>0</v>
      </c>
      <c r="K79" s="87"/>
      <c r="L79" s="87"/>
      <c r="M79" s="123">
        <f t="shared" si="15"/>
        <v>0</v>
      </c>
      <c r="N79" s="58"/>
      <c r="O79" s="64"/>
    </row>
    <row r="80" spans="1:15" ht="25.5">
      <c r="A80" s="112" t="s">
        <v>324</v>
      </c>
      <c r="B80" s="113" t="s">
        <v>275</v>
      </c>
      <c r="C80" s="56">
        <f>C81+C83+C95+C99</f>
        <v>562489183</v>
      </c>
      <c r="D80" s="56">
        <f>D81+D83+D95+D99</f>
        <v>337531840</v>
      </c>
      <c r="E80" s="56">
        <f>E81+E83+E95+E99</f>
        <v>50498135</v>
      </c>
      <c r="F80" s="56">
        <f>F82+F83+F100+F96+F97</f>
        <v>40125773</v>
      </c>
      <c r="G80" s="56">
        <f aca="true" t="shared" si="16" ref="G80:L80">G81+G83+G95+G99</f>
        <v>17990461</v>
      </c>
      <c r="H80" s="56">
        <f t="shared" si="16"/>
        <v>7399138</v>
      </c>
      <c r="I80" s="56">
        <f t="shared" si="16"/>
        <v>986255</v>
      </c>
      <c r="J80" s="56">
        <f t="shared" si="16"/>
        <v>22135312</v>
      </c>
      <c r="K80" s="56">
        <f t="shared" si="16"/>
        <v>21410004</v>
      </c>
      <c r="L80" s="56">
        <f t="shared" si="16"/>
        <v>1506104</v>
      </c>
      <c r="M80" s="57">
        <f t="shared" si="15"/>
        <v>602614956</v>
      </c>
      <c r="N80" s="58"/>
      <c r="O80" s="64"/>
    </row>
    <row r="81" spans="1:15" ht="12.75">
      <c r="A81" s="44" t="s">
        <v>150</v>
      </c>
      <c r="B81" s="45" t="s">
        <v>151</v>
      </c>
      <c r="C81" s="38">
        <f>C82</f>
        <v>1035386</v>
      </c>
      <c r="D81" s="38">
        <f>D82</f>
        <v>646865</v>
      </c>
      <c r="E81" s="38">
        <f>E82</f>
        <v>103640</v>
      </c>
      <c r="F81" s="39">
        <f>F82</f>
        <v>0</v>
      </c>
      <c r="G81" s="39">
        <f aca="true" t="shared" si="17" ref="G81:L81">G82</f>
        <v>0</v>
      </c>
      <c r="H81" s="39">
        <f t="shared" si="17"/>
        <v>0</v>
      </c>
      <c r="I81" s="39">
        <f t="shared" si="17"/>
        <v>0</v>
      </c>
      <c r="J81" s="39">
        <f t="shared" si="17"/>
        <v>0</v>
      </c>
      <c r="K81" s="39">
        <f t="shared" si="17"/>
        <v>0</v>
      </c>
      <c r="L81" s="39">
        <f t="shared" si="17"/>
        <v>0</v>
      </c>
      <c r="M81" s="60">
        <f t="shared" si="15"/>
        <v>1035386</v>
      </c>
      <c r="N81" s="58"/>
      <c r="O81" s="64"/>
    </row>
    <row r="82" spans="1:15" ht="12.75">
      <c r="A82" s="41" t="s">
        <v>21</v>
      </c>
      <c r="B82" s="63" t="s">
        <v>22</v>
      </c>
      <c r="C82" s="39">
        <f>965940+7620+15096+46730</f>
        <v>1035386</v>
      </c>
      <c r="D82" s="39">
        <f>612580+34285</f>
        <v>646865</v>
      </c>
      <c r="E82" s="39">
        <v>103640</v>
      </c>
      <c r="F82" s="39">
        <f aca="true" t="shared" si="18" ref="F82:F100">G82+J82</f>
        <v>0</v>
      </c>
      <c r="G82" s="39"/>
      <c r="H82" s="39"/>
      <c r="I82" s="39"/>
      <c r="J82" s="39"/>
      <c r="K82" s="39"/>
      <c r="L82" s="39"/>
      <c r="M82" s="60">
        <f t="shared" si="15"/>
        <v>1035386</v>
      </c>
      <c r="N82" s="58"/>
      <c r="O82" s="64"/>
    </row>
    <row r="83" spans="1:15" ht="12.75">
      <c r="A83" s="44" t="s">
        <v>31</v>
      </c>
      <c r="B83" s="72" t="s">
        <v>32</v>
      </c>
      <c r="C83" s="39">
        <f>SUM(C84:C94)</f>
        <v>561453797</v>
      </c>
      <c r="D83" s="39">
        <f>SUM(D84:D94)</f>
        <v>336884975</v>
      </c>
      <c r="E83" s="39">
        <f>SUM(E84:E94)</f>
        <v>50394495</v>
      </c>
      <c r="F83" s="39">
        <f t="shared" si="18"/>
        <v>22784856</v>
      </c>
      <c r="G83" s="39">
        <f aca="true" t="shared" si="19" ref="G83:L83">G84+G86+G87+G89+G90+G91+G92+G93+G94</f>
        <v>17990461</v>
      </c>
      <c r="H83" s="39">
        <f t="shared" si="19"/>
        <v>7399138</v>
      </c>
      <c r="I83" s="39">
        <f t="shared" si="19"/>
        <v>986255</v>
      </c>
      <c r="J83" s="39">
        <f t="shared" si="19"/>
        <v>4794395</v>
      </c>
      <c r="K83" s="39">
        <f t="shared" si="19"/>
        <v>4069087</v>
      </c>
      <c r="L83" s="39">
        <f t="shared" si="19"/>
        <v>1506104</v>
      </c>
      <c r="M83" s="60">
        <f t="shared" si="15"/>
        <v>584238653</v>
      </c>
      <c r="N83" s="58"/>
      <c r="O83" s="64"/>
    </row>
    <row r="84" spans="1:15" ht="12.75">
      <c r="A84" s="41" t="s">
        <v>33</v>
      </c>
      <c r="B84" s="37" t="s">
        <v>34</v>
      </c>
      <c r="C84" s="39">
        <f>391546565-53913+1687381+348965+(110000)+(35000)+(23000)-62505+(57000)+176000-126000+11570+(10000)+78850+(16000)+(4000)-180935+(8000)-300000+(6800)+786900</f>
        <v>394182678</v>
      </c>
      <c r="D84" s="39">
        <v>238964603</v>
      </c>
      <c r="E84" s="39">
        <v>35956207</v>
      </c>
      <c r="F84" s="39">
        <f>G84+J84</f>
        <v>10688820</v>
      </c>
      <c r="G84" s="39">
        <v>7113243</v>
      </c>
      <c r="H84" s="39">
        <v>2397435</v>
      </c>
      <c r="I84" s="39">
        <v>356623</v>
      </c>
      <c r="J84" s="142">
        <f>214119+65000+2286136+326533+180000+(182000)+(48000)+(4000)-10000+(44700)+36450+(10000)+195439-(6800)</f>
        <v>3575577</v>
      </c>
      <c r="K84" s="39">
        <f>65000+2286136+326533+180000+(182000)+(48000)+(4000)-10000+(44700)+36450+(10000)+195439-(6800)</f>
        <v>3361458</v>
      </c>
      <c r="L84" s="39">
        <f>65000+2286136-1744716+(182000)+(48000)+(4000)-10000+(44700)+(10000)+195439-(6800)</f>
        <v>1073759</v>
      </c>
      <c r="M84" s="60">
        <f t="shared" si="15"/>
        <v>404871498</v>
      </c>
      <c r="N84" s="58"/>
      <c r="O84" s="64"/>
    </row>
    <row r="85" spans="1:15" ht="42" customHeight="1" hidden="1">
      <c r="A85" s="41"/>
      <c r="B85" s="107" t="s">
        <v>258</v>
      </c>
      <c r="C85" s="39"/>
      <c r="D85" s="39"/>
      <c r="E85" s="39"/>
      <c r="F85" s="39">
        <f t="shared" si="18"/>
        <v>0</v>
      </c>
      <c r="G85" s="39"/>
      <c r="H85" s="39"/>
      <c r="I85" s="39"/>
      <c r="J85" s="39">
        <f>K85</f>
        <v>0</v>
      </c>
      <c r="K85" s="39"/>
      <c r="L85" s="39"/>
      <c r="M85" s="60">
        <f t="shared" si="15"/>
        <v>0</v>
      </c>
      <c r="N85" s="58"/>
      <c r="O85" s="64"/>
    </row>
    <row r="86" spans="1:15" ht="12.75">
      <c r="A86" s="41" t="s">
        <v>70</v>
      </c>
      <c r="B86" s="37" t="s">
        <v>71</v>
      </c>
      <c r="C86" s="39">
        <f>56931008-1376589+352148+(30000)+(5000)+18474+(4000)+(3000)+(7000)+(31000)-25000+(10000)+274800</f>
        <v>56264841</v>
      </c>
      <c r="D86" s="39">
        <f>34400247-1012198</f>
        <v>33388049</v>
      </c>
      <c r="E86" s="39">
        <f>7744772+309729+32303</f>
        <v>8086804</v>
      </c>
      <c r="F86" s="39">
        <f t="shared" si="18"/>
        <v>818818</v>
      </c>
      <c r="G86" s="39">
        <v>657757</v>
      </c>
      <c r="H86" s="39">
        <v>9655</v>
      </c>
      <c r="I86" s="39"/>
      <c r="J86" s="39">
        <f>3500+33000+(10000)+(31000)+(10000)-(31000)+104561</f>
        <v>161061</v>
      </c>
      <c r="K86" s="39">
        <f>33000+(10000)+(31000)+(10000)-(31000)+104561</f>
        <v>157561</v>
      </c>
      <c r="L86" s="39">
        <f>(10000)+(31000)+(10000)-(31000)+104561</f>
        <v>124561</v>
      </c>
      <c r="M86" s="60">
        <f t="shared" si="15"/>
        <v>57083659</v>
      </c>
      <c r="N86" s="58"/>
      <c r="O86" s="64"/>
    </row>
    <row r="87" spans="1:15" ht="51">
      <c r="A87" s="41" t="s">
        <v>35</v>
      </c>
      <c r="B87" s="37" t="s">
        <v>131</v>
      </c>
      <c r="C87" s="39">
        <f>77840316+1457389+74142+462797+(15000)-8853+(33000)+(48000)+(7000)-35559+(5000)+75000</f>
        <v>79973232</v>
      </c>
      <c r="D87" s="39">
        <f>51301376+1012198</f>
        <v>52313574</v>
      </c>
      <c r="E87" s="39">
        <v>4883922</v>
      </c>
      <c r="F87" s="39">
        <f t="shared" si="18"/>
        <v>4382008</v>
      </c>
      <c r="G87" s="39">
        <v>3682187</v>
      </c>
      <c r="H87" s="39">
        <v>1518378</v>
      </c>
      <c r="I87" s="39">
        <v>155438</v>
      </c>
      <c r="J87" s="39">
        <f>169661+355810+(132650)+(47700)+(2000)-(26000)-(7000)+(10000)+(15000)</f>
        <v>699821</v>
      </c>
      <c r="K87" s="39">
        <f>355810+(132650)+(47700)+(2000)-(26000)-(7000)+(10000)+(15000)</f>
        <v>530160</v>
      </c>
      <c r="L87" s="39">
        <f>355810-242284+(132650)+(47700)+(2000)-(26000)-(7000)+(10000)+(15000)</f>
        <v>287876</v>
      </c>
      <c r="M87" s="60">
        <f t="shared" si="15"/>
        <v>84355240</v>
      </c>
      <c r="N87" s="58"/>
      <c r="O87" s="64"/>
    </row>
    <row r="88" spans="1:15" ht="65.25" customHeight="1" hidden="1">
      <c r="A88" s="41"/>
      <c r="B88" s="86" t="s">
        <v>258</v>
      </c>
      <c r="C88" s="39"/>
      <c r="D88" s="39"/>
      <c r="E88" s="39"/>
      <c r="F88" s="39">
        <f t="shared" si="18"/>
        <v>0</v>
      </c>
      <c r="G88" s="39"/>
      <c r="H88" s="39"/>
      <c r="I88" s="39"/>
      <c r="J88" s="39"/>
      <c r="K88" s="39"/>
      <c r="L88" s="39"/>
      <c r="M88" s="60">
        <f t="shared" si="15"/>
        <v>0</v>
      </c>
      <c r="N88" s="58"/>
      <c r="O88" s="64"/>
    </row>
    <row r="89" spans="1:15" ht="25.5">
      <c r="A89" s="41" t="s">
        <v>36</v>
      </c>
      <c r="B89" s="45" t="s">
        <v>37</v>
      </c>
      <c r="C89" s="39">
        <f>12453422+86957+(4000)+62884+4834994+10000</f>
        <v>17452257</v>
      </c>
      <c r="D89" s="39">
        <f>7051117+3381400</f>
        <v>10432517</v>
      </c>
      <c r="E89" s="39">
        <f>741528+64173+564910</f>
        <v>1370611</v>
      </c>
      <c r="F89" s="39">
        <f t="shared" si="18"/>
        <v>6875302</v>
      </c>
      <c r="G89" s="39">
        <v>6537274</v>
      </c>
      <c r="H89" s="39">
        <v>3473670</v>
      </c>
      <c r="I89" s="39">
        <v>474194</v>
      </c>
      <c r="J89" s="39">
        <v>338028</v>
      </c>
      <c r="K89" s="39"/>
      <c r="L89" s="39"/>
      <c r="M89" s="60">
        <f t="shared" si="15"/>
        <v>24327559</v>
      </c>
      <c r="N89" s="58"/>
      <c r="O89" s="64"/>
    </row>
    <row r="90" spans="1:15" ht="25.5">
      <c r="A90" s="41" t="s">
        <v>38</v>
      </c>
      <c r="B90" s="37" t="s">
        <v>103</v>
      </c>
      <c r="C90" s="39">
        <f>290623+5695</f>
        <v>296318</v>
      </c>
      <c r="D90" s="39">
        <v>194543</v>
      </c>
      <c r="E90" s="39">
        <v>13797</v>
      </c>
      <c r="F90" s="39">
        <f t="shared" si="18"/>
        <v>0</v>
      </c>
      <c r="G90" s="39"/>
      <c r="H90" s="39"/>
      <c r="I90" s="39"/>
      <c r="J90" s="39"/>
      <c r="K90" s="39"/>
      <c r="L90" s="39"/>
      <c r="M90" s="60">
        <f t="shared" si="15"/>
        <v>296318</v>
      </c>
      <c r="N90" s="58"/>
      <c r="O90" s="64"/>
    </row>
    <row r="91" spans="1:15" ht="27.75" customHeight="1">
      <c r="A91" s="41" t="s">
        <v>39</v>
      </c>
      <c r="B91" s="37" t="s">
        <v>132</v>
      </c>
      <c r="C91" s="39">
        <f>9449056-26887+13289-15605</f>
        <v>9419853</v>
      </c>
      <c r="D91" s="39">
        <v>382558</v>
      </c>
      <c r="E91" s="39">
        <v>28717</v>
      </c>
      <c r="F91" s="39">
        <f t="shared" si="18"/>
        <v>0</v>
      </c>
      <c r="G91" s="39"/>
      <c r="H91" s="39"/>
      <c r="I91" s="39"/>
      <c r="J91" s="39"/>
      <c r="K91" s="39"/>
      <c r="L91" s="39"/>
      <c r="M91" s="60">
        <f t="shared" si="15"/>
        <v>9419853</v>
      </c>
      <c r="N91" s="58"/>
      <c r="O91" s="64"/>
    </row>
    <row r="92" spans="1:15" ht="39.75" customHeight="1">
      <c r="A92" s="41" t="s">
        <v>40</v>
      </c>
      <c r="B92" s="37" t="s">
        <v>133</v>
      </c>
      <c r="C92" s="39">
        <v>35846</v>
      </c>
      <c r="D92" s="39">
        <v>26260</v>
      </c>
      <c r="E92" s="39"/>
      <c r="F92" s="39">
        <f t="shared" si="18"/>
        <v>0</v>
      </c>
      <c r="G92" s="39"/>
      <c r="H92" s="39"/>
      <c r="I92" s="39"/>
      <c r="J92" s="39"/>
      <c r="K92" s="39"/>
      <c r="L92" s="39"/>
      <c r="M92" s="60">
        <f t="shared" si="15"/>
        <v>35846</v>
      </c>
      <c r="N92" s="58"/>
      <c r="O92" s="64"/>
    </row>
    <row r="93" spans="1:15" ht="18.75" customHeight="1">
      <c r="A93" s="41" t="s">
        <v>41</v>
      </c>
      <c r="B93" s="37" t="s">
        <v>42</v>
      </c>
      <c r="C93" s="39">
        <f>1873364+41853</f>
        <v>1915217</v>
      </c>
      <c r="D93" s="39">
        <v>1182871</v>
      </c>
      <c r="E93" s="39">
        <v>54437</v>
      </c>
      <c r="F93" s="39">
        <f t="shared" si="18"/>
        <v>19908</v>
      </c>
      <c r="G93" s="39"/>
      <c r="H93" s="39"/>
      <c r="I93" s="39"/>
      <c r="J93" s="39">
        <v>19908</v>
      </c>
      <c r="K93" s="39">
        <v>19908</v>
      </c>
      <c r="L93" s="39">
        <v>19908</v>
      </c>
      <c r="M93" s="60">
        <f t="shared" si="15"/>
        <v>1935125</v>
      </c>
      <c r="N93" s="58"/>
      <c r="O93" s="64"/>
    </row>
    <row r="94" spans="1:15" ht="38.25">
      <c r="A94" s="41" t="s">
        <v>117</v>
      </c>
      <c r="B94" s="65" t="s">
        <v>172</v>
      </c>
      <c r="C94" s="39">
        <f>1976800-63245</f>
        <v>1913555</v>
      </c>
      <c r="D94" s="39"/>
      <c r="E94" s="39"/>
      <c r="F94" s="39">
        <f t="shared" si="18"/>
        <v>0</v>
      </c>
      <c r="G94" s="39"/>
      <c r="H94" s="39"/>
      <c r="I94" s="39"/>
      <c r="J94" s="39"/>
      <c r="K94" s="39"/>
      <c r="L94" s="39"/>
      <c r="M94" s="60">
        <f t="shared" si="15"/>
        <v>1913555</v>
      </c>
      <c r="N94" s="58"/>
      <c r="O94" s="64"/>
    </row>
    <row r="95" spans="1:15" s="59" customFormat="1" ht="12.75">
      <c r="A95" s="41" t="s">
        <v>154</v>
      </c>
      <c r="B95" s="65" t="s">
        <v>55</v>
      </c>
      <c r="C95" s="39">
        <f>C96+C97</f>
        <v>0</v>
      </c>
      <c r="D95" s="39">
        <f>D96+D97</f>
        <v>0</v>
      </c>
      <c r="E95" s="39">
        <f>E96+E97</f>
        <v>0</v>
      </c>
      <c r="F95" s="39">
        <f t="shared" si="18"/>
        <v>17340917</v>
      </c>
      <c r="G95" s="39">
        <f>G96+G97</f>
        <v>0</v>
      </c>
      <c r="H95" s="39">
        <f>H96+H97</f>
        <v>0</v>
      </c>
      <c r="I95" s="39">
        <f>I96+I97</f>
        <v>0</v>
      </c>
      <c r="J95" s="39">
        <f>J96+J97</f>
        <v>17340917</v>
      </c>
      <c r="K95" s="39">
        <f>K96+K97</f>
        <v>17340917</v>
      </c>
      <c r="L95" s="39">
        <f>L96</f>
        <v>0</v>
      </c>
      <c r="M95" s="60">
        <f t="shared" si="15"/>
        <v>17340917</v>
      </c>
      <c r="N95" s="58"/>
      <c r="O95" s="58"/>
    </row>
    <row r="96" spans="1:15" s="62" customFormat="1" ht="12.75">
      <c r="A96" s="41" t="s">
        <v>121</v>
      </c>
      <c r="B96" s="37" t="s">
        <v>122</v>
      </c>
      <c r="C96" s="39"/>
      <c r="D96" s="39"/>
      <c r="E96" s="39"/>
      <c r="F96" s="39">
        <f t="shared" si="18"/>
        <v>17340917</v>
      </c>
      <c r="G96" s="39"/>
      <c r="H96" s="39"/>
      <c r="I96" s="39"/>
      <c r="J96" s="39">
        <f>K96</f>
        <v>17340917</v>
      </c>
      <c r="K96" s="87">
        <f>16295891+1045026</f>
        <v>17340917</v>
      </c>
      <c r="L96" s="39">
        <f>L98</f>
        <v>0</v>
      </c>
      <c r="M96" s="60">
        <f t="shared" si="15"/>
        <v>17340917</v>
      </c>
      <c r="N96" s="58"/>
      <c r="O96" s="61"/>
    </row>
    <row r="97" spans="1:15" ht="12.75" hidden="1">
      <c r="A97" s="41" t="s">
        <v>142</v>
      </c>
      <c r="B97" s="37" t="s">
        <v>143</v>
      </c>
      <c r="C97" s="39"/>
      <c r="D97" s="39"/>
      <c r="E97" s="39"/>
      <c r="F97" s="39">
        <f>G97+J97</f>
        <v>0</v>
      </c>
      <c r="G97" s="39"/>
      <c r="H97" s="39"/>
      <c r="I97" s="39"/>
      <c r="J97" s="39"/>
      <c r="K97" s="39"/>
      <c r="L97" s="39"/>
      <c r="M97" s="60">
        <f t="shared" si="15"/>
        <v>0</v>
      </c>
      <c r="N97" s="58"/>
      <c r="O97" s="64"/>
    </row>
    <row r="98" spans="1:14" s="3" customFormat="1" ht="51" hidden="1">
      <c r="A98" s="41"/>
      <c r="B98" s="84" t="s">
        <v>302</v>
      </c>
      <c r="C98" s="39"/>
      <c r="D98" s="39"/>
      <c r="E98" s="39"/>
      <c r="F98" s="39">
        <f>G98+J98</f>
        <v>0</v>
      </c>
      <c r="G98" s="39"/>
      <c r="H98" s="39"/>
      <c r="I98" s="39"/>
      <c r="J98" s="39"/>
      <c r="K98" s="39">
        <f>J98</f>
        <v>0</v>
      </c>
      <c r="L98" s="39">
        <f>K98</f>
        <v>0</v>
      </c>
      <c r="M98" s="60">
        <f t="shared" si="15"/>
        <v>0</v>
      </c>
      <c r="N98" s="58"/>
    </row>
    <row r="99" spans="1:14" s="3" customFormat="1" ht="12.75" hidden="1">
      <c r="A99" s="41" t="s">
        <v>157</v>
      </c>
      <c r="B99" s="65" t="s">
        <v>161</v>
      </c>
      <c r="C99" s="39">
        <f>C100</f>
        <v>0</v>
      </c>
      <c r="D99" s="39"/>
      <c r="E99" s="39"/>
      <c r="F99" s="39">
        <f t="shared" si="18"/>
        <v>0</v>
      </c>
      <c r="G99" s="39">
        <f>G100</f>
        <v>0</v>
      </c>
      <c r="H99" s="39">
        <f>H100</f>
        <v>0</v>
      </c>
      <c r="I99" s="39">
        <f>I100</f>
        <v>0</v>
      </c>
      <c r="J99" s="39">
        <f>J100</f>
        <v>0</v>
      </c>
      <c r="K99" s="39">
        <f>K100</f>
        <v>0</v>
      </c>
      <c r="L99" s="39"/>
      <c r="M99" s="60">
        <f t="shared" si="15"/>
        <v>0</v>
      </c>
      <c r="N99" s="58"/>
    </row>
    <row r="100" spans="1:14" s="3" customFormat="1" ht="39.75" customHeight="1" hidden="1">
      <c r="A100" s="41" t="s">
        <v>59</v>
      </c>
      <c r="B100" s="65" t="s">
        <v>116</v>
      </c>
      <c r="C100" s="39"/>
      <c r="D100" s="39"/>
      <c r="E100" s="39"/>
      <c r="F100" s="39">
        <f t="shared" si="18"/>
        <v>0</v>
      </c>
      <c r="G100" s="39"/>
      <c r="H100" s="39"/>
      <c r="I100" s="39"/>
      <c r="J100" s="39"/>
      <c r="K100" s="39"/>
      <c r="L100" s="39"/>
      <c r="M100" s="60">
        <f t="shared" si="15"/>
        <v>0</v>
      </c>
      <c r="N100" s="58"/>
    </row>
    <row r="101" spans="1:14" s="3" customFormat="1" ht="41.25" customHeight="1">
      <c r="A101" s="112" t="s">
        <v>325</v>
      </c>
      <c r="B101" s="113" t="s">
        <v>278</v>
      </c>
      <c r="C101" s="56">
        <f>C102+C104+C107+C162+C164+C173+C175</f>
        <v>677165144</v>
      </c>
      <c r="D101" s="56">
        <f>D102+D104+D107+D162+D164+D173+D175</f>
        <v>23837360</v>
      </c>
      <c r="E101" s="56">
        <f>E102+E104+E107+E162+E164+E173+E175</f>
        <v>2101771</v>
      </c>
      <c r="F101" s="56">
        <f>G101+J101</f>
        <v>5856268</v>
      </c>
      <c r="G101" s="56">
        <f aca="true" t="shared" si="20" ref="G101:L101">G102+G104+G107+G162+G164+G173+G175</f>
        <v>223597</v>
      </c>
      <c r="H101" s="56">
        <f t="shared" si="20"/>
        <v>80437</v>
      </c>
      <c r="I101" s="56">
        <f t="shared" si="20"/>
        <v>830</v>
      </c>
      <c r="J101" s="56">
        <f t="shared" si="20"/>
        <v>5632671</v>
      </c>
      <c r="K101" s="56">
        <f t="shared" si="20"/>
        <v>5626371</v>
      </c>
      <c r="L101" s="56">
        <f t="shared" si="20"/>
        <v>284915</v>
      </c>
      <c r="M101" s="57">
        <f t="shared" si="15"/>
        <v>683021412</v>
      </c>
      <c r="N101" s="58"/>
    </row>
    <row r="102" spans="1:14" s="3" customFormat="1" ht="12.75">
      <c r="A102" s="44" t="s">
        <v>150</v>
      </c>
      <c r="B102" s="45" t="s">
        <v>151</v>
      </c>
      <c r="C102" s="38">
        <f>C103</f>
        <v>21826174</v>
      </c>
      <c r="D102" s="38">
        <f>D103</f>
        <v>14869475</v>
      </c>
      <c r="E102" s="38">
        <f>E103</f>
        <v>902430</v>
      </c>
      <c r="F102" s="39">
        <f>G102+J102</f>
        <v>79642</v>
      </c>
      <c r="G102" s="38">
        <f aca="true" t="shared" si="21" ref="G102:L102">G103</f>
        <v>0</v>
      </c>
      <c r="H102" s="38">
        <f t="shared" si="21"/>
        <v>0</v>
      </c>
      <c r="I102" s="38">
        <f t="shared" si="21"/>
        <v>0</v>
      </c>
      <c r="J102" s="38">
        <f t="shared" si="21"/>
        <v>79642</v>
      </c>
      <c r="K102" s="38">
        <f t="shared" si="21"/>
        <v>79642</v>
      </c>
      <c r="L102" s="38">
        <f t="shared" si="21"/>
        <v>79642</v>
      </c>
      <c r="M102" s="60">
        <f t="shared" si="15"/>
        <v>21905816</v>
      </c>
      <c r="N102" s="58"/>
    </row>
    <row r="103" spans="1:14" s="3" customFormat="1" ht="12.75">
      <c r="A103" s="41" t="s">
        <v>21</v>
      </c>
      <c r="B103" s="63" t="s">
        <v>22</v>
      </c>
      <c r="C103" s="39">
        <f>20400430+166742-12120+1263622+7500</f>
        <v>21826174</v>
      </c>
      <c r="D103" s="39">
        <f>13946910-12120+934685</f>
        <v>14869475</v>
      </c>
      <c r="E103" s="39">
        <f>896430+6000</f>
        <v>902430</v>
      </c>
      <c r="F103" s="39">
        <f>G103+J103</f>
        <v>79642</v>
      </c>
      <c r="G103" s="39"/>
      <c r="H103" s="39"/>
      <c r="I103" s="39"/>
      <c r="J103" s="39">
        <f>K103</f>
        <v>79642</v>
      </c>
      <c r="K103" s="39">
        <f>L103</f>
        <v>79642</v>
      </c>
      <c r="L103" s="39">
        <v>79642</v>
      </c>
      <c r="M103" s="60">
        <f t="shared" si="15"/>
        <v>21905816</v>
      </c>
      <c r="N103" s="58"/>
    </row>
    <row r="104" spans="1:14" s="3" customFormat="1" ht="12.75">
      <c r="A104" s="9" t="s">
        <v>23</v>
      </c>
      <c r="B104" s="15" t="s">
        <v>24</v>
      </c>
      <c r="C104" s="27">
        <f>C105</f>
        <v>450028</v>
      </c>
      <c r="D104" s="27">
        <f>D105</f>
        <v>0</v>
      </c>
      <c r="E104" s="27">
        <f>E105</f>
        <v>0</v>
      </c>
      <c r="F104" s="27">
        <f>G104+J104</f>
        <v>0</v>
      </c>
      <c r="G104" s="27"/>
      <c r="H104" s="27"/>
      <c r="I104" s="27"/>
      <c r="J104" s="27">
        <f>K104</f>
        <v>0</v>
      </c>
      <c r="K104" s="27">
        <f>L104</f>
        <v>0</v>
      </c>
      <c r="L104" s="27"/>
      <c r="M104" s="26">
        <f t="shared" si="15"/>
        <v>450028</v>
      </c>
      <c r="N104" s="58"/>
    </row>
    <row r="105" spans="1:14" s="3" customFormat="1" ht="27.75" customHeight="1">
      <c r="A105" s="9" t="s">
        <v>15</v>
      </c>
      <c r="B105" s="15" t="s">
        <v>16</v>
      </c>
      <c r="C105" s="27">
        <f>449315+713</f>
        <v>450028</v>
      </c>
      <c r="D105" s="27"/>
      <c r="E105" s="27"/>
      <c r="F105" s="27">
        <f>G105+J105</f>
        <v>0</v>
      </c>
      <c r="G105" s="27"/>
      <c r="H105" s="27"/>
      <c r="I105" s="27"/>
      <c r="J105" s="27"/>
      <c r="K105" s="27"/>
      <c r="L105" s="27"/>
      <c r="M105" s="26">
        <f aca="true" t="shared" si="22" ref="M105:M114">C105+F105</f>
        <v>450028</v>
      </c>
      <c r="N105" s="58"/>
    </row>
    <row r="106" spans="1:14" s="3" customFormat="1" ht="100.5" customHeight="1">
      <c r="A106" s="9"/>
      <c r="B106" s="104" t="s">
        <v>259</v>
      </c>
      <c r="C106" s="27">
        <f>C105</f>
        <v>450028</v>
      </c>
      <c r="D106" s="27"/>
      <c r="E106" s="27"/>
      <c r="F106" s="27"/>
      <c r="G106" s="27"/>
      <c r="H106" s="27"/>
      <c r="I106" s="27"/>
      <c r="J106" s="27"/>
      <c r="K106" s="27"/>
      <c r="L106" s="27"/>
      <c r="M106" s="26">
        <f t="shared" si="22"/>
        <v>450028</v>
      </c>
      <c r="N106" s="58"/>
    </row>
    <row r="107" spans="1:14" s="3" customFormat="1" ht="25.5">
      <c r="A107" s="41" t="s">
        <v>43</v>
      </c>
      <c r="B107" s="65" t="s">
        <v>99</v>
      </c>
      <c r="C107" s="39">
        <f>C108+C110+C112+C114+C117+C120+C122+C124+C126+C128+C130+C132+C134+C136+C138+C140+C142+C144+C146+C148+C150+C152+C154+C156+C157+C159+C160+C158</f>
        <v>601757277</v>
      </c>
      <c r="D107" s="39">
        <f>D108+D110+D112+D114+D117+D120+D122+D124+D126+D128+D130+D132+D134+D136+D138+D140+D142+D144+D146+D148+D150+D152+D154+D156+D157+D159+D160</f>
        <v>8967885</v>
      </c>
      <c r="E107" s="39">
        <f>E108+E110+E112+E114+E117+E120+E122+E124+E126+E128+E130+E132+E134+E136+E138+E140+E142+E144+E146+E148+E150+E152+E154+E156+E157+E159+E160</f>
        <v>1199341</v>
      </c>
      <c r="F107" s="39">
        <f>G107+J107</f>
        <v>328870</v>
      </c>
      <c r="G107" s="39">
        <f aca="true" t="shared" si="23" ref="G107:L107">G108+G110+G112+G114+G117+G120+G122+G124+G126+G128+G130+G132+G134+G136+G138+G140+G142+G144+G146+G148+G150+G152+G154+G156+G157+G159+G160</f>
        <v>123597</v>
      </c>
      <c r="H107" s="39">
        <f t="shared" si="23"/>
        <v>80437</v>
      </c>
      <c r="I107" s="39">
        <f t="shared" si="23"/>
        <v>830</v>
      </c>
      <c r="J107" s="39">
        <f>J108+J110+J112+J114+J117+J120+J122+J124+J126+J128+J130+J132+J134+J136+J138+J140+J142+J144+J146+J148+J150+J152+J154+J156+J157+J159+J160</f>
        <v>205273</v>
      </c>
      <c r="K107" s="39">
        <f t="shared" si="23"/>
        <v>205273</v>
      </c>
      <c r="L107" s="39">
        <f t="shared" si="23"/>
        <v>205273</v>
      </c>
      <c r="M107" s="60">
        <f t="shared" si="22"/>
        <v>602086147</v>
      </c>
      <c r="N107" s="58"/>
    </row>
    <row r="108" spans="1:14" s="3" customFormat="1" ht="209.25" customHeight="1">
      <c r="A108" s="9" t="s">
        <v>101</v>
      </c>
      <c r="B108" s="42" t="s">
        <v>230</v>
      </c>
      <c r="C108" s="27">
        <v>103193204</v>
      </c>
      <c r="D108" s="27"/>
      <c r="E108" s="27"/>
      <c r="F108" s="27">
        <f>G108+J108</f>
        <v>0</v>
      </c>
      <c r="G108" s="27"/>
      <c r="H108" s="27"/>
      <c r="I108" s="27"/>
      <c r="J108" s="27"/>
      <c r="K108" s="27"/>
      <c r="L108" s="27"/>
      <c r="M108" s="26">
        <f t="shared" si="22"/>
        <v>103193204</v>
      </c>
      <c r="N108" s="58"/>
    </row>
    <row r="109" spans="1:14" s="3" customFormat="1" ht="97.5" customHeight="1">
      <c r="A109" s="9"/>
      <c r="B109" s="104" t="s">
        <v>344</v>
      </c>
      <c r="C109" s="27">
        <f>C108</f>
        <v>103193204</v>
      </c>
      <c r="D109" s="27"/>
      <c r="E109" s="27"/>
      <c r="F109" s="27">
        <f>G109+J109</f>
        <v>0</v>
      </c>
      <c r="G109" s="27">
        <f>G108</f>
        <v>0</v>
      </c>
      <c r="H109" s="27"/>
      <c r="I109" s="27"/>
      <c r="J109" s="27"/>
      <c r="K109" s="27"/>
      <c r="L109" s="27"/>
      <c r="M109" s="26">
        <f t="shared" si="22"/>
        <v>103193204</v>
      </c>
      <c r="N109" s="58"/>
    </row>
    <row r="110" spans="1:14" s="3" customFormat="1" ht="186" customHeight="1">
      <c r="A110" s="9" t="s">
        <v>104</v>
      </c>
      <c r="B110" s="42" t="s">
        <v>231</v>
      </c>
      <c r="C110" s="27">
        <v>97116</v>
      </c>
      <c r="D110" s="27"/>
      <c r="E110" s="27"/>
      <c r="F110" s="27">
        <f>G110+J110</f>
        <v>0</v>
      </c>
      <c r="G110" s="27"/>
      <c r="H110" s="27"/>
      <c r="I110" s="27"/>
      <c r="J110" s="27"/>
      <c r="K110" s="27"/>
      <c r="L110" s="27"/>
      <c r="M110" s="26">
        <f t="shared" si="22"/>
        <v>97116</v>
      </c>
      <c r="N110" s="58"/>
    </row>
    <row r="111" spans="1:14" s="3" customFormat="1" ht="60.75" customHeight="1">
      <c r="A111" s="9"/>
      <c r="B111" s="104" t="s">
        <v>260</v>
      </c>
      <c r="C111" s="27">
        <f>C110</f>
        <v>97116</v>
      </c>
      <c r="D111" s="27"/>
      <c r="E111" s="27"/>
      <c r="F111" s="27"/>
      <c r="G111" s="27"/>
      <c r="H111" s="27"/>
      <c r="I111" s="27"/>
      <c r="J111" s="27"/>
      <c r="K111" s="27"/>
      <c r="L111" s="27"/>
      <c r="M111" s="26">
        <f t="shared" si="22"/>
        <v>97116</v>
      </c>
      <c r="N111" s="58"/>
    </row>
    <row r="112" spans="1:14" s="3" customFormat="1" ht="202.5" customHeight="1">
      <c r="A112" s="9" t="s">
        <v>105</v>
      </c>
      <c r="B112" s="42" t="s">
        <v>232</v>
      </c>
      <c r="C112" s="27">
        <f>1324616-25582</f>
        <v>1299034</v>
      </c>
      <c r="D112" s="27"/>
      <c r="E112" s="27"/>
      <c r="F112" s="27">
        <f>G112+J112</f>
        <v>25582</v>
      </c>
      <c r="G112" s="27"/>
      <c r="H112" s="27"/>
      <c r="I112" s="27"/>
      <c r="J112" s="27">
        <f>K112</f>
        <v>25582</v>
      </c>
      <c r="K112" s="27">
        <f>L112</f>
        <v>25582</v>
      </c>
      <c r="L112" s="27">
        <v>25582</v>
      </c>
      <c r="M112" s="26">
        <f t="shared" si="22"/>
        <v>1324616</v>
      </c>
      <c r="N112" s="58"/>
    </row>
    <row r="113" spans="1:14" s="3" customFormat="1" ht="155.25" customHeight="1">
      <c r="A113" s="9"/>
      <c r="B113" s="104" t="s">
        <v>2</v>
      </c>
      <c r="C113" s="27">
        <f>C112</f>
        <v>1299034</v>
      </c>
      <c r="D113" s="27">
        <f aca="true" t="shared" si="24" ref="D113:L113">D112</f>
        <v>0</v>
      </c>
      <c r="E113" s="27">
        <f t="shared" si="24"/>
        <v>0</v>
      </c>
      <c r="F113" s="27">
        <f t="shared" si="24"/>
        <v>25582</v>
      </c>
      <c r="G113" s="27">
        <f t="shared" si="24"/>
        <v>0</v>
      </c>
      <c r="H113" s="27">
        <f t="shared" si="24"/>
        <v>0</v>
      </c>
      <c r="I113" s="27">
        <f t="shared" si="24"/>
        <v>0</v>
      </c>
      <c r="J113" s="27">
        <f t="shared" si="24"/>
        <v>25582</v>
      </c>
      <c r="K113" s="27">
        <f t="shared" si="24"/>
        <v>25582</v>
      </c>
      <c r="L113" s="27">
        <f t="shared" si="24"/>
        <v>25582</v>
      </c>
      <c r="M113" s="26">
        <f t="shared" si="22"/>
        <v>1324616</v>
      </c>
      <c r="N113" s="58"/>
    </row>
    <row r="114" spans="1:14" s="3" customFormat="1" ht="337.5" customHeight="1">
      <c r="A114" s="93" t="s">
        <v>106</v>
      </c>
      <c r="B114" s="94" t="s">
        <v>90</v>
      </c>
      <c r="C114" s="95">
        <v>11675691</v>
      </c>
      <c r="D114" s="95"/>
      <c r="E114" s="95"/>
      <c r="F114" s="95">
        <f>G114+J114</f>
        <v>0</v>
      </c>
      <c r="G114" s="95"/>
      <c r="H114" s="95"/>
      <c r="I114" s="95"/>
      <c r="J114" s="95"/>
      <c r="K114" s="95"/>
      <c r="L114" s="95"/>
      <c r="M114" s="89">
        <f t="shared" si="22"/>
        <v>11675691</v>
      </c>
      <c r="N114" s="58"/>
    </row>
    <row r="115" spans="1:14" s="3" customFormat="1" ht="237" customHeight="1">
      <c r="A115" s="90"/>
      <c r="B115" s="96" t="s">
        <v>91</v>
      </c>
      <c r="C115" s="92"/>
      <c r="D115" s="92"/>
      <c r="E115" s="92"/>
      <c r="F115" s="92"/>
      <c r="G115" s="92"/>
      <c r="H115" s="92"/>
      <c r="I115" s="92"/>
      <c r="J115" s="92"/>
      <c r="K115" s="92"/>
      <c r="L115" s="92"/>
      <c r="M115" s="88"/>
      <c r="N115" s="58"/>
    </row>
    <row r="116" spans="1:14" s="3" customFormat="1" ht="102" customHeight="1">
      <c r="A116" s="9"/>
      <c r="B116" s="104" t="s">
        <v>0</v>
      </c>
      <c r="C116" s="27">
        <f>C114</f>
        <v>11675691</v>
      </c>
      <c r="D116" s="27"/>
      <c r="E116" s="27"/>
      <c r="F116" s="27">
        <f>G116+J116</f>
        <v>0</v>
      </c>
      <c r="G116" s="27">
        <f>G114</f>
        <v>0</v>
      </c>
      <c r="H116" s="27"/>
      <c r="I116" s="27"/>
      <c r="J116" s="27"/>
      <c r="K116" s="27"/>
      <c r="L116" s="27"/>
      <c r="M116" s="26">
        <f aca="true" t="shared" si="25" ref="M116:M147">C116+F116</f>
        <v>11675691</v>
      </c>
      <c r="N116" s="58"/>
    </row>
    <row r="117" spans="1:14" s="3" customFormat="1" ht="396">
      <c r="A117" s="93" t="s">
        <v>107</v>
      </c>
      <c r="B117" s="94" t="s">
        <v>92</v>
      </c>
      <c r="C117" s="95">
        <v>2630</v>
      </c>
      <c r="D117" s="95"/>
      <c r="E117" s="95"/>
      <c r="F117" s="95">
        <f>G117+J117</f>
        <v>0</v>
      </c>
      <c r="G117" s="95"/>
      <c r="H117" s="95"/>
      <c r="I117" s="95"/>
      <c r="J117" s="95"/>
      <c r="K117" s="95"/>
      <c r="L117" s="95"/>
      <c r="M117" s="89">
        <f t="shared" si="25"/>
        <v>2630</v>
      </c>
      <c r="N117" s="58"/>
    </row>
    <row r="118" spans="1:14" s="3" customFormat="1" ht="48" customHeight="1">
      <c r="A118" s="90"/>
      <c r="B118" s="91" t="s">
        <v>93</v>
      </c>
      <c r="C118" s="92"/>
      <c r="D118" s="92"/>
      <c r="E118" s="92"/>
      <c r="F118" s="92">
        <f>G118+J118</f>
        <v>0</v>
      </c>
      <c r="G118" s="92"/>
      <c r="H118" s="92"/>
      <c r="I118" s="92"/>
      <c r="J118" s="92"/>
      <c r="K118" s="92"/>
      <c r="L118" s="92"/>
      <c r="M118" s="88">
        <f t="shared" si="25"/>
        <v>0</v>
      </c>
      <c r="N118" s="58"/>
    </row>
    <row r="119" spans="1:14" s="3" customFormat="1" ht="56.25" customHeight="1">
      <c r="A119" s="9"/>
      <c r="B119" s="104" t="s">
        <v>260</v>
      </c>
      <c r="C119" s="27">
        <f>C117</f>
        <v>2630</v>
      </c>
      <c r="D119" s="27"/>
      <c r="E119" s="27"/>
      <c r="F119" s="27"/>
      <c r="G119" s="27"/>
      <c r="H119" s="27"/>
      <c r="I119" s="27"/>
      <c r="J119" s="27"/>
      <c r="K119" s="27"/>
      <c r="L119" s="27"/>
      <c r="M119" s="26">
        <f t="shared" si="25"/>
        <v>2630</v>
      </c>
      <c r="N119" s="58"/>
    </row>
    <row r="120" spans="1:14" s="3" customFormat="1" ht="72" customHeight="1">
      <c r="A120" s="9" t="s">
        <v>108</v>
      </c>
      <c r="B120" s="43" t="s">
        <v>190</v>
      </c>
      <c r="C120" s="27">
        <v>4713308</v>
      </c>
      <c r="D120" s="27"/>
      <c r="E120" s="27"/>
      <c r="F120" s="27">
        <f>G120+J120</f>
        <v>0</v>
      </c>
      <c r="G120" s="27"/>
      <c r="H120" s="27"/>
      <c r="I120" s="27"/>
      <c r="J120" s="27"/>
      <c r="K120" s="27"/>
      <c r="L120" s="27"/>
      <c r="M120" s="26">
        <f t="shared" si="25"/>
        <v>4713308</v>
      </c>
      <c r="N120" s="58"/>
    </row>
    <row r="121" spans="1:14" s="3" customFormat="1" ht="90" customHeight="1">
      <c r="A121" s="9"/>
      <c r="B121" s="104" t="s">
        <v>0</v>
      </c>
      <c r="C121" s="27">
        <f>C120</f>
        <v>4713308</v>
      </c>
      <c r="D121" s="27"/>
      <c r="E121" s="27"/>
      <c r="F121" s="27">
        <f>G121+J121</f>
        <v>0</v>
      </c>
      <c r="G121" s="27">
        <f>G120</f>
        <v>0</v>
      </c>
      <c r="H121" s="27"/>
      <c r="I121" s="27"/>
      <c r="J121" s="27"/>
      <c r="K121" s="27"/>
      <c r="L121" s="27"/>
      <c r="M121" s="26">
        <f t="shared" si="25"/>
        <v>4713308</v>
      </c>
      <c r="N121" s="58"/>
    </row>
    <row r="122" spans="1:14" s="3" customFormat="1" ht="84">
      <c r="A122" s="9" t="s">
        <v>109</v>
      </c>
      <c r="B122" s="43" t="s">
        <v>191</v>
      </c>
      <c r="C122" s="27">
        <v>3380</v>
      </c>
      <c r="D122" s="27"/>
      <c r="E122" s="27"/>
      <c r="F122" s="27">
        <f>G122+J122</f>
        <v>0</v>
      </c>
      <c r="G122" s="27"/>
      <c r="H122" s="27"/>
      <c r="I122" s="27"/>
      <c r="J122" s="27"/>
      <c r="K122" s="27"/>
      <c r="L122" s="27"/>
      <c r="M122" s="26">
        <f t="shared" si="25"/>
        <v>3380</v>
      </c>
      <c r="N122" s="58"/>
    </row>
    <row r="123" spans="1:14" s="3" customFormat="1" ht="53.25" customHeight="1">
      <c r="A123" s="9"/>
      <c r="B123" s="104" t="s">
        <v>260</v>
      </c>
      <c r="C123" s="27">
        <f>C122</f>
        <v>3380</v>
      </c>
      <c r="D123" s="27"/>
      <c r="E123" s="27"/>
      <c r="F123" s="27"/>
      <c r="G123" s="27"/>
      <c r="H123" s="27"/>
      <c r="I123" s="27"/>
      <c r="J123" s="27"/>
      <c r="K123" s="27"/>
      <c r="L123" s="27"/>
      <c r="M123" s="26">
        <f t="shared" si="25"/>
        <v>3380</v>
      </c>
      <c r="N123" s="58"/>
    </row>
    <row r="124" spans="1:14" s="3" customFormat="1" ht="72" customHeight="1">
      <c r="A124" s="9" t="s">
        <v>110</v>
      </c>
      <c r="B124" s="43" t="s">
        <v>192</v>
      </c>
      <c r="C124" s="27">
        <v>48839</v>
      </c>
      <c r="D124" s="27"/>
      <c r="E124" s="27"/>
      <c r="F124" s="27">
        <f aca="true" t="shared" si="26" ref="F124:F132">G124+J124</f>
        <v>0</v>
      </c>
      <c r="G124" s="27"/>
      <c r="H124" s="27"/>
      <c r="I124" s="27"/>
      <c r="J124" s="27"/>
      <c r="K124" s="27"/>
      <c r="L124" s="27"/>
      <c r="M124" s="26">
        <f t="shared" si="25"/>
        <v>48839</v>
      </c>
      <c r="N124" s="58"/>
    </row>
    <row r="125" spans="1:14" s="3" customFormat="1" ht="180.75" customHeight="1">
      <c r="A125" s="9"/>
      <c r="B125" s="104" t="s">
        <v>2</v>
      </c>
      <c r="C125" s="27">
        <f>C124</f>
        <v>48839</v>
      </c>
      <c r="D125" s="27"/>
      <c r="E125" s="27"/>
      <c r="F125" s="27">
        <f t="shared" si="26"/>
        <v>0</v>
      </c>
      <c r="G125" s="27"/>
      <c r="H125" s="27"/>
      <c r="I125" s="27"/>
      <c r="J125" s="27"/>
      <c r="K125" s="27"/>
      <c r="L125" s="27"/>
      <c r="M125" s="26">
        <f t="shared" si="25"/>
        <v>48839</v>
      </c>
      <c r="N125" s="58"/>
    </row>
    <row r="126" spans="1:14" s="3" customFormat="1" ht="25.5">
      <c r="A126" s="9" t="s">
        <v>13</v>
      </c>
      <c r="B126" s="15" t="s">
        <v>14</v>
      </c>
      <c r="C126" s="27">
        <v>4282400</v>
      </c>
      <c r="D126" s="27"/>
      <c r="E126" s="27"/>
      <c r="F126" s="27">
        <f t="shared" si="26"/>
        <v>0</v>
      </c>
      <c r="G126" s="27"/>
      <c r="H126" s="27"/>
      <c r="I126" s="27"/>
      <c r="J126" s="27"/>
      <c r="K126" s="27"/>
      <c r="L126" s="27"/>
      <c r="M126" s="26">
        <f t="shared" si="25"/>
        <v>4282400</v>
      </c>
      <c r="N126" s="58"/>
    </row>
    <row r="127" spans="1:14" s="3" customFormat="1" ht="189.75" customHeight="1">
      <c r="A127" s="9"/>
      <c r="B127" s="104" t="s">
        <v>2</v>
      </c>
      <c r="C127" s="27">
        <f>C126</f>
        <v>4282400</v>
      </c>
      <c r="D127" s="27"/>
      <c r="E127" s="27"/>
      <c r="F127" s="27">
        <f t="shared" si="26"/>
        <v>0</v>
      </c>
      <c r="G127" s="27"/>
      <c r="H127" s="27"/>
      <c r="I127" s="27"/>
      <c r="J127" s="27"/>
      <c r="K127" s="27"/>
      <c r="L127" s="27"/>
      <c r="M127" s="26">
        <f t="shared" si="25"/>
        <v>4282400</v>
      </c>
      <c r="N127" s="58"/>
    </row>
    <row r="128" spans="1:14" s="3" customFormat="1" ht="29.25" customHeight="1">
      <c r="A128" s="9" t="s">
        <v>95</v>
      </c>
      <c r="B128" s="15" t="s">
        <v>97</v>
      </c>
      <c r="C128" s="27">
        <v>3922659</v>
      </c>
      <c r="D128" s="27"/>
      <c r="E128" s="27"/>
      <c r="F128" s="27">
        <f t="shared" si="26"/>
        <v>0</v>
      </c>
      <c r="G128" s="27"/>
      <c r="H128" s="27"/>
      <c r="I128" s="27"/>
      <c r="J128" s="27"/>
      <c r="K128" s="27"/>
      <c r="L128" s="27"/>
      <c r="M128" s="26">
        <f t="shared" si="25"/>
        <v>3922659</v>
      </c>
      <c r="N128" s="58"/>
    </row>
    <row r="129" spans="1:14" s="3" customFormat="1" ht="54.75" customHeight="1">
      <c r="A129" s="9"/>
      <c r="B129" s="104" t="s">
        <v>0</v>
      </c>
      <c r="C129" s="27">
        <f>C128</f>
        <v>3922659</v>
      </c>
      <c r="D129" s="27"/>
      <c r="E129" s="27"/>
      <c r="F129" s="27">
        <f t="shared" si="26"/>
        <v>0</v>
      </c>
      <c r="G129" s="27">
        <f>G128</f>
        <v>0</v>
      </c>
      <c r="H129" s="27"/>
      <c r="I129" s="27"/>
      <c r="J129" s="27"/>
      <c r="K129" s="27"/>
      <c r="L129" s="27"/>
      <c r="M129" s="26">
        <f t="shared" si="25"/>
        <v>3922659</v>
      </c>
      <c r="N129" s="58"/>
    </row>
    <row r="130" spans="1:14" s="3" customFormat="1" ht="26.25" customHeight="1">
      <c r="A130" s="9" t="s">
        <v>96</v>
      </c>
      <c r="B130" s="15" t="s">
        <v>115</v>
      </c>
      <c r="C130" s="27">
        <v>10740</v>
      </c>
      <c r="D130" s="27"/>
      <c r="E130" s="27"/>
      <c r="F130" s="27">
        <f t="shared" si="26"/>
        <v>0</v>
      </c>
      <c r="G130" s="27"/>
      <c r="H130" s="27"/>
      <c r="I130" s="27"/>
      <c r="J130" s="27"/>
      <c r="K130" s="27"/>
      <c r="L130" s="27"/>
      <c r="M130" s="26">
        <f t="shared" si="25"/>
        <v>10740</v>
      </c>
      <c r="N130" s="58"/>
    </row>
    <row r="131" spans="1:14" s="3" customFormat="1" ht="57.75" customHeight="1">
      <c r="A131" s="9"/>
      <c r="B131" s="104" t="s">
        <v>260</v>
      </c>
      <c r="C131" s="27">
        <f>C130</f>
        <v>10740</v>
      </c>
      <c r="D131" s="27"/>
      <c r="E131" s="27"/>
      <c r="F131" s="27">
        <f t="shared" si="26"/>
        <v>0</v>
      </c>
      <c r="G131" s="27"/>
      <c r="H131" s="27"/>
      <c r="I131" s="27"/>
      <c r="J131" s="27"/>
      <c r="K131" s="27"/>
      <c r="L131" s="27"/>
      <c r="M131" s="26">
        <f t="shared" si="25"/>
        <v>10740</v>
      </c>
      <c r="N131" s="58"/>
    </row>
    <row r="132" spans="1:14" s="3" customFormat="1" ht="24.75" customHeight="1">
      <c r="A132" s="9" t="s">
        <v>87</v>
      </c>
      <c r="B132" s="15" t="s">
        <v>250</v>
      </c>
      <c r="C132" s="27">
        <f>4942190-385000</f>
        <v>4557190</v>
      </c>
      <c r="D132" s="27"/>
      <c r="E132" s="27"/>
      <c r="F132" s="27">
        <f t="shared" si="26"/>
        <v>0</v>
      </c>
      <c r="G132" s="27"/>
      <c r="H132" s="27"/>
      <c r="I132" s="27"/>
      <c r="J132" s="27"/>
      <c r="K132" s="27"/>
      <c r="L132" s="27"/>
      <c r="M132" s="26">
        <f t="shared" si="25"/>
        <v>4557190</v>
      </c>
      <c r="N132" s="58"/>
    </row>
    <row r="133" spans="1:14" s="3" customFormat="1" ht="58.5" customHeight="1">
      <c r="A133" s="9"/>
      <c r="B133" s="104" t="s">
        <v>261</v>
      </c>
      <c r="C133" s="27">
        <f>C132</f>
        <v>4557190</v>
      </c>
      <c r="D133" s="27"/>
      <c r="E133" s="27"/>
      <c r="F133" s="27"/>
      <c r="G133" s="27"/>
      <c r="H133" s="27"/>
      <c r="I133" s="27"/>
      <c r="J133" s="27"/>
      <c r="K133" s="27"/>
      <c r="L133" s="27"/>
      <c r="M133" s="26">
        <f t="shared" si="25"/>
        <v>4557190</v>
      </c>
      <c r="N133" s="58"/>
    </row>
    <row r="134" spans="1:14" s="3" customFormat="1" ht="27" customHeight="1">
      <c r="A134" s="9" t="s">
        <v>88</v>
      </c>
      <c r="B134" s="15" t="s">
        <v>12</v>
      </c>
      <c r="C134" s="27">
        <f>97984152-16000000-2000000</f>
        <v>79984152</v>
      </c>
      <c r="D134" s="27"/>
      <c r="E134" s="27"/>
      <c r="F134" s="27">
        <f>G134+J134</f>
        <v>0</v>
      </c>
      <c r="G134" s="27"/>
      <c r="H134" s="27"/>
      <c r="I134" s="27"/>
      <c r="J134" s="27"/>
      <c r="K134" s="27"/>
      <c r="L134" s="27"/>
      <c r="M134" s="26">
        <f t="shared" si="25"/>
        <v>79984152</v>
      </c>
      <c r="N134" s="58"/>
    </row>
    <row r="135" spans="1:14" s="3" customFormat="1" ht="54.75" customHeight="1">
      <c r="A135" s="9"/>
      <c r="B135" s="104" t="s">
        <v>1</v>
      </c>
      <c r="C135" s="27">
        <f>C134</f>
        <v>79984152</v>
      </c>
      <c r="D135" s="27"/>
      <c r="E135" s="27"/>
      <c r="F135" s="27"/>
      <c r="G135" s="27"/>
      <c r="H135" s="27"/>
      <c r="I135" s="27"/>
      <c r="J135" s="27"/>
      <c r="K135" s="27"/>
      <c r="L135" s="27"/>
      <c r="M135" s="26">
        <f t="shared" si="25"/>
        <v>79984152</v>
      </c>
      <c r="N135" s="58"/>
    </row>
    <row r="136" spans="1:14" s="3" customFormat="1" ht="16.5" customHeight="1">
      <c r="A136" s="9" t="s">
        <v>89</v>
      </c>
      <c r="B136" s="15" t="s">
        <v>114</v>
      </c>
      <c r="C136" s="27">
        <f>170062955+10500000+3750000</f>
        <v>184312955</v>
      </c>
      <c r="D136" s="27"/>
      <c r="E136" s="27"/>
      <c r="F136" s="27">
        <f>G136+J136</f>
        <v>0</v>
      </c>
      <c r="G136" s="27"/>
      <c r="H136" s="27"/>
      <c r="I136" s="27"/>
      <c r="J136" s="27"/>
      <c r="K136" s="27"/>
      <c r="L136" s="27"/>
      <c r="M136" s="26">
        <f t="shared" si="25"/>
        <v>184312955</v>
      </c>
      <c r="N136" s="58"/>
    </row>
    <row r="137" spans="1:14" s="3" customFormat="1" ht="59.25" customHeight="1">
      <c r="A137" s="9"/>
      <c r="B137" s="104" t="s">
        <v>1</v>
      </c>
      <c r="C137" s="27">
        <f>C136</f>
        <v>184312955</v>
      </c>
      <c r="D137" s="27"/>
      <c r="E137" s="27"/>
      <c r="F137" s="27"/>
      <c r="G137" s="27"/>
      <c r="H137" s="27"/>
      <c r="I137" s="27"/>
      <c r="J137" s="27"/>
      <c r="K137" s="27"/>
      <c r="L137" s="27"/>
      <c r="M137" s="26">
        <f t="shared" si="25"/>
        <v>184312955</v>
      </c>
      <c r="N137" s="58"/>
    </row>
    <row r="138" spans="1:14" s="3" customFormat="1" ht="28.5" customHeight="1">
      <c r="A138" s="9" t="s">
        <v>72</v>
      </c>
      <c r="B138" s="77" t="s">
        <v>187</v>
      </c>
      <c r="C138" s="27">
        <v>20345604</v>
      </c>
      <c r="D138" s="27"/>
      <c r="E138" s="27"/>
      <c r="F138" s="27">
        <f>G138+J138</f>
        <v>0</v>
      </c>
      <c r="G138" s="27"/>
      <c r="H138" s="27"/>
      <c r="I138" s="27"/>
      <c r="J138" s="27"/>
      <c r="K138" s="27"/>
      <c r="L138" s="27"/>
      <c r="M138" s="26">
        <f t="shared" si="25"/>
        <v>20345604</v>
      </c>
      <c r="N138" s="58"/>
    </row>
    <row r="139" spans="1:14" s="3" customFormat="1" ht="57.75" customHeight="1">
      <c r="A139" s="9"/>
      <c r="B139" s="104" t="s">
        <v>1</v>
      </c>
      <c r="C139" s="27">
        <f>C138</f>
        <v>20345604</v>
      </c>
      <c r="D139" s="27"/>
      <c r="E139" s="27"/>
      <c r="F139" s="27"/>
      <c r="G139" s="27"/>
      <c r="H139" s="27"/>
      <c r="I139" s="27"/>
      <c r="J139" s="27"/>
      <c r="K139" s="27"/>
      <c r="L139" s="27"/>
      <c r="M139" s="26">
        <f t="shared" si="25"/>
        <v>20345604</v>
      </c>
      <c r="N139" s="58"/>
    </row>
    <row r="140" spans="1:14" s="3" customFormat="1" ht="27.75" customHeight="1">
      <c r="A140" s="9" t="s">
        <v>118</v>
      </c>
      <c r="B140" s="15" t="s">
        <v>111</v>
      </c>
      <c r="C140" s="27">
        <f>44515629+2500000+1000000</f>
        <v>48015629</v>
      </c>
      <c r="D140" s="27"/>
      <c r="E140" s="27"/>
      <c r="F140" s="27">
        <f>G140+J140</f>
        <v>0</v>
      </c>
      <c r="G140" s="27"/>
      <c r="H140" s="27"/>
      <c r="I140" s="27"/>
      <c r="J140" s="27"/>
      <c r="K140" s="27"/>
      <c r="L140" s="27"/>
      <c r="M140" s="26">
        <f t="shared" si="25"/>
        <v>48015629</v>
      </c>
      <c r="N140" s="58"/>
    </row>
    <row r="141" spans="1:14" s="3" customFormat="1" ht="59.25" customHeight="1">
      <c r="A141" s="9"/>
      <c r="B141" s="104" t="s">
        <v>1</v>
      </c>
      <c r="C141" s="27">
        <f>C140</f>
        <v>48015629</v>
      </c>
      <c r="D141" s="27"/>
      <c r="E141" s="27"/>
      <c r="F141" s="27"/>
      <c r="G141" s="27"/>
      <c r="H141" s="27"/>
      <c r="I141" s="27"/>
      <c r="J141" s="27"/>
      <c r="K141" s="27"/>
      <c r="L141" s="27"/>
      <c r="M141" s="26">
        <f t="shared" si="25"/>
        <v>48015629</v>
      </c>
      <c r="N141" s="58"/>
    </row>
    <row r="142" spans="1:14" s="3" customFormat="1" ht="25.5" customHeight="1">
      <c r="A142" s="9" t="s">
        <v>226</v>
      </c>
      <c r="B142" s="15" t="s">
        <v>227</v>
      </c>
      <c r="C142" s="27">
        <f>5334388+500000+250000</f>
        <v>6084388</v>
      </c>
      <c r="D142" s="27"/>
      <c r="E142" s="27"/>
      <c r="F142" s="27"/>
      <c r="G142" s="27"/>
      <c r="H142" s="27"/>
      <c r="I142" s="27"/>
      <c r="J142" s="27"/>
      <c r="K142" s="27"/>
      <c r="L142" s="27"/>
      <c r="M142" s="26">
        <f t="shared" si="25"/>
        <v>6084388</v>
      </c>
      <c r="N142" s="58"/>
    </row>
    <row r="143" spans="1:15" ht="60" customHeight="1">
      <c r="A143" s="9"/>
      <c r="B143" s="104" t="s">
        <v>1</v>
      </c>
      <c r="C143" s="27">
        <f>C142</f>
        <v>6084388</v>
      </c>
      <c r="D143" s="27"/>
      <c r="E143" s="27"/>
      <c r="F143" s="27"/>
      <c r="G143" s="27"/>
      <c r="H143" s="27"/>
      <c r="I143" s="27"/>
      <c r="J143" s="27"/>
      <c r="K143" s="27"/>
      <c r="L143" s="27"/>
      <c r="M143" s="26">
        <f t="shared" si="25"/>
        <v>6084388</v>
      </c>
      <c r="N143" s="58"/>
      <c r="O143" s="64"/>
    </row>
    <row r="144" spans="1:15" ht="12.75">
      <c r="A144" s="9" t="s">
        <v>188</v>
      </c>
      <c r="B144" s="15" t="s">
        <v>189</v>
      </c>
      <c r="C144" s="27">
        <f>639851-28000</f>
        <v>611851</v>
      </c>
      <c r="D144" s="27"/>
      <c r="E144" s="27"/>
      <c r="F144" s="27"/>
      <c r="G144" s="27"/>
      <c r="H144" s="27"/>
      <c r="I144" s="27"/>
      <c r="J144" s="27"/>
      <c r="K144" s="27"/>
      <c r="L144" s="27"/>
      <c r="M144" s="26">
        <f t="shared" si="25"/>
        <v>611851</v>
      </c>
      <c r="N144" s="58"/>
      <c r="O144" s="64"/>
    </row>
    <row r="145" spans="1:14" s="3" customFormat="1" ht="54.75" customHeight="1">
      <c r="A145" s="9"/>
      <c r="B145" s="104" t="s">
        <v>1</v>
      </c>
      <c r="C145" s="27">
        <f>C144</f>
        <v>611851</v>
      </c>
      <c r="D145" s="27"/>
      <c r="E145" s="27"/>
      <c r="F145" s="27"/>
      <c r="G145" s="27"/>
      <c r="H145" s="27"/>
      <c r="I145" s="27"/>
      <c r="J145" s="27"/>
      <c r="K145" s="27"/>
      <c r="L145" s="27"/>
      <c r="M145" s="26">
        <f t="shared" si="25"/>
        <v>611851</v>
      </c>
      <c r="N145" s="58"/>
    </row>
    <row r="146" spans="1:14" s="3" customFormat="1" ht="28.5" customHeight="1">
      <c r="A146" s="9" t="s">
        <v>112</v>
      </c>
      <c r="B146" s="15" t="s">
        <v>193</v>
      </c>
      <c r="C146" s="27">
        <f>2950678+500000+80127</f>
        <v>3530805</v>
      </c>
      <c r="D146" s="27"/>
      <c r="E146" s="27"/>
      <c r="F146" s="27">
        <f>G146+J146</f>
        <v>0</v>
      </c>
      <c r="G146" s="27"/>
      <c r="H146" s="27"/>
      <c r="I146" s="27"/>
      <c r="J146" s="27"/>
      <c r="K146" s="27"/>
      <c r="L146" s="27"/>
      <c r="M146" s="26">
        <f t="shared" si="25"/>
        <v>3530805</v>
      </c>
      <c r="N146" s="58"/>
    </row>
    <row r="147" spans="1:15" ht="61.5" customHeight="1">
      <c r="A147" s="9"/>
      <c r="B147" s="104" t="s">
        <v>1</v>
      </c>
      <c r="C147" s="27">
        <f>C146</f>
        <v>3530805</v>
      </c>
      <c r="D147" s="27"/>
      <c r="E147" s="27"/>
      <c r="F147" s="27"/>
      <c r="G147" s="27"/>
      <c r="H147" s="27"/>
      <c r="I147" s="27"/>
      <c r="J147" s="27"/>
      <c r="K147" s="27"/>
      <c r="L147" s="27"/>
      <c r="M147" s="26">
        <f t="shared" si="25"/>
        <v>3530805</v>
      </c>
      <c r="N147" s="58"/>
      <c r="O147" s="64"/>
    </row>
    <row r="148" spans="1:15" ht="38.25">
      <c r="A148" s="9" t="s">
        <v>73</v>
      </c>
      <c r="B148" s="77" t="s">
        <v>184</v>
      </c>
      <c r="C148" s="27">
        <v>39016638</v>
      </c>
      <c r="D148" s="27"/>
      <c r="E148" s="27"/>
      <c r="F148" s="27">
        <f>G148+J148</f>
        <v>0</v>
      </c>
      <c r="G148" s="27"/>
      <c r="H148" s="27"/>
      <c r="I148" s="27"/>
      <c r="J148" s="27"/>
      <c r="K148" s="27"/>
      <c r="L148" s="27"/>
      <c r="M148" s="26">
        <f aca="true" t="shared" si="27" ref="M148:M177">C148+F148</f>
        <v>39016638</v>
      </c>
      <c r="N148" s="58"/>
      <c r="O148" s="64"/>
    </row>
    <row r="149" spans="1:15" ht="89.25" customHeight="1">
      <c r="A149" s="9"/>
      <c r="B149" s="104" t="s">
        <v>0</v>
      </c>
      <c r="C149" s="27">
        <f>C148</f>
        <v>39016638</v>
      </c>
      <c r="D149" s="27"/>
      <c r="E149" s="27"/>
      <c r="F149" s="27">
        <f>G149+J149</f>
        <v>0</v>
      </c>
      <c r="G149" s="27">
        <f>G148</f>
        <v>0</v>
      </c>
      <c r="H149" s="27"/>
      <c r="I149" s="27"/>
      <c r="J149" s="27"/>
      <c r="K149" s="27"/>
      <c r="L149" s="27"/>
      <c r="M149" s="26">
        <f t="shared" si="27"/>
        <v>39016638</v>
      </c>
      <c r="N149" s="58"/>
      <c r="O149" s="64"/>
    </row>
    <row r="150" spans="1:15" ht="51">
      <c r="A150" s="9" t="s">
        <v>185</v>
      </c>
      <c r="B150" s="4" t="s">
        <v>186</v>
      </c>
      <c r="C150" s="27">
        <v>45776</v>
      </c>
      <c r="D150" s="27"/>
      <c r="E150" s="27"/>
      <c r="F150" s="27">
        <f>G150+J150</f>
        <v>0</v>
      </c>
      <c r="G150" s="27"/>
      <c r="H150" s="27"/>
      <c r="I150" s="27"/>
      <c r="J150" s="27"/>
      <c r="K150" s="27"/>
      <c r="L150" s="27"/>
      <c r="M150" s="33">
        <f t="shared" si="27"/>
        <v>45776</v>
      </c>
      <c r="N150" s="58"/>
      <c r="O150" s="64"/>
    </row>
    <row r="151" spans="1:14" s="3" customFormat="1" ht="61.5" customHeight="1">
      <c r="A151" s="9"/>
      <c r="B151" s="104" t="s">
        <v>260</v>
      </c>
      <c r="C151" s="27">
        <f>C150</f>
        <v>45776</v>
      </c>
      <c r="D151" s="27"/>
      <c r="E151" s="27"/>
      <c r="F151" s="27">
        <f>G151+J151</f>
        <v>0</v>
      </c>
      <c r="G151" s="27">
        <f>G150</f>
        <v>0</v>
      </c>
      <c r="H151" s="27"/>
      <c r="I151" s="27"/>
      <c r="J151" s="27"/>
      <c r="K151" s="27"/>
      <c r="L151" s="27"/>
      <c r="M151" s="26">
        <f t="shared" si="27"/>
        <v>45776</v>
      </c>
      <c r="N151" s="58"/>
    </row>
    <row r="152" spans="1:14" s="3" customFormat="1" ht="29.25" customHeight="1">
      <c r="A152" s="41" t="s">
        <v>44</v>
      </c>
      <c r="B152" s="37" t="s">
        <v>113</v>
      </c>
      <c r="C152" s="39">
        <f>5707900+188149+(1294250)+(491000)+(33000)+(671500)+(55000)+(25000)+(96000)+(33997)+(20000)-(24000)</f>
        <v>8591796</v>
      </c>
      <c r="D152" s="39"/>
      <c r="E152" s="39"/>
      <c r="F152" s="39">
        <f>G152+J152</f>
        <v>0</v>
      </c>
      <c r="G152" s="39"/>
      <c r="H152" s="39"/>
      <c r="I152" s="39"/>
      <c r="J152" s="39"/>
      <c r="K152" s="39">
        <f>J152</f>
        <v>0</v>
      </c>
      <c r="L152" s="39">
        <f>K152</f>
        <v>0</v>
      </c>
      <c r="M152" s="60">
        <f t="shared" si="27"/>
        <v>8591796</v>
      </c>
      <c r="N152" s="58"/>
    </row>
    <row r="153" spans="1:15" ht="25.5" hidden="1">
      <c r="A153" s="41"/>
      <c r="B153" s="79" t="s">
        <v>238</v>
      </c>
      <c r="C153" s="39"/>
      <c r="D153" s="39"/>
      <c r="E153" s="39"/>
      <c r="F153" s="39"/>
      <c r="G153" s="39"/>
      <c r="H153" s="39"/>
      <c r="I153" s="39"/>
      <c r="J153" s="39"/>
      <c r="K153" s="39"/>
      <c r="L153" s="39"/>
      <c r="M153" s="60">
        <f t="shared" si="27"/>
        <v>0</v>
      </c>
      <c r="N153" s="58"/>
      <c r="O153" s="64"/>
    </row>
    <row r="154" spans="1:15" ht="76.5">
      <c r="A154" s="9" t="s">
        <v>200</v>
      </c>
      <c r="B154" s="4" t="s">
        <v>94</v>
      </c>
      <c r="C154" s="27">
        <v>53258</v>
      </c>
      <c r="D154" s="27"/>
      <c r="E154" s="27"/>
      <c r="F154" s="27"/>
      <c r="G154" s="27"/>
      <c r="H154" s="27"/>
      <c r="I154" s="27"/>
      <c r="J154" s="27"/>
      <c r="K154" s="27"/>
      <c r="L154" s="27"/>
      <c r="M154" s="26">
        <f t="shared" si="27"/>
        <v>53258</v>
      </c>
      <c r="N154" s="58"/>
      <c r="O154" s="64"/>
    </row>
    <row r="155" spans="1:15" ht="58.5" customHeight="1">
      <c r="A155" s="9"/>
      <c r="B155" s="104" t="s">
        <v>260</v>
      </c>
      <c r="C155" s="27">
        <f>C154</f>
        <v>53258</v>
      </c>
      <c r="D155" s="27"/>
      <c r="E155" s="27"/>
      <c r="F155" s="27">
        <f>G155+J155</f>
        <v>0</v>
      </c>
      <c r="G155" s="27"/>
      <c r="H155" s="27"/>
      <c r="I155" s="27"/>
      <c r="J155" s="27"/>
      <c r="K155" s="27"/>
      <c r="L155" s="27"/>
      <c r="M155" s="26">
        <f t="shared" si="27"/>
        <v>53258</v>
      </c>
      <c r="N155" s="58"/>
      <c r="O155" s="64"/>
    </row>
    <row r="156" spans="1:15" ht="76.5">
      <c r="A156" s="41" t="s">
        <v>141</v>
      </c>
      <c r="B156" s="37" t="s">
        <v>225</v>
      </c>
      <c r="C156" s="39">
        <v>2784000</v>
      </c>
      <c r="D156" s="39"/>
      <c r="E156" s="39"/>
      <c r="F156" s="39">
        <f>G156+J156</f>
        <v>0</v>
      </c>
      <c r="G156" s="39"/>
      <c r="H156" s="39"/>
      <c r="I156" s="39"/>
      <c r="J156" s="39"/>
      <c r="K156" s="39"/>
      <c r="L156" s="39"/>
      <c r="M156" s="60">
        <f t="shared" si="27"/>
        <v>2784000</v>
      </c>
      <c r="N156" s="58"/>
      <c r="O156" s="64"/>
    </row>
    <row r="157" spans="1:15" ht="39" customHeight="1">
      <c r="A157" s="41" t="s">
        <v>46</v>
      </c>
      <c r="B157" s="79" t="s">
        <v>251</v>
      </c>
      <c r="C157" s="39">
        <f>14131300+105120+76781-11-4888+(13000)+(41000)+(3000)+158291-158291</f>
        <v>14365302</v>
      </c>
      <c r="D157" s="39">
        <v>8967885</v>
      </c>
      <c r="E157" s="39">
        <v>1199341</v>
      </c>
      <c r="F157" s="39">
        <f>G157+J157</f>
        <v>303288</v>
      </c>
      <c r="G157" s="39">
        <v>123597</v>
      </c>
      <c r="H157" s="39">
        <v>80437</v>
      </c>
      <c r="I157" s="39">
        <v>830</v>
      </c>
      <c r="J157" s="39">
        <f>(4400)+(4000)+(13000)+158291</f>
        <v>179691</v>
      </c>
      <c r="K157" s="39">
        <f>J157</f>
        <v>179691</v>
      </c>
      <c r="L157" s="39">
        <f>K157</f>
        <v>179691</v>
      </c>
      <c r="M157" s="60">
        <f t="shared" si="27"/>
        <v>14668590</v>
      </c>
      <c r="N157" s="58"/>
      <c r="O157" s="64"/>
    </row>
    <row r="158" spans="1:15" ht="89.25">
      <c r="A158" s="85" t="s">
        <v>266</v>
      </c>
      <c r="B158" s="79" t="s">
        <v>256</v>
      </c>
      <c r="C158" s="39">
        <v>2581000</v>
      </c>
      <c r="D158" s="39"/>
      <c r="E158" s="39"/>
      <c r="F158" s="39"/>
      <c r="G158" s="39"/>
      <c r="H158" s="39"/>
      <c r="I158" s="39"/>
      <c r="J158" s="39"/>
      <c r="K158" s="39"/>
      <c r="L158" s="39"/>
      <c r="M158" s="60">
        <f t="shared" si="27"/>
        <v>2581000</v>
      </c>
      <c r="N158" s="58"/>
      <c r="O158" s="64"/>
    </row>
    <row r="159" spans="1:15" ht="25.5" customHeight="1">
      <c r="A159" s="41" t="s">
        <v>102</v>
      </c>
      <c r="B159" s="103" t="s">
        <v>252</v>
      </c>
      <c r="C159" s="39">
        <f>550000+110766+(3000)+(40000)</f>
        <v>703766</v>
      </c>
      <c r="D159" s="39"/>
      <c r="E159" s="39"/>
      <c r="F159" s="39">
        <f>G159+J159</f>
        <v>0</v>
      </c>
      <c r="G159" s="39"/>
      <c r="H159" s="39"/>
      <c r="I159" s="39"/>
      <c r="J159" s="39"/>
      <c r="K159" s="39"/>
      <c r="L159" s="39"/>
      <c r="M159" s="60">
        <f t="shared" si="27"/>
        <v>703766</v>
      </c>
      <c r="N159" s="58"/>
      <c r="O159" s="64"/>
    </row>
    <row r="160" spans="1:15" ht="42.75" customHeight="1">
      <c r="A160" s="9" t="s">
        <v>84</v>
      </c>
      <c r="B160" s="15" t="s">
        <v>100</v>
      </c>
      <c r="C160" s="27">
        <f>52511166+2413000+2000000</f>
        <v>56924166</v>
      </c>
      <c r="D160" s="27"/>
      <c r="E160" s="27"/>
      <c r="F160" s="27">
        <f>G160+J160</f>
        <v>0</v>
      </c>
      <c r="G160" s="27"/>
      <c r="H160" s="27"/>
      <c r="I160" s="27"/>
      <c r="J160" s="27"/>
      <c r="K160" s="27"/>
      <c r="L160" s="27"/>
      <c r="M160" s="26">
        <f t="shared" si="27"/>
        <v>56924166</v>
      </c>
      <c r="N160" s="58"/>
      <c r="O160" s="64"/>
    </row>
    <row r="161" spans="1:15" ht="60" customHeight="1">
      <c r="A161" s="9"/>
      <c r="B161" s="104" t="s">
        <v>1</v>
      </c>
      <c r="C161" s="27">
        <f>C160</f>
        <v>56924166</v>
      </c>
      <c r="D161" s="27"/>
      <c r="E161" s="27"/>
      <c r="F161" s="27"/>
      <c r="G161" s="27"/>
      <c r="H161" s="27"/>
      <c r="I161" s="27"/>
      <c r="J161" s="27"/>
      <c r="K161" s="27"/>
      <c r="L161" s="27"/>
      <c r="M161" s="26">
        <f t="shared" si="27"/>
        <v>56924166</v>
      </c>
      <c r="N161" s="58"/>
      <c r="O161" s="64"/>
    </row>
    <row r="162" spans="1:15" ht="12.75">
      <c r="A162" s="41" t="s">
        <v>154</v>
      </c>
      <c r="B162" s="70" t="s">
        <v>55</v>
      </c>
      <c r="C162" s="39">
        <f>C163</f>
        <v>0</v>
      </c>
      <c r="D162" s="39">
        <f>D163</f>
        <v>0</v>
      </c>
      <c r="E162" s="39">
        <f>E163</f>
        <v>0</v>
      </c>
      <c r="F162" s="39">
        <f>G162+J162</f>
        <v>5341456</v>
      </c>
      <c r="G162" s="39">
        <f>G163</f>
        <v>0</v>
      </c>
      <c r="H162" s="39">
        <f>H163</f>
        <v>0</v>
      </c>
      <c r="I162" s="39">
        <f>I163</f>
        <v>0</v>
      </c>
      <c r="J162" s="39">
        <f>J163</f>
        <v>5341456</v>
      </c>
      <c r="K162" s="39">
        <f>K163</f>
        <v>5341456</v>
      </c>
      <c r="L162" s="39"/>
      <c r="M162" s="60">
        <f t="shared" si="27"/>
        <v>5341456</v>
      </c>
      <c r="N162" s="58"/>
      <c r="O162" s="64"/>
    </row>
    <row r="163" spans="1:15" ht="12.75">
      <c r="A163" s="41" t="s">
        <v>121</v>
      </c>
      <c r="B163" s="70" t="s">
        <v>122</v>
      </c>
      <c r="C163" s="39"/>
      <c r="D163" s="39"/>
      <c r="E163" s="39"/>
      <c r="F163" s="39">
        <f>G163+J163</f>
        <v>5341456</v>
      </c>
      <c r="G163" s="39"/>
      <c r="H163" s="39"/>
      <c r="I163" s="39"/>
      <c r="J163" s="39">
        <f>K163</f>
        <v>5341456</v>
      </c>
      <c r="K163" s="87">
        <f>5051456+290000</f>
        <v>5341456</v>
      </c>
      <c r="L163" s="39"/>
      <c r="M163" s="60">
        <f t="shared" si="27"/>
        <v>5341456</v>
      </c>
      <c r="N163" s="58"/>
      <c r="O163" s="64"/>
    </row>
    <row r="164" spans="1:15" ht="38.25">
      <c r="A164" s="41" t="s">
        <v>155</v>
      </c>
      <c r="B164" s="37" t="s">
        <v>156</v>
      </c>
      <c r="C164" s="39">
        <f>C167+C169+C171+C165</f>
        <v>53131665</v>
      </c>
      <c r="D164" s="39">
        <f>D167+D169+D171</f>
        <v>0</v>
      </c>
      <c r="E164" s="39">
        <f>E167+E169+E171</f>
        <v>0</v>
      </c>
      <c r="F164" s="39">
        <f>G164+J164</f>
        <v>0</v>
      </c>
      <c r="G164" s="39">
        <f>G167+G169+G171</f>
        <v>0</v>
      </c>
      <c r="H164" s="39">
        <f>H167+H169+H171</f>
        <v>0</v>
      </c>
      <c r="I164" s="39">
        <f>I167+I169+I171</f>
        <v>0</v>
      </c>
      <c r="J164" s="39"/>
      <c r="K164" s="39">
        <f>K167+K169+K171</f>
        <v>0</v>
      </c>
      <c r="L164" s="39"/>
      <c r="M164" s="60">
        <f t="shared" si="27"/>
        <v>53131665</v>
      </c>
      <c r="N164" s="58"/>
      <c r="O164" s="64"/>
    </row>
    <row r="165" spans="1:15" ht="56.25" customHeight="1">
      <c r="A165" s="41" t="s">
        <v>85</v>
      </c>
      <c r="B165" s="37" t="s">
        <v>7</v>
      </c>
      <c r="C165" s="39">
        <f>158220+3750000+278970</f>
        <v>4187190</v>
      </c>
      <c r="D165" s="39"/>
      <c r="E165" s="39"/>
      <c r="F165" s="39">
        <f>G165+J165</f>
        <v>0</v>
      </c>
      <c r="G165" s="39"/>
      <c r="H165" s="39"/>
      <c r="I165" s="39"/>
      <c r="J165" s="39"/>
      <c r="K165" s="39"/>
      <c r="L165" s="39"/>
      <c r="M165" s="60">
        <f t="shared" si="27"/>
        <v>4187190</v>
      </c>
      <c r="N165" s="58"/>
      <c r="O165" s="64"/>
    </row>
    <row r="166" spans="1:14" s="3" customFormat="1" ht="186" customHeight="1">
      <c r="A166" s="41"/>
      <c r="B166" s="104" t="s">
        <v>2</v>
      </c>
      <c r="C166" s="39">
        <f>C165-158220-78970-565285</f>
        <v>3384715</v>
      </c>
      <c r="D166" s="39"/>
      <c r="E166" s="39"/>
      <c r="F166" s="39"/>
      <c r="G166" s="39"/>
      <c r="H166" s="39"/>
      <c r="I166" s="39"/>
      <c r="J166" s="39"/>
      <c r="K166" s="39"/>
      <c r="L166" s="39"/>
      <c r="M166" s="60">
        <f t="shared" si="27"/>
        <v>3384715</v>
      </c>
      <c r="N166" s="58"/>
    </row>
    <row r="167" spans="1:15" ht="38.25">
      <c r="A167" s="41" t="s">
        <v>214</v>
      </c>
      <c r="B167" s="37" t="s">
        <v>228</v>
      </c>
      <c r="C167" s="39">
        <f>900000+346000</f>
        <v>1246000</v>
      </c>
      <c r="D167" s="39"/>
      <c r="E167" s="39"/>
      <c r="F167" s="39">
        <f>G167+J167</f>
        <v>0</v>
      </c>
      <c r="G167" s="39"/>
      <c r="H167" s="39"/>
      <c r="I167" s="39"/>
      <c r="J167" s="39"/>
      <c r="K167" s="39"/>
      <c r="L167" s="39"/>
      <c r="M167" s="60">
        <f t="shared" si="27"/>
        <v>1246000</v>
      </c>
      <c r="N167" s="58"/>
      <c r="O167" s="64"/>
    </row>
    <row r="168" spans="1:14" s="3" customFormat="1" ht="173.25" customHeight="1">
      <c r="A168" s="41"/>
      <c r="B168" s="104" t="s">
        <v>2</v>
      </c>
      <c r="C168" s="39">
        <f>C167-900000+565285</f>
        <v>911285</v>
      </c>
      <c r="D168" s="39"/>
      <c r="E168" s="39"/>
      <c r="F168" s="39"/>
      <c r="G168" s="39"/>
      <c r="H168" s="39"/>
      <c r="I168" s="39"/>
      <c r="J168" s="39"/>
      <c r="K168" s="39"/>
      <c r="L168" s="39"/>
      <c r="M168" s="60">
        <f t="shared" si="27"/>
        <v>911285</v>
      </c>
      <c r="N168" s="58"/>
    </row>
    <row r="169" spans="1:14" s="3" customFormat="1" ht="38.25">
      <c r="A169" s="41" t="s">
        <v>212</v>
      </c>
      <c r="B169" s="65" t="s">
        <v>213</v>
      </c>
      <c r="C169" s="39">
        <f>1621345</f>
        <v>1621345</v>
      </c>
      <c r="D169" s="39"/>
      <c r="E169" s="39"/>
      <c r="F169" s="39"/>
      <c r="G169" s="39"/>
      <c r="H169" s="39"/>
      <c r="I169" s="39"/>
      <c r="J169" s="39"/>
      <c r="K169" s="39"/>
      <c r="L169" s="39"/>
      <c r="M169" s="60">
        <f t="shared" si="27"/>
        <v>1621345</v>
      </c>
      <c r="N169" s="58"/>
    </row>
    <row r="170" spans="1:14" s="3" customFormat="1" ht="180" customHeight="1">
      <c r="A170" s="41"/>
      <c r="B170" s="104" t="s">
        <v>2</v>
      </c>
      <c r="C170" s="39">
        <f>C169</f>
        <v>1621345</v>
      </c>
      <c r="D170" s="39"/>
      <c r="E170" s="39"/>
      <c r="F170" s="39"/>
      <c r="G170" s="39"/>
      <c r="H170" s="39"/>
      <c r="I170" s="39"/>
      <c r="J170" s="39"/>
      <c r="K170" s="39"/>
      <c r="L170" s="39"/>
      <c r="M170" s="60">
        <f t="shared" si="27"/>
        <v>1621345</v>
      </c>
      <c r="N170" s="58"/>
    </row>
    <row r="171" spans="1:14" s="3" customFormat="1" ht="38.25">
      <c r="A171" s="41" t="s">
        <v>86</v>
      </c>
      <c r="B171" s="37" t="s">
        <v>229</v>
      </c>
      <c r="C171" s="39">
        <f>791100+42565000-278970+3000000</f>
        <v>46077130</v>
      </c>
      <c r="D171" s="39"/>
      <c r="E171" s="39"/>
      <c r="F171" s="39">
        <f>G171+J171</f>
        <v>0</v>
      </c>
      <c r="G171" s="39"/>
      <c r="H171" s="39"/>
      <c r="I171" s="39"/>
      <c r="J171" s="39"/>
      <c r="K171" s="39"/>
      <c r="L171" s="39"/>
      <c r="M171" s="60">
        <f t="shared" si="27"/>
        <v>46077130</v>
      </c>
      <c r="N171" s="58"/>
    </row>
    <row r="172" spans="1:14" s="3" customFormat="1" ht="219" customHeight="1">
      <c r="A172" s="41"/>
      <c r="B172" s="104" t="s">
        <v>2</v>
      </c>
      <c r="C172" s="39">
        <f>C171-791100+78970-3000000</f>
        <v>42365000</v>
      </c>
      <c r="D172" s="39"/>
      <c r="E172" s="39"/>
      <c r="F172" s="39"/>
      <c r="G172" s="39"/>
      <c r="H172" s="39"/>
      <c r="I172" s="39"/>
      <c r="J172" s="39"/>
      <c r="K172" s="39"/>
      <c r="L172" s="39"/>
      <c r="M172" s="60">
        <f t="shared" si="27"/>
        <v>42365000</v>
      </c>
      <c r="N172" s="58"/>
    </row>
    <row r="173" spans="1:15" s="59" customFormat="1" ht="12.75">
      <c r="A173" s="41" t="s">
        <v>157</v>
      </c>
      <c r="B173" s="37" t="s">
        <v>161</v>
      </c>
      <c r="C173" s="39">
        <f>C174</f>
        <v>0</v>
      </c>
      <c r="D173" s="39">
        <f>D174</f>
        <v>0</v>
      </c>
      <c r="E173" s="39">
        <f>E174</f>
        <v>0</v>
      </c>
      <c r="F173" s="39">
        <f>G173+J173</f>
        <v>100000</v>
      </c>
      <c r="G173" s="39">
        <f>G174</f>
        <v>100000</v>
      </c>
      <c r="H173" s="39">
        <f>H174</f>
        <v>0</v>
      </c>
      <c r="I173" s="39">
        <f>I174</f>
        <v>0</v>
      </c>
      <c r="J173" s="39">
        <f>J174</f>
        <v>0</v>
      </c>
      <c r="K173" s="39">
        <f>K174</f>
        <v>0</v>
      </c>
      <c r="L173" s="39"/>
      <c r="M173" s="60">
        <f t="shared" si="27"/>
        <v>100000</v>
      </c>
      <c r="N173" s="58"/>
      <c r="O173" s="58"/>
    </row>
    <row r="174" spans="1:15" s="62" customFormat="1" ht="25.5">
      <c r="A174" s="41" t="s">
        <v>59</v>
      </c>
      <c r="B174" s="65" t="s">
        <v>116</v>
      </c>
      <c r="C174" s="39"/>
      <c r="D174" s="39"/>
      <c r="E174" s="39"/>
      <c r="F174" s="39">
        <f>G174+J174</f>
        <v>100000</v>
      </c>
      <c r="G174" s="39">
        <v>100000</v>
      </c>
      <c r="H174" s="39"/>
      <c r="I174" s="39"/>
      <c r="J174" s="39"/>
      <c r="K174" s="39"/>
      <c r="L174" s="39"/>
      <c r="M174" s="60">
        <f t="shared" si="27"/>
        <v>100000</v>
      </c>
      <c r="N174" s="58"/>
      <c r="O174" s="61"/>
    </row>
    <row r="175" spans="1:15" ht="25.5">
      <c r="A175" s="9" t="s">
        <v>159</v>
      </c>
      <c r="B175" s="6" t="s">
        <v>160</v>
      </c>
      <c r="C175" s="27">
        <f>C176+C177</f>
        <v>0</v>
      </c>
      <c r="D175" s="27">
        <f>D176+D177</f>
        <v>0</v>
      </c>
      <c r="E175" s="27">
        <f>E176+E177</f>
        <v>0</v>
      </c>
      <c r="F175" s="27">
        <f>F177</f>
        <v>6300</v>
      </c>
      <c r="G175" s="27">
        <f>G176+G177</f>
        <v>0</v>
      </c>
      <c r="H175" s="27">
        <f>H176+H177</f>
        <v>0</v>
      </c>
      <c r="I175" s="27">
        <f>I176+I177</f>
        <v>0</v>
      </c>
      <c r="J175" s="27">
        <f>J176+J177</f>
        <v>6300</v>
      </c>
      <c r="K175" s="27">
        <f>K176+K177</f>
        <v>0</v>
      </c>
      <c r="L175" s="27"/>
      <c r="M175" s="26">
        <f t="shared" si="27"/>
        <v>6300</v>
      </c>
      <c r="N175" s="58"/>
      <c r="O175" s="64"/>
    </row>
    <row r="176" spans="1:15" ht="53.25" customHeight="1" hidden="1">
      <c r="A176" s="41" t="s">
        <v>60</v>
      </c>
      <c r="B176" s="37" t="s">
        <v>98</v>
      </c>
      <c r="C176" s="39"/>
      <c r="D176" s="39"/>
      <c r="E176" s="39"/>
      <c r="F176" s="39">
        <f>G176+J176</f>
        <v>0</v>
      </c>
      <c r="G176" s="39"/>
      <c r="H176" s="39"/>
      <c r="I176" s="39"/>
      <c r="J176" s="39"/>
      <c r="K176" s="39"/>
      <c r="L176" s="39"/>
      <c r="M176" s="60">
        <f t="shared" si="27"/>
        <v>0</v>
      </c>
      <c r="N176" s="58"/>
      <c r="O176" s="64"/>
    </row>
    <row r="177" spans="1:15" ht="153.75" customHeight="1">
      <c r="A177" s="9" t="s">
        <v>176</v>
      </c>
      <c r="B177" s="6" t="s">
        <v>177</v>
      </c>
      <c r="C177" s="27"/>
      <c r="D177" s="27"/>
      <c r="E177" s="27"/>
      <c r="F177" s="27">
        <f>G177+J177</f>
        <v>6300</v>
      </c>
      <c r="G177" s="27"/>
      <c r="H177" s="27"/>
      <c r="I177" s="27"/>
      <c r="J177" s="27">
        <v>6300</v>
      </c>
      <c r="K177" s="27"/>
      <c r="L177" s="27"/>
      <c r="M177" s="26">
        <f t="shared" si="27"/>
        <v>6300</v>
      </c>
      <c r="N177" s="58"/>
      <c r="O177" s="64"/>
    </row>
    <row r="178" spans="1:15" ht="111.75" customHeight="1">
      <c r="A178" s="9"/>
      <c r="B178" s="105" t="s">
        <v>262</v>
      </c>
      <c r="C178" s="27"/>
      <c r="D178" s="27"/>
      <c r="E178" s="27"/>
      <c r="F178" s="27">
        <f>G178+J178</f>
        <v>6300</v>
      </c>
      <c r="G178" s="27">
        <f>G177</f>
        <v>0</v>
      </c>
      <c r="H178" s="27">
        <f>H177</f>
        <v>0</v>
      </c>
      <c r="I178" s="27">
        <f>I177</f>
        <v>0</v>
      </c>
      <c r="J178" s="27">
        <f>J177</f>
        <v>6300</v>
      </c>
      <c r="K178" s="27">
        <f>K177</f>
        <v>0</v>
      </c>
      <c r="L178" s="27"/>
      <c r="M178" s="26">
        <f>C178+F178</f>
        <v>6300</v>
      </c>
      <c r="N178" s="58"/>
      <c r="O178" s="64"/>
    </row>
    <row r="179" spans="1:15" s="59" customFormat="1" ht="25.5" hidden="1">
      <c r="A179" s="115" t="s">
        <v>43</v>
      </c>
      <c r="B179" s="116" t="s">
        <v>99</v>
      </c>
      <c r="C179" s="117">
        <f>C180+C181+C182</f>
        <v>0</v>
      </c>
      <c r="D179" s="117">
        <f>D180+D181+D182</f>
        <v>0</v>
      </c>
      <c r="E179" s="117">
        <f>E180+E181+E182</f>
        <v>0</v>
      </c>
      <c r="F179" s="117">
        <f aca="true" t="shared" si="28" ref="F179:F186">G179+J179</f>
        <v>0</v>
      </c>
      <c r="G179" s="117">
        <f>G180+G181+G182</f>
        <v>0</v>
      </c>
      <c r="H179" s="117">
        <f>H180+H181+H182</f>
        <v>0</v>
      </c>
      <c r="I179" s="117">
        <f>I180+I181+I182</f>
        <v>0</v>
      </c>
      <c r="J179" s="117">
        <f>J180+J181+J182</f>
        <v>0</v>
      </c>
      <c r="K179" s="117">
        <f>K180+K181+K182</f>
        <v>0</v>
      </c>
      <c r="L179" s="117"/>
      <c r="M179" s="118">
        <f aca="true" t="shared" si="29" ref="M179:M189">C179+F179</f>
        <v>0</v>
      </c>
      <c r="N179" s="58"/>
      <c r="O179" s="58"/>
    </row>
    <row r="180" spans="1:15" s="62" customFormat="1" ht="25.5" hidden="1">
      <c r="A180" s="115" t="s">
        <v>126</v>
      </c>
      <c r="B180" s="119" t="s">
        <v>209</v>
      </c>
      <c r="C180" s="117"/>
      <c r="D180" s="117"/>
      <c r="E180" s="117"/>
      <c r="F180" s="117">
        <f t="shared" si="28"/>
        <v>0</v>
      </c>
      <c r="G180" s="117"/>
      <c r="H180" s="117"/>
      <c r="I180" s="117"/>
      <c r="J180" s="117"/>
      <c r="K180" s="117"/>
      <c r="L180" s="117"/>
      <c r="M180" s="118">
        <f t="shared" si="29"/>
        <v>0</v>
      </c>
      <c r="N180" s="58"/>
      <c r="O180" s="61"/>
    </row>
    <row r="181" spans="1:15" ht="25.5" hidden="1">
      <c r="A181" s="115" t="s">
        <v>127</v>
      </c>
      <c r="B181" s="119" t="s">
        <v>215</v>
      </c>
      <c r="C181" s="117"/>
      <c r="D181" s="117"/>
      <c r="E181" s="117"/>
      <c r="F181" s="117">
        <f t="shared" si="28"/>
        <v>0</v>
      </c>
      <c r="G181" s="117"/>
      <c r="H181" s="117"/>
      <c r="I181" s="117"/>
      <c r="J181" s="117"/>
      <c r="K181" s="117"/>
      <c r="L181" s="117"/>
      <c r="M181" s="118">
        <f t="shared" si="29"/>
        <v>0</v>
      </c>
      <c r="N181" s="58"/>
      <c r="O181" s="64"/>
    </row>
    <row r="182" spans="1:15" ht="26.25" customHeight="1" hidden="1">
      <c r="A182" s="115" t="s">
        <v>45</v>
      </c>
      <c r="B182" s="119" t="s">
        <v>171</v>
      </c>
      <c r="C182" s="117"/>
      <c r="D182" s="117"/>
      <c r="E182" s="117"/>
      <c r="F182" s="117">
        <f t="shared" si="28"/>
        <v>0</v>
      </c>
      <c r="G182" s="117"/>
      <c r="H182" s="117"/>
      <c r="I182" s="117"/>
      <c r="J182" s="117"/>
      <c r="K182" s="117"/>
      <c r="L182" s="117"/>
      <c r="M182" s="118">
        <f t="shared" si="29"/>
        <v>0</v>
      </c>
      <c r="N182" s="58"/>
      <c r="O182" s="64"/>
    </row>
    <row r="183" spans="1:15" ht="63.75" hidden="1">
      <c r="A183" s="41" t="s">
        <v>203</v>
      </c>
      <c r="B183" s="37" t="s">
        <v>204</v>
      </c>
      <c r="C183" s="39"/>
      <c r="D183" s="39"/>
      <c r="E183" s="39"/>
      <c r="F183" s="39">
        <f t="shared" si="28"/>
        <v>0</v>
      </c>
      <c r="G183" s="39"/>
      <c r="H183" s="39"/>
      <c r="I183" s="39"/>
      <c r="J183" s="39"/>
      <c r="K183" s="39"/>
      <c r="L183" s="39"/>
      <c r="M183" s="60">
        <f t="shared" si="29"/>
        <v>0</v>
      </c>
      <c r="N183" s="58"/>
      <c r="O183" s="64"/>
    </row>
    <row r="184" spans="1:15" ht="25.5" hidden="1">
      <c r="A184" s="41" t="s">
        <v>59</v>
      </c>
      <c r="B184" s="65" t="s">
        <v>116</v>
      </c>
      <c r="C184" s="39"/>
      <c r="D184" s="39"/>
      <c r="E184" s="39"/>
      <c r="F184" s="39">
        <f t="shared" si="28"/>
        <v>0</v>
      </c>
      <c r="G184" s="39"/>
      <c r="H184" s="39"/>
      <c r="I184" s="39"/>
      <c r="J184" s="39"/>
      <c r="K184" s="39"/>
      <c r="L184" s="39"/>
      <c r="M184" s="60">
        <f t="shared" si="29"/>
        <v>0</v>
      </c>
      <c r="N184" s="58"/>
      <c r="O184" s="64"/>
    </row>
    <row r="185" spans="1:15" ht="25.5">
      <c r="A185" s="112" t="s">
        <v>326</v>
      </c>
      <c r="B185" s="113" t="s">
        <v>294</v>
      </c>
      <c r="C185" s="56">
        <f aca="true" t="shared" si="30" ref="C185:E186">C186</f>
        <v>2116107</v>
      </c>
      <c r="D185" s="56">
        <f t="shared" si="30"/>
        <v>1466902</v>
      </c>
      <c r="E185" s="56">
        <f t="shared" si="30"/>
        <v>0</v>
      </c>
      <c r="F185" s="56">
        <f t="shared" si="28"/>
        <v>16170</v>
      </c>
      <c r="G185" s="56"/>
      <c r="H185" s="56"/>
      <c r="I185" s="56"/>
      <c r="J185" s="56">
        <f aca="true" t="shared" si="31" ref="J185:L186">J186</f>
        <v>16170</v>
      </c>
      <c r="K185" s="56">
        <f t="shared" si="31"/>
        <v>16170</v>
      </c>
      <c r="L185" s="56">
        <f t="shared" si="31"/>
        <v>16170</v>
      </c>
      <c r="M185" s="57">
        <f>C185+F185</f>
        <v>2132277</v>
      </c>
      <c r="N185" s="58"/>
      <c r="O185" s="64"/>
    </row>
    <row r="186" spans="1:15" ht="12.75">
      <c r="A186" s="44" t="s">
        <v>150</v>
      </c>
      <c r="B186" s="45" t="s">
        <v>151</v>
      </c>
      <c r="C186" s="39">
        <f t="shared" si="30"/>
        <v>2116107</v>
      </c>
      <c r="D186" s="39">
        <f t="shared" si="30"/>
        <v>1466902</v>
      </c>
      <c r="E186" s="39">
        <f t="shared" si="30"/>
        <v>0</v>
      </c>
      <c r="F186" s="39">
        <f t="shared" si="28"/>
        <v>16170</v>
      </c>
      <c r="G186" s="39"/>
      <c r="H186" s="39"/>
      <c r="I186" s="39"/>
      <c r="J186" s="39">
        <f t="shared" si="31"/>
        <v>16170</v>
      </c>
      <c r="K186" s="39">
        <f t="shared" si="31"/>
        <v>16170</v>
      </c>
      <c r="L186" s="39">
        <f t="shared" si="31"/>
        <v>16170</v>
      </c>
      <c r="M186" s="60">
        <f>C186+F186</f>
        <v>2132277</v>
      </c>
      <c r="N186" s="58"/>
      <c r="O186" s="64"/>
    </row>
    <row r="187" spans="1:15" ht="12.75">
      <c r="A187" s="41" t="s">
        <v>21</v>
      </c>
      <c r="B187" s="63" t="s">
        <v>22</v>
      </c>
      <c r="C187" s="39">
        <f>2021028+14450+17874+62755</f>
        <v>2116107</v>
      </c>
      <c r="D187" s="39">
        <f>1420860+46042</f>
        <v>1466902</v>
      </c>
      <c r="E187" s="38"/>
      <c r="F187" s="39">
        <f>G187+J187</f>
        <v>16170</v>
      </c>
      <c r="G187" s="39"/>
      <c r="H187" s="39"/>
      <c r="I187" s="39"/>
      <c r="J187" s="39">
        <f>6000+10170</f>
        <v>16170</v>
      </c>
      <c r="K187" s="39">
        <f>J187</f>
        <v>16170</v>
      </c>
      <c r="L187" s="39">
        <f>K187</f>
        <v>16170</v>
      </c>
      <c r="M187" s="60">
        <f>C187+F187</f>
        <v>2132277</v>
      </c>
      <c r="N187" s="58"/>
      <c r="O187" s="64"/>
    </row>
    <row r="188" spans="1:15" ht="12.75" hidden="1">
      <c r="A188" s="41" t="s">
        <v>157</v>
      </c>
      <c r="B188" s="37" t="s">
        <v>161</v>
      </c>
      <c r="C188" s="39"/>
      <c r="D188" s="39"/>
      <c r="E188" s="39"/>
      <c r="F188" s="39">
        <f>G188+J188</f>
        <v>0</v>
      </c>
      <c r="G188" s="39">
        <f>G189</f>
        <v>0</v>
      </c>
      <c r="H188" s="39">
        <f>H189</f>
        <v>0</v>
      </c>
      <c r="I188" s="39">
        <f>I189</f>
        <v>0</v>
      </c>
      <c r="J188" s="39">
        <f>J189</f>
        <v>0</v>
      </c>
      <c r="K188" s="39">
        <f>K189</f>
        <v>0</v>
      </c>
      <c r="L188" s="39"/>
      <c r="M188" s="60">
        <f t="shared" si="29"/>
        <v>0</v>
      </c>
      <c r="N188" s="58"/>
      <c r="O188" s="64"/>
    </row>
    <row r="189" spans="1:15" ht="25.5" hidden="1">
      <c r="A189" s="41" t="s">
        <v>59</v>
      </c>
      <c r="B189" s="37" t="s">
        <v>116</v>
      </c>
      <c r="C189" s="39"/>
      <c r="D189" s="39"/>
      <c r="E189" s="39"/>
      <c r="F189" s="39">
        <f>G189+J189</f>
        <v>0</v>
      </c>
      <c r="G189" s="39"/>
      <c r="H189" s="39"/>
      <c r="I189" s="39"/>
      <c r="J189" s="39"/>
      <c r="K189" s="39"/>
      <c r="L189" s="39"/>
      <c r="M189" s="60">
        <f t="shared" si="29"/>
        <v>0</v>
      </c>
      <c r="N189" s="58"/>
      <c r="O189" s="64"/>
    </row>
    <row r="190" spans="1:14" s="3" customFormat="1" ht="51">
      <c r="A190" s="18" t="s">
        <v>322</v>
      </c>
      <c r="B190" s="20" t="s">
        <v>271</v>
      </c>
      <c r="C190" s="31">
        <f aca="true" t="shared" si="32" ref="C190:E191">C191</f>
        <v>729608</v>
      </c>
      <c r="D190" s="31">
        <f t="shared" si="32"/>
        <v>446907</v>
      </c>
      <c r="E190" s="31">
        <f t="shared" si="32"/>
        <v>0</v>
      </c>
      <c r="F190" s="31">
        <f>G190+J190</f>
        <v>5254</v>
      </c>
      <c r="G190" s="31">
        <f>G191</f>
        <v>0</v>
      </c>
      <c r="H190" s="31"/>
      <c r="I190" s="31"/>
      <c r="J190" s="31">
        <f aca="true" t="shared" si="33" ref="J190:L191">J191</f>
        <v>5254</v>
      </c>
      <c r="K190" s="31">
        <f t="shared" si="33"/>
        <v>5254</v>
      </c>
      <c r="L190" s="31">
        <f t="shared" si="33"/>
        <v>5254</v>
      </c>
      <c r="M190" s="57">
        <f>C190+F190</f>
        <v>734862</v>
      </c>
      <c r="N190" s="58"/>
    </row>
    <row r="191" spans="1:14" s="3" customFormat="1" ht="12.75">
      <c r="A191" s="80" t="s">
        <v>150</v>
      </c>
      <c r="B191" s="81" t="s">
        <v>151</v>
      </c>
      <c r="C191" s="27">
        <f t="shared" si="32"/>
        <v>729608</v>
      </c>
      <c r="D191" s="27">
        <f t="shared" si="32"/>
        <v>446907</v>
      </c>
      <c r="E191" s="27">
        <f t="shared" si="32"/>
        <v>0</v>
      </c>
      <c r="F191" s="27">
        <f>F192</f>
        <v>5254</v>
      </c>
      <c r="G191" s="27">
        <f>G192</f>
        <v>0</v>
      </c>
      <c r="H191" s="27"/>
      <c r="I191" s="27"/>
      <c r="J191" s="27">
        <f t="shared" si="33"/>
        <v>5254</v>
      </c>
      <c r="K191" s="27">
        <f t="shared" si="33"/>
        <v>5254</v>
      </c>
      <c r="L191" s="27">
        <f t="shared" si="33"/>
        <v>5254</v>
      </c>
      <c r="M191" s="60">
        <f>C191+F191</f>
        <v>734862</v>
      </c>
      <c r="N191" s="58"/>
    </row>
    <row r="192" spans="1:14" s="3" customFormat="1" ht="12.75">
      <c r="A192" s="7" t="s">
        <v>21</v>
      </c>
      <c r="B192" s="82" t="s">
        <v>22</v>
      </c>
      <c r="C192" s="27">
        <f>754150+11452-32617-3377</f>
        <v>729608</v>
      </c>
      <c r="D192" s="27">
        <f>473315-26408</f>
        <v>446907</v>
      </c>
      <c r="E192" s="27"/>
      <c r="F192" s="27">
        <f>G192+J192</f>
        <v>5254</v>
      </c>
      <c r="G192" s="144"/>
      <c r="H192" s="27"/>
      <c r="I192" s="27"/>
      <c r="J192" s="27">
        <v>5254</v>
      </c>
      <c r="K192" s="27">
        <f>J192</f>
        <v>5254</v>
      </c>
      <c r="L192" s="27">
        <f>K192</f>
        <v>5254</v>
      </c>
      <c r="M192" s="60">
        <f>C192+F192</f>
        <v>734862</v>
      </c>
      <c r="N192" s="58"/>
    </row>
    <row r="193" spans="1:15" ht="25.5">
      <c r="A193" s="112" t="s">
        <v>332</v>
      </c>
      <c r="B193" s="125" t="s">
        <v>276</v>
      </c>
      <c r="C193" s="56">
        <f>C194+C196+C205+C207+C209</f>
        <v>71213930</v>
      </c>
      <c r="D193" s="56">
        <f>D194+D196+D205+D207+D209</f>
        <v>42058996</v>
      </c>
      <c r="E193" s="56">
        <f>E194+E196+E205+E207+E209</f>
        <v>4401348</v>
      </c>
      <c r="F193" s="56">
        <f>G193+J193</f>
        <v>8959921</v>
      </c>
      <c r="G193" s="56">
        <f aca="true" t="shared" si="34" ref="G193:L193">G194+G196+G205+G207+G209</f>
        <v>4537369</v>
      </c>
      <c r="H193" s="56">
        <f t="shared" si="34"/>
        <v>1636699</v>
      </c>
      <c r="I193" s="56">
        <f t="shared" si="34"/>
        <v>737573</v>
      </c>
      <c r="J193" s="56">
        <f t="shared" si="34"/>
        <v>4422552</v>
      </c>
      <c r="K193" s="56">
        <f t="shared" si="34"/>
        <v>3760981</v>
      </c>
      <c r="L193" s="56">
        <f t="shared" si="34"/>
        <v>3660981</v>
      </c>
      <c r="M193" s="57">
        <f aca="true" t="shared" si="35" ref="M193:M211">C193+F193</f>
        <v>80173851</v>
      </c>
      <c r="N193" s="58"/>
      <c r="O193" s="64"/>
    </row>
    <row r="194" spans="1:15" ht="15" customHeight="1">
      <c r="A194" s="44" t="s">
        <v>150</v>
      </c>
      <c r="B194" s="71" t="s">
        <v>151</v>
      </c>
      <c r="C194" s="38">
        <f>C195</f>
        <v>694707</v>
      </c>
      <c r="D194" s="38">
        <f>D195</f>
        <v>464400</v>
      </c>
      <c r="E194" s="38">
        <f>E195</f>
        <v>60650</v>
      </c>
      <c r="F194" s="39">
        <f aca="true" t="shared" si="36" ref="F194:F210">G194+J194</f>
        <v>0</v>
      </c>
      <c r="G194" s="38"/>
      <c r="H194" s="38"/>
      <c r="I194" s="38"/>
      <c r="J194" s="38"/>
      <c r="K194" s="38"/>
      <c r="L194" s="38"/>
      <c r="M194" s="60">
        <f t="shared" si="35"/>
        <v>694707</v>
      </c>
      <c r="N194" s="58"/>
      <c r="O194" s="64"/>
    </row>
    <row r="195" spans="1:15" ht="12.75">
      <c r="A195" s="41" t="s">
        <v>21</v>
      </c>
      <c r="B195" s="86" t="s">
        <v>22</v>
      </c>
      <c r="C195" s="39">
        <f>638450+1100+44257+10900</f>
        <v>694707</v>
      </c>
      <c r="D195" s="39">
        <f>423930+32470+8000</f>
        <v>464400</v>
      </c>
      <c r="E195" s="39">
        <v>60650</v>
      </c>
      <c r="F195" s="39">
        <f t="shared" si="36"/>
        <v>0</v>
      </c>
      <c r="G195" s="39"/>
      <c r="H195" s="39"/>
      <c r="I195" s="39"/>
      <c r="J195" s="39"/>
      <c r="K195" s="39"/>
      <c r="L195" s="39"/>
      <c r="M195" s="60">
        <f t="shared" si="35"/>
        <v>694707</v>
      </c>
      <c r="N195" s="58"/>
      <c r="O195" s="64"/>
    </row>
    <row r="196" spans="1:15" ht="12.75">
      <c r="A196" s="41" t="s">
        <v>47</v>
      </c>
      <c r="B196" s="37" t="s">
        <v>4</v>
      </c>
      <c r="C196" s="39">
        <f>SUM(C197:C204)</f>
        <v>70519223</v>
      </c>
      <c r="D196" s="39">
        <f>SUM(D197:D204)</f>
        <v>41594596</v>
      </c>
      <c r="E196" s="39">
        <f>SUM(E197:E204)</f>
        <v>4340698</v>
      </c>
      <c r="F196" s="39">
        <f t="shared" si="36"/>
        <v>8859921</v>
      </c>
      <c r="G196" s="39">
        <f aca="true" t="shared" si="37" ref="G196:L196">SUM(G197:G204)</f>
        <v>4537369</v>
      </c>
      <c r="H196" s="39">
        <f t="shared" si="37"/>
        <v>1636699</v>
      </c>
      <c r="I196" s="39">
        <f t="shared" si="37"/>
        <v>737573</v>
      </c>
      <c r="J196" s="39">
        <f t="shared" si="37"/>
        <v>4322552</v>
      </c>
      <c r="K196" s="39">
        <f t="shared" si="37"/>
        <v>3660981</v>
      </c>
      <c r="L196" s="39">
        <f t="shared" si="37"/>
        <v>3660981</v>
      </c>
      <c r="M196" s="60">
        <f t="shared" si="35"/>
        <v>79379144</v>
      </c>
      <c r="N196" s="58"/>
      <c r="O196" s="64"/>
    </row>
    <row r="197" spans="1:15" ht="12.75">
      <c r="A197" s="41">
        <v>110102</v>
      </c>
      <c r="B197" s="79" t="s">
        <v>48</v>
      </c>
      <c r="C197" s="39">
        <v>3710082</v>
      </c>
      <c r="D197" s="39"/>
      <c r="E197" s="39"/>
      <c r="F197" s="39">
        <f t="shared" si="36"/>
        <v>1306673</v>
      </c>
      <c r="G197" s="39"/>
      <c r="H197" s="39"/>
      <c r="I197" s="39"/>
      <c r="J197" s="39">
        <v>1306673</v>
      </c>
      <c r="K197" s="39">
        <v>1306673</v>
      </c>
      <c r="L197" s="39">
        <v>1306673</v>
      </c>
      <c r="M197" s="60">
        <f t="shared" si="35"/>
        <v>5016755</v>
      </c>
      <c r="N197" s="58"/>
      <c r="O197" s="64"/>
    </row>
    <row r="198" spans="1:15" ht="12.75">
      <c r="A198" s="41">
        <v>110201</v>
      </c>
      <c r="B198" s="79" t="s">
        <v>49</v>
      </c>
      <c r="C198" s="39">
        <f>13744999+(22500)-12190-(1000)-(5000)-9116+(2000)+(6000)</f>
        <v>13748193</v>
      </c>
      <c r="D198" s="39">
        <v>7668846</v>
      </c>
      <c r="E198" s="39">
        <v>1133445</v>
      </c>
      <c r="F198" s="39">
        <f t="shared" si="36"/>
        <v>1599123</v>
      </c>
      <c r="G198" s="39">
        <v>9321</v>
      </c>
      <c r="H198" s="39"/>
      <c r="I198" s="39">
        <v>9321</v>
      </c>
      <c r="J198" s="39">
        <f>63121+1461581+(32100)+(13000)+(5000)+(18000)-(2000)-(1000)</f>
        <v>1589802</v>
      </c>
      <c r="K198" s="39">
        <f>1461581+(32100)+(13000)+(5000)+(18000)-(2000)-(1000)</f>
        <v>1526681</v>
      </c>
      <c r="L198" s="39">
        <f>1461581+(32100)+(13000)+(5000)+(18000)-(2000)-(1000)</f>
        <v>1526681</v>
      </c>
      <c r="M198" s="60">
        <f t="shared" si="35"/>
        <v>15347316</v>
      </c>
      <c r="N198" s="58"/>
      <c r="O198" s="64"/>
    </row>
    <row r="199" spans="1:15" ht="26.25" customHeight="1">
      <c r="A199" s="41">
        <v>110204</v>
      </c>
      <c r="B199" s="79" t="s">
        <v>134</v>
      </c>
      <c r="C199" s="39">
        <f>7208622+(3000)</f>
        <v>7211622</v>
      </c>
      <c r="D199" s="39">
        <v>3686069</v>
      </c>
      <c r="E199" s="39">
        <v>1827499</v>
      </c>
      <c r="F199" s="39">
        <f t="shared" si="36"/>
        <v>2947614</v>
      </c>
      <c r="G199" s="39">
        <v>2272498</v>
      </c>
      <c r="H199" s="39">
        <v>702571</v>
      </c>
      <c r="I199" s="39">
        <v>527755</v>
      </c>
      <c r="J199" s="39">
        <f>166000+1026819-542703+(20000)+(5000)</f>
        <v>675116</v>
      </c>
      <c r="K199" s="39">
        <f>1026819-542703+(20000)+(5000)</f>
        <v>509116</v>
      </c>
      <c r="L199" s="39">
        <f>K199</f>
        <v>509116</v>
      </c>
      <c r="M199" s="60">
        <f t="shared" si="35"/>
        <v>10159236</v>
      </c>
      <c r="N199" s="58"/>
      <c r="O199" s="64"/>
    </row>
    <row r="200" spans="1:15" ht="12.75">
      <c r="A200" s="41">
        <v>110205</v>
      </c>
      <c r="B200" s="79" t="s">
        <v>50</v>
      </c>
      <c r="C200" s="39">
        <f>41299029-34346+(5000)</f>
        <v>41269683</v>
      </c>
      <c r="D200" s="39">
        <v>29125581</v>
      </c>
      <c r="E200" s="39">
        <v>1329571</v>
      </c>
      <c r="F200" s="39">
        <f t="shared" si="36"/>
        <v>2899788</v>
      </c>
      <c r="G200" s="39">
        <v>2255550</v>
      </c>
      <c r="H200" s="39">
        <v>934128</v>
      </c>
      <c r="I200" s="39">
        <v>200497</v>
      </c>
      <c r="J200" s="39">
        <f>432450+488385-281597+(5000)</f>
        <v>644238</v>
      </c>
      <c r="K200" s="39">
        <f>488385-281597+(5000)</f>
        <v>211788</v>
      </c>
      <c r="L200" s="39">
        <f>K200</f>
        <v>211788</v>
      </c>
      <c r="M200" s="60">
        <f t="shared" si="35"/>
        <v>44169471</v>
      </c>
      <c r="N200" s="58"/>
      <c r="O200" s="64"/>
    </row>
    <row r="201" spans="1:15" ht="102" hidden="1">
      <c r="A201" s="41" t="s">
        <v>220</v>
      </c>
      <c r="B201" s="37" t="s">
        <v>219</v>
      </c>
      <c r="C201" s="39"/>
      <c r="D201" s="39"/>
      <c r="E201" s="39"/>
      <c r="F201" s="39">
        <f t="shared" si="36"/>
        <v>0</v>
      </c>
      <c r="G201" s="39"/>
      <c r="H201" s="39"/>
      <c r="I201" s="39"/>
      <c r="J201" s="39"/>
      <c r="K201" s="39"/>
      <c r="L201" s="39"/>
      <c r="M201" s="60">
        <f t="shared" si="35"/>
        <v>0</v>
      </c>
      <c r="N201" s="58"/>
      <c r="O201" s="64"/>
    </row>
    <row r="202" spans="1:15" ht="25.5" hidden="1">
      <c r="A202" s="41"/>
      <c r="B202" s="37" t="s">
        <v>170</v>
      </c>
      <c r="C202" s="39"/>
      <c r="D202" s="39"/>
      <c r="E202" s="39"/>
      <c r="F202" s="39"/>
      <c r="G202" s="39"/>
      <c r="H202" s="39"/>
      <c r="I202" s="39"/>
      <c r="J202" s="39"/>
      <c r="K202" s="39"/>
      <c r="L202" s="39"/>
      <c r="M202" s="60">
        <f t="shared" si="35"/>
        <v>0</v>
      </c>
      <c r="N202" s="58"/>
      <c r="O202" s="64"/>
    </row>
    <row r="203" spans="1:15" ht="12.75">
      <c r="A203" s="41" t="s">
        <v>182</v>
      </c>
      <c r="B203" s="37" t="s">
        <v>183</v>
      </c>
      <c r="C203" s="39">
        <f>804900+43462</f>
        <v>848362</v>
      </c>
      <c r="D203" s="39"/>
      <c r="E203" s="39"/>
      <c r="F203" s="39"/>
      <c r="G203" s="39"/>
      <c r="H203" s="39"/>
      <c r="I203" s="39"/>
      <c r="J203" s="39"/>
      <c r="K203" s="39"/>
      <c r="L203" s="39"/>
      <c r="M203" s="60">
        <f t="shared" si="35"/>
        <v>848362</v>
      </c>
      <c r="N203" s="58"/>
      <c r="O203" s="64"/>
    </row>
    <row r="204" spans="1:15" ht="25.5">
      <c r="A204" s="41">
        <v>110502</v>
      </c>
      <c r="B204" s="37" t="s">
        <v>51</v>
      </c>
      <c r="C204" s="39">
        <f>3665587+65694</f>
        <v>3731281</v>
      </c>
      <c r="D204" s="39">
        <v>1114100</v>
      </c>
      <c r="E204" s="39">
        <v>50183</v>
      </c>
      <c r="F204" s="39">
        <f t="shared" si="36"/>
        <v>106723</v>
      </c>
      <c r="G204" s="39"/>
      <c r="H204" s="39"/>
      <c r="I204" s="39"/>
      <c r="J204" s="39">
        <v>106723</v>
      </c>
      <c r="K204" s="39">
        <v>106723</v>
      </c>
      <c r="L204" s="39">
        <v>106723</v>
      </c>
      <c r="M204" s="60">
        <f t="shared" si="35"/>
        <v>3838004</v>
      </c>
      <c r="N204" s="58"/>
      <c r="O204" s="64"/>
    </row>
    <row r="205" spans="1:15" ht="12.75">
      <c r="A205" s="41" t="s">
        <v>154</v>
      </c>
      <c r="B205" s="37" t="s">
        <v>55</v>
      </c>
      <c r="C205" s="39"/>
      <c r="D205" s="39"/>
      <c r="E205" s="39"/>
      <c r="F205" s="39">
        <f t="shared" si="36"/>
        <v>100000</v>
      </c>
      <c r="G205" s="39"/>
      <c r="H205" s="39"/>
      <c r="I205" s="39"/>
      <c r="J205" s="39">
        <f>J206</f>
        <v>100000</v>
      </c>
      <c r="K205" s="39">
        <f>K206</f>
        <v>100000</v>
      </c>
      <c r="L205" s="39"/>
      <c r="M205" s="60">
        <f t="shared" si="35"/>
        <v>100000</v>
      </c>
      <c r="N205" s="58"/>
      <c r="O205" s="64"/>
    </row>
    <row r="206" spans="1:15" s="59" customFormat="1" ht="12.75">
      <c r="A206" s="41" t="s">
        <v>121</v>
      </c>
      <c r="B206" s="37" t="s">
        <v>122</v>
      </c>
      <c r="C206" s="39"/>
      <c r="D206" s="39"/>
      <c r="E206" s="39"/>
      <c r="F206" s="39">
        <f t="shared" si="36"/>
        <v>100000</v>
      </c>
      <c r="G206" s="39"/>
      <c r="H206" s="39"/>
      <c r="I206" s="39"/>
      <c r="J206" s="39">
        <f>K206</f>
        <v>100000</v>
      </c>
      <c r="K206" s="87">
        <v>100000</v>
      </c>
      <c r="L206" s="39"/>
      <c r="M206" s="60">
        <f t="shared" si="35"/>
        <v>100000</v>
      </c>
      <c r="N206" s="58"/>
      <c r="O206" s="58"/>
    </row>
    <row r="207" spans="1:15" s="62" customFormat="1" ht="12.75" hidden="1">
      <c r="A207" s="41" t="s">
        <v>157</v>
      </c>
      <c r="B207" s="37" t="s">
        <v>161</v>
      </c>
      <c r="C207" s="39">
        <f>C208</f>
        <v>0</v>
      </c>
      <c r="D207" s="39">
        <f>D208</f>
        <v>0</v>
      </c>
      <c r="E207" s="39">
        <f>E208</f>
        <v>0</v>
      </c>
      <c r="F207" s="39">
        <f t="shared" si="36"/>
        <v>0</v>
      </c>
      <c r="G207" s="39">
        <f>G208</f>
        <v>0</v>
      </c>
      <c r="H207" s="39">
        <f>H208</f>
        <v>0</v>
      </c>
      <c r="I207" s="39">
        <f>I208</f>
        <v>0</v>
      </c>
      <c r="J207" s="39">
        <f>J208</f>
        <v>0</v>
      </c>
      <c r="K207" s="39">
        <f>K208</f>
        <v>0</v>
      </c>
      <c r="L207" s="39"/>
      <c r="M207" s="60">
        <f t="shared" si="35"/>
        <v>0</v>
      </c>
      <c r="N207" s="58"/>
      <c r="O207" s="61"/>
    </row>
    <row r="208" spans="1:15" ht="25.5" hidden="1">
      <c r="A208" s="41" t="s">
        <v>59</v>
      </c>
      <c r="B208" s="65" t="s">
        <v>116</v>
      </c>
      <c r="C208" s="39"/>
      <c r="D208" s="39"/>
      <c r="E208" s="39"/>
      <c r="F208" s="39">
        <f t="shared" si="36"/>
        <v>0</v>
      </c>
      <c r="G208" s="39"/>
      <c r="H208" s="39"/>
      <c r="I208" s="39"/>
      <c r="J208" s="39"/>
      <c r="K208" s="39"/>
      <c r="L208" s="39"/>
      <c r="M208" s="60">
        <f t="shared" si="35"/>
        <v>0</v>
      </c>
      <c r="N208" s="58"/>
      <c r="O208" s="64"/>
    </row>
    <row r="209" spans="1:15" ht="25.5" hidden="1">
      <c r="A209" s="41" t="s">
        <v>159</v>
      </c>
      <c r="B209" s="45" t="s">
        <v>160</v>
      </c>
      <c r="C209" s="39">
        <f>C210</f>
        <v>0</v>
      </c>
      <c r="D209" s="39">
        <f>D210</f>
        <v>0</v>
      </c>
      <c r="E209" s="39">
        <f>E210</f>
        <v>0</v>
      </c>
      <c r="F209" s="39">
        <f t="shared" si="36"/>
        <v>0</v>
      </c>
      <c r="G209" s="39">
        <f>G210</f>
        <v>0</v>
      </c>
      <c r="H209" s="39">
        <f>H210</f>
        <v>0</v>
      </c>
      <c r="I209" s="39">
        <f>I210</f>
        <v>0</v>
      </c>
      <c r="J209" s="39">
        <f>J210</f>
        <v>0</v>
      </c>
      <c r="K209" s="39">
        <f>K210</f>
        <v>0</v>
      </c>
      <c r="L209" s="39"/>
      <c r="M209" s="60">
        <f t="shared" si="35"/>
        <v>0</v>
      </c>
      <c r="N209" s="58"/>
      <c r="O209" s="64"/>
    </row>
    <row r="210" spans="1:15" ht="12.75" hidden="1">
      <c r="A210" s="41" t="s">
        <v>60</v>
      </c>
      <c r="B210" s="37" t="s">
        <v>98</v>
      </c>
      <c r="C210" s="39"/>
      <c r="D210" s="39"/>
      <c r="E210" s="39"/>
      <c r="F210" s="39">
        <f t="shared" si="36"/>
        <v>0</v>
      </c>
      <c r="G210" s="39"/>
      <c r="H210" s="39"/>
      <c r="I210" s="39"/>
      <c r="J210" s="39"/>
      <c r="K210" s="39"/>
      <c r="L210" s="39"/>
      <c r="M210" s="60">
        <f t="shared" si="35"/>
        <v>0</v>
      </c>
      <c r="N210" s="58"/>
      <c r="O210" s="64"/>
    </row>
    <row r="211" spans="1:15" ht="12.75" hidden="1">
      <c r="A211" s="41"/>
      <c r="B211" s="65"/>
      <c r="C211" s="39"/>
      <c r="D211" s="39"/>
      <c r="E211" s="39"/>
      <c r="F211" s="39"/>
      <c r="G211" s="39"/>
      <c r="H211" s="39"/>
      <c r="I211" s="39"/>
      <c r="J211" s="39"/>
      <c r="K211" s="39"/>
      <c r="L211" s="39"/>
      <c r="M211" s="60">
        <f t="shared" si="35"/>
        <v>0</v>
      </c>
      <c r="N211" s="58"/>
      <c r="O211" s="64"/>
    </row>
    <row r="212" spans="1:15" ht="38.25">
      <c r="A212" s="112" t="s">
        <v>331</v>
      </c>
      <c r="B212" s="124" t="s">
        <v>298</v>
      </c>
      <c r="C212" s="56">
        <f>C213+C215+C220+C218</f>
        <v>1905260</v>
      </c>
      <c r="D212" s="56">
        <f>D213+D215+D220+D218</f>
        <v>1144224</v>
      </c>
      <c r="E212" s="56">
        <f>E213+E215+E220+E218</f>
        <v>67985</v>
      </c>
      <c r="F212" s="56">
        <f>G212+J212</f>
        <v>8240</v>
      </c>
      <c r="G212" s="56">
        <f aca="true" t="shared" si="38" ref="G212:L212">G213+G215+G220+G218</f>
        <v>0</v>
      </c>
      <c r="H212" s="56">
        <f t="shared" si="38"/>
        <v>0</v>
      </c>
      <c r="I212" s="56">
        <f t="shared" si="38"/>
        <v>0</v>
      </c>
      <c r="J212" s="56">
        <f t="shared" si="38"/>
        <v>8240</v>
      </c>
      <c r="K212" s="56">
        <f t="shared" si="38"/>
        <v>8240</v>
      </c>
      <c r="L212" s="56">
        <f t="shared" si="38"/>
        <v>8240</v>
      </c>
      <c r="M212" s="57">
        <f>C212+F212</f>
        <v>1913500</v>
      </c>
      <c r="N212" s="58"/>
      <c r="O212" s="64"/>
    </row>
    <row r="213" spans="1:15" ht="12.75">
      <c r="A213" s="44" t="s">
        <v>150</v>
      </c>
      <c r="B213" s="45" t="s">
        <v>151</v>
      </c>
      <c r="C213" s="38">
        <f>C214</f>
        <v>1748760</v>
      </c>
      <c r="D213" s="38">
        <f>D214</f>
        <v>1144224</v>
      </c>
      <c r="E213" s="38">
        <f>E214</f>
        <v>67985</v>
      </c>
      <c r="F213" s="39">
        <f aca="true" t="shared" si="39" ref="F213:F219">G213+J213</f>
        <v>8240</v>
      </c>
      <c r="G213" s="38"/>
      <c r="H213" s="38"/>
      <c r="I213" s="38"/>
      <c r="J213" s="38">
        <f>J214</f>
        <v>8240</v>
      </c>
      <c r="K213" s="38">
        <f>K214</f>
        <v>8240</v>
      </c>
      <c r="L213" s="38">
        <f>L214</f>
        <v>8240</v>
      </c>
      <c r="M213" s="60">
        <f>C213+F213</f>
        <v>1757000</v>
      </c>
      <c r="N213" s="58"/>
      <c r="O213" s="64"/>
    </row>
    <row r="214" spans="1:15" ht="12.75">
      <c r="A214" s="41" t="s">
        <v>21</v>
      </c>
      <c r="B214" s="63" t="s">
        <v>22</v>
      </c>
      <c r="C214" s="39">
        <f>1624230+27208+27475-56930+117377+9400</f>
        <v>1748760</v>
      </c>
      <c r="D214" s="39">
        <f>1107740-49633+86117</f>
        <v>1144224</v>
      </c>
      <c r="E214" s="39">
        <f>40510+27475</f>
        <v>67985</v>
      </c>
      <c r="F214" s="39">
        <f t="shared" si="39"/>
        <v>8240</v>
      </c>
      <c r="G214" s="39"/>
      <c r="H214" s="39"/>
      <c r="I214" s="39"/>
      <c r="J214" s="39">
        <f>8240</f>
        <v>8240</v>
      </c>
      <c r="K214" s="39">
        <f>J214</f>
        <v>8240</v>
      </c>
      <c r="L214" s="39">
        <f>K214</f>
        <v>8240</v>
      </c>
      <c r="M214" s="60">
        <f>C214+F215</f>
        <v>1748760</v>
      </c>
      <c r="N214" s="58"/>
      <c r="O214" s="64"/>
    </row>
    <row r="215" spans="1:15" ht="25.5" hidden="1">
      <c r="A215" s="41" t="s">
        <v>165</v>
      </c>
      <c r="B215" s="63" t="s">
        <v>166</v>
      </c>
      <c r="C215" s="109">
        <f>C216</f>
        <v>0</v>
      </c>
      <c r="D215" s="39">
        <f aca="true" t="shared" si="40" ref="D215:L215">D216</f>
        <v>0</v>
      </c>
      <c r="E215" s="39">
        <f t="shared" si="40"/>
        <v>0</v>
      </c>
      <c r="F215" s="39">
        <f t="shared" si="40"/>
        <v>0</v>
      </c>
      <c r="G215" s="39">
        <f t="shared" si="40"/>
        <v>0</v>
      </c>
      <c r="H215" s="39">
        <f t="shared" si="40"/>
        <v>0</v>
      </c>
      <c r="I215" s="39">
        <f t="shared" si="40"/>
        <v>0</v>
      </c>
      <c r="J215" s="39">
        <f t="shared" si="40"/>
        <v>0</v>
      </c>
      <c r="K215" s="39">
        <f t="shared" si="40"/>
        <v>0</v>
      </c>
      <c r="L215" s="39">
        <f t="shared" si="40"/>
        <v>0</v>
      </c>
      <c r="M215" s="110">
        <f>C215+F216</f>
        <v>0</v>
      </c>
      <c r="N215" s="58"/>
      <c r="O215" s="64"/>
    </row>
    <row r="216" spans="1:15" ht="25.5" hidden="1">
      <c r="A216" s="41" t="s">
        <v>56</v>
      </c>
      <c r="B216" s="79" t="s">
        <v>254</v>
      </c>
      <c r="C216" s="39"/>
      <c r="D216" s="39"/>
      <c r="E216" s="39"/>
      <c r="F216" s="39">
        <f>G216+J216</f>
        <v>0</v>
      </c>
      <c r="G216" s="39"/>
      <c r="H216" s="39"/>
      <c r="I216" s="39"/>
      <c r="J216" s="39"/>
      <c r="K216" s="39"/>
      <c r="L216" s="39"/>
      <c r="M216" s="60">
        <f>C216+F218</f>
        <v>0</v>
      </c>
      <c r="N216" s="58"/>
      <c r="O216" s="64"/>
    </row>
    <row r="217" spans="1:15" s="59" customFormat="1" ht="25.5" hidden="1">
      <c r="A217" s="85" t="s">
        <v>76</v>
      </c>
      <c r="B217" s="79" t="s">
        <v>77</v>
      </c>
      <c r="C217" s="39"/>
      <c r="D217" s="39"/>
      <c r="E217" s="39"/>
      <c r="F217" s="39"/>
      <c r="G217" s="39"/>
      <c r="H217" s="39"/>
      <c r="I217" s="39"/>
      <c r="J217" s="39"/>
      <c r="K217" s="39"/>
      <c r="L217" s="39"/>
      <c r="M217" s="60">
        <f>C217+F219</f>
        <v>0</v>
      </c>
      <c r="N217" s="58"/>
      <c r="O217" s="58"/>
    </row>
    <row r="218" spans="1:15" s="62" customFormat="1" ht="12.75" hidden="1">
      <c r="A218" s="41" t="s">
        <v>157</v>
      </c>
      <c r="B218" s="65" t="s">
        <v>161</v>
      </c>
      <c r="C218" s="39"/>
      <c r="D218" s="39"/>
      <c r="E218" s="39"/>
      <c r="F218" s="39">
        <f t="shared" si="39"/>
        <v>0</v>
      </c>
      <c r="G218" s="39">
        <f>G219</f>
        <v>0</v>
      </c>
      <c r="H218" s="39"/>
      <c r="I218" s="39"/>
      <c r="J218" s="39"/>
      <c r="K218" s="39"/>
      <c r="L218" s="39"/>
      <c r="M218" s="60">
        <f>C218+F219</f>
        <v>0</v>
      </c>
      <c r="N218" s="58"/>
      <c r="O218" s="61"/>
    </row>
    <row r="219" spans="1:15" ht="25.5" hidden="1">
      <c r="A219" s="41" t="s">
        <v>59</v>
      </c>
      <c r="B219" s="65" t="s">
        <v>116</v>
      </c>
      <c r="C219" s="39"/>
      <c r="D219" s="39"/>
      <c r="E219" s="39"/>
      <c r="F219" s="39">
        <f t="shared" si="39"/>
        <v>0</v>
      </c>
      <c r="G219" s="39"/>
      <c r="H219" s="39"/>
      <c r="I219" s="39"/>
      <c r="J219" s="39"/>
      <c r="K219" s="39"/>
      <c r="L219" s="39"/>
      <c r="M219" s="60">
        <f aca="true" t="shared" si="41" ref="M219:M242">C219+F219</f>
        <v>0</v>
      </c>
      <c r="N219" s="58"/>
      <c r="O219" s="64"/>
    </row>
    <row r="220" spans="1:15" ht="25.5">
      <c r="A220" s="41" t="s">
        <v>159</v>
      </c>
      <c r="B220" s="65" t="s">
        <v>160</v>
      </c>
      <c r="C220" s="39">
        <f>C221</f>
        <v>156500</v>
      </c>
      <c r="D220" s="39"/>
      <c r="E220" s="39"/>
      <c r="F220" s="39"/>
      <c r="G220" s="39"/>
      <c r="H220" s="39"/>
      <c r="I220" s="39"/>
      <c r="J220" s="39"/>
      <c r="K220" s="39"/>
      <c r="L220" s="39"/>
      <c r="M220" s="60">
        <f t="shared" si="41"/>
        <v>156500</v>
      </c>
      <c r="N220" s="58"/>
      <c r="O220" s="64"/>
    </row>
    <row r="221" spans="1:15" ht="12.75">
      <c r="A221" s="41" t="s">
        <v>60</v>
      </c>
      <c r="B221" s="37" t="s">
        <v>98</v>
      </c>
      <c r="C221" s="39">
        <f>C222</f>
        <v>156500</v>
      </c>
      <c r="D221" s="39"/>
      <c r="E221" s="39"/>
      <c r="F221" s="39"/>
      <c r="G221" s="39"/>
      <c r="H221" s="39"/>
      <c r="I221" s="39"/>
      <c r="J221" s="39"/>
      <c r="K221" s="39"/>
      <c r="L221" s="39"/>
      <c r="M221" s="60">
        <f t="shared" si="41"/>
        <v>156500</v>
      </c>
      <c r="N221" s="58"/>
      <c r="O221" s="64"/>
    </row>
    <row r="222" spans="1:15" ht="25.5" hidden="1">
      <c r="A222" s="41"/>
      <c r="B222" s="37" t="s">
        <v>6</v>
      </c>
      <c r="C222" s="39">
        <v>156500</v>
      </c>
      <c r="D222" s="39"/>
      <c r="E222" s="39"/>
      <c r="F222" s="39"/>
      <c r="G222" s="39"/>
      <c r="H222" s="39"/>
      <c r="I222" s="39"/>
      <c r="J222" s="39"/>
      <c r="K222" s="39"/>
      <c r="L222" s="39"/>
      <c r="M222" s="60">
        <f t="shared" si="41"/>
        <v>156500</v>
      </c>
      <c r="N222" s="58"/>
      <c r="O222" s="64"/>
    </row>
    <row r="223" spans="1:15" ht="25.5">
      <c r="A223" s="112" t="s">
        <v>340</v>
      </c>
      <c r="B223" s="127" t="s">
        <v>279</v>
      </c>
      <c r="C223" s="56">
        <f>C225</f>
        <v>1014255</v>
      </c>
      <c r="D223" s="56">
        <f aca="true" t="shared" si="42" ref="D223:L223">D225</f>
        <v>690504</v>
      </c>
      <c r="E223" s="56">
        <f t="shared" si="42"/>
        <v>0</v>
      </c>
      <c r="F223" s="56">
        <f t="shared" si="42"/>
        <v>125164</v>
      </c>
      <c r="G223" s="56">
        <f t="shared" si="42"/>
        <v>125164</v>
      </c>
      <c r="H223" s="56">
        <f t="shared" si="42"/>
        <v>0</v>
      </c>
      <c r="I223" s="56">
        <f t="shared" si="42"/>
        <v>0</v>
      </c>
      <c r="J223" s="56">
        <f t="shared" si="42"/>
        <v>0</v>
      </c>
      <c r="K223" s="56">
        <f t="shared" si="42"/>
        <v>0</v>
      </c>
      <c r="L223" s="56">
        <f t="shared" si="42"/>
        <v>0</v>
      </c>
      <c r="M223" s="57">
        <f t="shared" si="41"/>
        <v>1139419</v>
      </c>
      <c r="N223" s="58"/>
      <c r="O223" s="64"/>
    </row>
    <row r="224" spans="1:15" ht="12.75">
      <c r="A224" s="44" t="s">
        <v>150</v>
      </c>
      <c r="B224" s="45" t="s">
        <v>151</v>
      </c>
      <c r="C224" s="38">
        <f>C225</f>
        <v>1014255</v>
      </c>
      <c r="D224" s="38">
        <f>D225</f>
        <v>690504</v>
      </c>
      <c r="E224" s="38">
        <f>E225</f>
        <v>0</v>
      </c>
      <c r="F224" s="38">
        <f>F225</f>
        <v>125164</v>
      </c>
      <c r="G224" s="38">
        <f>G225</f>
        <v>125164</v>
      </c>
      <c r="H224" s="38"/>
      <c r="I224" s="38"/>
      <c r="J224" s="38">
        <f>J225</f>
        <v>0</v>
      </c>
      <c r="K224" s="38">
        <f>K225</f>
        <v>0</v>
      </c>
      <c r="L224" s="38">
        <f>L225</f>
        <v>0</v>
      </c>
      <c r="M224" s="60">
        <f t="shared" si="41"/>
        <v>1139419</v>
      </c>
      <c r="N224" s="58"/>
      <c r="O224" s="64"/>
    </row>
    <row r="225" spans="1:15" ht="12.75">
      <c r="A225" s="41" t="s">
        <v>21</v>
      </c>
      <c r="B225" s="63" t="s">
        <v>22</v>
      </c>
      <c r="C225" s="39">
        <f>973926+10610-10730+55439-14990</f>
        <v>1014255</v>
      </c>
      <c r="D225" s="39">
        <f>675550-10730+40674-14990</f>
        <v>690504</v>
      </c>
      <c r="E225" s="38"/>
      <c r="F225" s="39">
        <f>G225+J225</f>
        <v>125164</v>
      </c>
      <c r="G225" s="87">
        <v>125164</v>
      </c>
      <c r="H225" s="39"/>
      <c r="I225" s="39"/>
      <c r="J225" s="39"/>
      <c r="K225" s="39"/>
      <c r="L225" s="39"/>
      <c r="M225" s="60">
        <f t="shared" si="41"/>
        <v>1139419</v>
      </c>
      <c r="N225" s="58"/>
      <c r="O225" s="64"/>
    </row>
    <row r="226" spans="1:15" ht="38.25">
      <c r="A226" s="112" t="s">
        <v>328</v>
      </c>
      <c r="B226" s="111" t="s">
        <v>300</v>
      </c>
      <c r="C226" s="56">
        <f>C227+C229+C236+C239+C242+C245</f>
        <v>12701539</v>
      </c>
      <c r="D226" s="56">
        <f>D227+D229+D236+D239+D242+D245</f>
        <v>1233426</v>
      </c>
      <c r="E226" s="56">
        <f>E227+E229+E236+E239+E242+E245</f>
        <v>122060</v>
      </c>
      <c r="F226" s="56">
        <f>G226+J226</f>
        <v>61518657</v>
      </c>
      <c r="G226" s="56">
        <f>G227+G229+G236+G239+G242+G245</f>
        <v>0</v>
      </c>
      <c r="H226" s="56">
        <f>H227+H229+H236+H239+H242+H245</f>
        <v>0</v>
      </c>
      <c r="I226" s="56">
        <f>I227+I229+I236+I239+I242+I245</f>
        <v>0</v>
      </c>
      <c r="J226" s="56">
        <f>J227+J229+J236+J239+J245</f>
        <v>61518657</v>
      </c>
      <c r="K226" s="56">
        <f>K227+K229+K236+K239+K245</f>
        <v>61518657</v>
      </c>
      <c r="L226" s="56">
        <f>L227+L229+L236+L239+L245</f>
        <v>23369649</v>
      </c>
      <c r="M226" s="57">
        <f t="shared" si="41"/>
        <v>74220196</v>
      </c>
      <c r="N226" s="58"/>
      <c r="O226" s="64"/>
    </row>
    <row r="227" spans="1:15" ht="12.75">
      <c r="A227" s="44" t="s">
        <v>150</v>
      </c>
      <c r="B227" s="45" t="s">
        <v>151</v>
      </c>
      <c r="C227" s="38">
        <f>C228</f>
        <v>1921381</v>
      </c>
      <c r="D227" s="38">
        <f>D228</f>
        <v>1233426</v>
      </c>
      <c r="E227" s="38">
        <f>E228</f>
        <v>122060</v>
      </c>
      <c r="F227" s="39">
        <f aca="true" t="shared" si="43" ref="F227:F256">G227+J227</f>
        <v>0</v>
      </c>
      <c r="G227" s="38"/>
      <c r="H227" s="38"/>
      <c r="I227" s="38"/>
      <c r="J227" s="38"/>
      <c r="K227" s="38"/>
      <c r="L227" s="38"/>
      <c r="M227" s="60">
        <f t="shared" si="41"/>
        <v>1921381</v>
      </c>
      <c r="N227" s="58"/>
      <c r="O227" s="64"/>
    </row>
    <row r="228" spans="1:15" ht="12.75">
      <c r="A228" s="41" t="s">
        <v>21</v>
      </c>
      <c r="B228" s="63" t="s">
        <v>22</v>
      </c>
      <c r="C228" s="39">
        <f>1836140+20554+56137+8550</f>
        <v>1921381</v>
      </c>
      <c r="D228" s="39">
        <f>1192240+41186</f>
        <v>1233426</v>
      </c>
      <c r="E228" s="39">
        <v>122060</v>
      </c>
      <c r="F228" s="39">
        <f t="shared" si="43"/>
        <v>0</v>
      </c>
      <c r="G228" s="39"/>
      <c r="H228" s="39"/>
      <c r="I228" s="39"/>
      <c r="J228" s="39"/>
      <c r="K228" s="39"/>
      <c r="L228" s="39"/>
      <c r="M228" s="60">
        <f t="shared" si="41"/>
        <v>1921381</v>
      </c>
      <c r="N228" s="58"/>
      <c r="O228" s="64"/>
    </row>
    <row r="229" spans="1:15" ht="13.5" customHeight="1">
      <c r="A229" s="41" t="s">
        <v>162</v>
      </c>
      <c r="B229" s="63" t="s">
        <v>163</v>
      </c>
      <c r="C229" s="39">
        <f>C230+C231+C232+C233</f>
        <v>0</v>
      </c>
      <c r="D229" s="39">
        <f>D230+D231+D232+D233</f>
        <v>0</v>
      </c>
      <c r="E229" s="39">
        <f>E230+E231+E232+E233</f>
        <v>0</v>
      </c>
      <c r="F229" s="39">
        <f t="shared" si="43"/>
        <v>41030990</v>
      </c>
      <c r="G229" s="39">
        <f aca="true" t="shared" si="44" ref="G229:L229">G230+G231+G232+G233+G235</f>
        <v>0</v>
      </c>
      <c r="H229" s="39">
        <f t="shared" si="44"/>
        <v>0</v>
      </c>
      <c r="I229" s="39">
        <f t="shared" si="44"/>
        <v>0</v>
      </c>
      <c r="J229" s="39">
        <f t="shared" si="44"/>
        <v>41030990</v>
      </c>
      <c r="K229" s="39">
        <f t="shared" si="44"/>
        <v>41030990</v>
      </c>
      <c r="L229" s="39">
        <f t="shared" si="44"/>
        <v>22436251</v>
      </c>
      <c r="M229" s="60">
        <f t="shared" si="41"/>
        <v>41030990</v>
      </c>
      <c r="N229" s="58"/>
      <c r="O229" s="64"/>
    </row>
    <row r="230" spans="1:15" ht="28.5" customHeight="1">
      <c r="A230" s="41" t="s">
        <v>174</v>
      </c>
      <c r="B230" s="79" t="s">
        <v>247</v>
      </c>
      <c r="C230" s="39"/>
      <c r="D230" s="39"/>
      <c r="E230" s="39"/>
      <c r="F230" s="39">
        <f t="shared" si="43"/>
        <v>41030990</v>
      </c>
      <c r="G230" s="39"/>
      <c r="H230" s="39"/>
      <c r="I230" s="39"/>
      <c r="J230" s="39">
        <f>30000000+4524864+262100+(617000)+(140000)+(15000)-(204000)+(4000)+4602770-(130000)+245556+980700-(27000)</f>
        <v>41030990</v>
      </c>
      <c r="K230" s="39">
        <f>30000000+4524864+262100+(617000)+(140000)+(15000)-(204000)+(4000)+4602770-(130000)+245556+980700-(27000)</f>
        <v>41030990</v>
      </c>
      <c r="L230" s="39">
        <f>30000000+4524864+262100+(617000)+(140000)+(15000)-(204000)+(4000)-12000000-(130000)+245556-119200+980700-1535247-(27000)+809178-1146700</f>
        <v>22436251</v>
      </c>
      <c r="M230" s="60">
        <f t="shared" si="41"/>
        <v>41030990</v>
      </c>
      <c r="N230" s="58"/>
      <c r="O230" s="64"/>
    </row>
    <row r="231" spans="1:15" ht="20.25" customHeight="1" hidden="1">
      <c r="A231" s="41" t="s">
        <v>10</v>
      </c>
      <c r="B231" s="37" t="s">
        <v>11</v>
      </c>
      <c r="C231" s="39"/>
      <c r="D231" s="39"/>
      <c r="E231" s="39"/>
      <c r="F231" s="39">
        <f>G231+J231</f>
        <v>0</v>
      </c>
      <c r="G231" s="39"/>
      <c r="H231" s="39"/>
      <c r="I231" s="39"/>
      <c r="J231" s="39"/>
      <c r="K231" s="39"/>
      <c r="L231" s="39"/>
      <c r="M231" s="60">
        <f t="shared" si="41"/>
        <v>0</v>
      </c>
      <c r="N231" s="58"/>
      <c r="O231" s="64"/>
    </row>
    <row r="232" spans="1:15" ht="25.5">
      <c r="A232" s="41" t="s">
        <v>206</v>
      </c>
      <c r="B232" s="37" t="s">
        <v>207</v>
      </c>
      <c r="C232" s="39"/>
      <c r="D232" s="39"/>
      <c r="E232" s="39"/>
      <c r="F232" s="39">
        <f>G232+J232</f>
        <v>0</v>
      </c>
      <c r="G232" s="39"/>
      <c r="H232" s="39"/>
      <c r="I232" s="39"/>
      <c r="J232" s="39"/>
      <c r="K232" s="39"/>
      <c r="L232" s="39"/>
      <c r="M232" s="60">
        <f t="shared" si="41"/>
        <v>0</v>
      </c>
      <c r="N232" s="58"/>
      <c r="O232" s="64"/>
    </row>
    <row r="233" spans="1:15" ht="165.75" hidden="1">
      <c r="A233" s="41" t="s">
        <v>178</v>
      </c>
      <c r="B233" s="37" t="s">
        <v>199</v>
      </c>
      <c r="C233" s="39"/>
      <c r="D233" s="39"/>
      <c r="E233" s="39"/>
      <c r="F233" s="39">
        <f t="shared" si="43"/>
        <v>0</v>
      </c>
      <c r="G233" s="39"/>
      <c r="H233" s="39"/>
      <c r="I233" s="39"/>
      <c r="J233" s="39"/>
      <c r="K233" s="39"/>
      <c r="L233" s="39"/>
      <c r="M233" s="60">
        <f t="shared" si="41"/>
        <v>0</v>
      </c>
      <c r="N233" s="58"/>
      <c r="O233" s="64"/>
    </row>
    <row r="234" spans="1:15" ht="25.5" hidden="1">
      <c r="A234" s="41"/>
      <c r="B234" s="37" t="s">
        <v>170</v>
      </c>
      <c r="C234" s="39"/>
      <c r="D234" s="39"/>
      <c r="E234" s="39"/>
      <c r="F234" s="39">
        <f t="shared" si="43"/>
        <v>0</v>
      </c>
      <c r="G234" s="39">
        <f>G233</f>
        <v>0</v>
      </c>
      <c r="H234" s="39">
        <f>H233</f>
        <v>0</v>
      </c>
      <c r="I234" s="39">
        <f>I233</f>
        <v>0</v>
      </c>
      <c r="J234" s="39"/>
      <c r="K234" s="39">
        <f>K233</f>
        <v>0</v>
      </c>
      <c r="L234" s="39"/>
      <c r="M234" s="60">
        <f t="shared" si="41"/>
        <v>0</v>
      </c>
      <c r="N234" s="58"/>
      <c r="O234" s="64"/>
    </row>
    <row r="235" spans="1:15" ht="27" customHeight="1" hidden="1">
      <c r="A235" s="85" t="s">
        <v>243</v>
      </c>
      <c r="B235" s="79" t="s">
        <v>244</v>
      </c>
      <c r="C235" s="39"/>
      <c r="D235" s="39"/>
      <c r="E235" s="39"/>
      <c r="F235" s="39">
        <f t="shared" si="43"/>
        <v>0</v>
      </c>
      <c r="G235" s="39"/>
      <c r="H235" s="39"/>
      <c r="I235" s="39"/>
      <c r="J235" s="39"/>
      <c r="K235" s="39">
        <f>J235</f>
        <v>0</v>
      </c>
      <c r="L235" s="39">
        <f>K235</f>
        <v>0</v>
      </c>
      <c r="M235" s="60">
        <f t="shared" si="41"/>
        <v>0</v>
      </c>
      <c r="N235" s="58"/>
      <c r="O235" s="64"/>
    </row>
    <row r="236" spans="1:15" ht="13.5" customHeight="1">
      <c r="A236" s="41" t="s">
        <v>154</v>
      </c>
      <c r="B236" s="37" t="s">
        <v>55</v>
      </c>
      <c r="C236" s="39"/>
      <c r="D236" s="39"/>
      <c r="E236" s="39"/>
      <c r="F236" s="39">
        <f t="shared" si="43"/>
        <v>15400024</v>
      </c>
      <c r="G236" s="39">
        <f>G238+G237</f>
        <v>0</v>
      </c>
      <c r="H236" s="39">
        <f>H238+H237</f>
        <v>0</v>
      </c>
      <c r="I236" s="39">
        <f>I238+I237</f>
        <v>0</v>
      </c>
      <c r="J236" s="39">
        <f>J238+J237</f>
        <v>15400024</v>
      </c>
      <c r="K236" s="39">
        <f>K238+K237</f>
        <v>15400024</v>
      </c>
      <c r="L236" s="39">
        <f>L237</f>
        <v>412555</v>
      </c>
      <c r="M236" s="60">
        <f t="shared" si="41"/>
        <v>15400024</v>
      </c>
      <c r="N236" s="58"/>
      <c r="O236" s="64"/>
    </row>
    <row r="237" spans="1:15" ht="15" customHeight="1">
      <c r="A237" s="41" t="s">
        <v>121</v>
      </c>
      <c r="B237" s="37" t="s">
        <v>122</v>
      </c>
      <c r="C237" s="39"/>
      <c r="D237" s="39"/>
      <c r="E237" s="39"/>
      <c r="F237" s="39">
        <f t="shared" si="43"/>
        <v>15400024</v>
      </c>
      <c r="G237" s="39"/>
      <c r="H237" s="39"/>
      <c r="I237" s="39"/>
      <c r="J237" s="39">
        <f>K237</f>
        <v>15400024</v>
      </c>
      <c r="K237" s="87">
        <f>18272047-290000+412555+98000-998000-1757056+809178-1146700</f>
        <v>15400024</v>
      </c>
      <c r="L237" s="39">
        <f>412555+98000-98000</f>
        <v>412555</v>
      </c>
      <c r="M237" s="60">
        <f t="shared" si="41"/>
        <v>15400024</v>
      </c>
      <c r="N237" s="58"/>
      <c r="O237" s="64"/>
    </row>
    <row r="238" spans="1:15" ht="12.75">
      <c r="A238" s="41" t="s">
        <v>142</v>
      </c>
      <c r="B238" s="63" t="s">
        <v>143</v>
      </c>
      <c r="C238" s="39"/>
      <c r="D238" s="39"/>
      <c r="E238" s="39"/>
      <c r="F238" s="39">
        <f t="shared" si="43"/>
        <v>0</v>
      </c>
      <c r="G238" s="39"/>
      <c r="H238" s="39"/>
      <c r="I238" s="39"/>
      <c r="J238" s="39"/>
      <c r="K238" s="39"/>
      <c r="L238" s="39"/>
      <c r="M238" s="60">
        <f t="shared" si="41"/>
        <v>0</v>
      </c>
      <c r="N238" s="58"/>
      <c r="O238" s="64"/>
    </row>
    <row r="239" spans="1:15" ht="25.5" customHeight="1">
      <c r="A239" s="41" t="s">
        <v>165</v>
      </c>
      <c r="B239" s="63" t="s">
        <v>166</v>
      </c>
      <c r="C239" s="39">
        <f>C240+C242</f>
        <v>0</v>
      </c>
      <c r="D239" s="39">
        <f>D240</f>
        <v>0</v>
      </c>
      <c r="E239" s="39">
        <f>E240</f>
        <v>0</v>
      </c>
      <c r="F239" s="39">
        <f>G239+J239</f>
        <v>3568800</v>
      </c>
      <c r="G239" s="39">
        <f aca="true" t="shared" si="45" ref="G239:L239">G240+G242</f>
        <v>0</v>
      </c>
      <c r="H239" s="39">
        <f t="shared" si="45"/>
        <v>0</v>
      </c>
      <c r="I239" s="39">
        <f t="shared" si="45"/>
        <v>0</v>
      </c>
      <c r="J239" s="39">
        <f t="shared" si="45"/>
        <v>3568800</v>
      </c>
      <c r="K239" s="39">
        <f t="shared" si="45"/>
        <v>3568800</v>
      </c>
      <c r="L239" s="39">
        <f t="shared" si="45"/>
        <v>0</v>
      </c>
      <c r="M239" s="60">
        <f>C239+F239</f>
        <v>3568800</v>
      </c>
      <c r="N239" s="58"/>
      <c r="O239" s="64"/>
    </row>
    <row r="240" spans="1:15" ht="25.5" hidden="1">
      <c r="A240" s="41" t="s">
        <v>8</v>
      </c>
      <c r="B240" s="37" t="s">
        <v>9</v>
      </c>
      <c r="C240" s="39"/>
      <c r="D240" s="39"/>
      <c r="E240" s="39"/>
      <c r="F240" s="39">
        <f>G240+J240</f>
        <v>0</v>
      </c>
      <c r="G240" s="39"/>
      <c r="H240" s="39"/>
      <c r="I240" s="39"/>
      <c r="J240" s="39"/>
      <c r="K240" s="39"/>
      <c r="L240" s="39"/>
      <c r="M240" s="60">
        <f t="shared" si="41"/>
        <v>0</v>
      </c>
      <c r="N240" s="58"/>
      <c r="O240" s="64"/>
    </row>
    <row r="241" spans="1:15" ht="25.5" hidden="1">
      <c r="A241" s="41"/>
      <c r="B241" s="65" t="s">
        <v>170</v>
      </c>
      <c r="C241" s="39"/>
      <c r="D241" s="39"/>
      <c r="E241" s="39"/>
      <c r="F241" s="39">
        <f>G241+J241</f>
        <v>0</v>
      </c>
      <c r="G241" s="39"/>
      <c r="H241" s="39"/>
      <c r="I241" s="39"/>
      <c r="J241" s="39">
        <f>J240</f>
        <v>0</v>
      </c>
      <c r="K241" s="39"/>
      <c r="L241" s="39"/>
      <c r="M241" s="60">
        <f t="shared" si="41"/>
        <v>0</v>
      </c>
      <c r="N241" s="58"/>
      <c r="O241" s="64"/>
    </row>
    <row r="242" spans="1:15" ht="66" customHeight="1">
      <c r="A242" s="85" t="s">
        <v>139</v>
      </c>
      <c r="B242" s="84" t="s">
        <v>253</v>
      </c>
      <c r="C242" s="39">
        <f aca="true" t="shared" si="46" ref="C242:I242">C243</f>
        <v>0</v>
      </c>
      <c r="D242" s="39">
        <f t="shared" si="46"/>
        <v>0</v>
      </c>
      <c r="E242" s="39">
        <f t="shared" si="46"/>
        <v>0</v>
      </c>
      <c r="F242" s="39">
        <f>G242+J242</f>
        <v>3568800</v>
      </c>
      <c r="G242" s="39">
        <f t="shared" si="46"/>
        <v>0</v>
      </c>
      <c r="H242" s="39">
        <f t="shared" si="46"/>
        <v>0</v>
      </c>
      <c r="I242" s="39">
        <f t="shared" si="46"/>
        <v>0</v>
      </c>
      <c r="J242" s="39">
        <f>K242</f>
        <v>3568800</v>
      </c>
      <c r="K242" s="39">
        <f>6299400-2730600</f>
        <v>3568800</v>
      </c>
      <c r="L242" s="39">
        <f>L243</f>
        <v>0</v>
      </c>
      <c r="M242" s="60">
        <f t="shared" si="41"/>
        <v>3568800</v>
      </c>
      <c r="N242" s="58"/>
      <c r="O242" s="64"/>
    </row>
    <row r="243" spans="1:15" ht="36.75" customHeight="1" hidden="1">
      <c r="A243" s="85"/>
      <c r="B243" s="65"/>
      <c r="C243" s="39"/>
      <c r="D243" s="39"/>
      <c r="E243" s="39"/>
      <c r="F243" s="39">
        <f>G243+J243</f>
        <v>0</v>
      </c>
      <c r="G243" s="39"/>
      <c r="H243" s="39"/>
      <c r="I243" s="39"/>
      <c r="J243" s="39"/>
      <c r="K243" s="39"/>
      <c r="L243" s="39"/>
      <c r="M243" s="60">
        <f aca="true" t="shared" si="47" ref="M243:M256">C243+F243</f>
        <v>0</v>
      </c>
      <c r="N243" s="58"/>
      <c r="O243" s="64"/>
    </row>
    <row r="244" spans="1:15" ht="30.75" customHeight="1" hidden="1">
      <c r="A244" s="41" t="s">
        <v>59</v>
      </c>
      <c r="B244" s="65" t="s">
        <v>116</v>
      </c>
      <c r="C244" s="39"/>
      <c r="D244" s="39"/>
      <c r="E244" s="39"/>
      <c r="F244" s="39">
        <f t="shared" si="43"/>
        <v>0</v>
      </c>
      <c r="G244" s="39"/>
      <c r="H244" s="39"/>
      <c r="I244" s="39"/>
      <c r="J244" s="39"/>
      <c r="K244" s="39"/>
      <c r="L244" s="39"/>
      <c r="M244" s="60">
        <f t="shared" si="47"/>
        <v>0</v>
      </c>
      <c r="N244" s="58"/>
      <c r="O244" s="64"/>
    </row>
    <row r="245" spans="1:15" ht="26.25" customHeight="1">
      <c r="A245" s="41" t="s">
        <v>159</v>
      </c>
      <c r="B245" s="65" t="s">
        <v>160</v>
      </c>
      <c r="C245" s="39">
        <f aca="true" t="shared" si="48" ref="C245:L245">C246</f>
        <v>10780158</v>
      </c>
      <c r="D245" s="39">
        <f t="shared" si="48"/>
        <v>0</v>
      </c>
      <c r="E245" s="39">
        <f t="shared" si="48"/>
        <v>0</v>
      </c>
      <c r="F245" s="39">
        <f t="shared" si="48"/>
        <v>1518843</v>
      </c>
      <c r="G245" s="39">
        <f t="shared" si="48"/>
        <v>0</v>
      </c>
      <c r="H245" s="39">
        <f t="shared" si="48"/>
        <v>0</v>
      </c>
      <c r="I245" s="39">
        <f t="shared" si="48"/>
        <v>0</v>
      </c>
      <c r="J245" s="39">
        <f t="shared" si="48"/>
        <v>1518843</v>
      </c>
      <c r="K245" s="39">
        <f t="shared" si="48"/>
        <v>1518843</v>
      </c>
      <c r="L245" s="39">
        <f t="shared" si="48"/>
        <v>520843</v>
      </c>
      <c r="M245" s="60">
        <f t="shared" si="47"/>
        <v>12299001</v>
      </c>
      <c r="N245" s="58"/>
      <c r="O245" s="64"/>
    </row>
    <row r="246" spans="1:15" ht="12.75">
      <c r="A246" s="41" t="s">
        <v>60</v>
      </c>
      <c r="B246" s="37" t="s">
        <v>98</v>
      </c>
      <c r="C246" s="39">
        <f>SUM(C247:C256)</f>
        <v>10780158</v>
      </c>
      <c r="D246" s="39">
        <f aca="true" t="shared" si="49" ref="D246:K246">SUM(D247:D256)</f>
        <v>0</v>
      </c>
      <c r="E246" s="39">
        <f t="shared" si="49"/>
        <v>0</v>
      </c>
      <c r="F246" s="39">
        <f t="shared" si="49"/>
        <v>1518843</v>
      </c>
      <c r="G246" s="39">
        <f t="shared" si="49"/>
        <v>0</v>
      </c>
      <c r="H246" s="39">
        <f t="shared" si="49"/>
        <v>0</v>
      </c>
      <c r="I246" s="39">
        <f t="shared" si="49"/>
        <v>0</v>
      </c>
      <c r="J246" s="39">
        <f t="shared" si="49"/>
        <v>1518843</v>
      </c>
      <c r="K246" s="39">
        <f t="shared" si="49"/>
        <v>1518843</v>
      </c>
      <c r="L246" s="39">
        <f>SUM(L247:L256)</f>
        <v>520843</v>
      </c>
      <c r="M246" s="60">
        <f t="shared" si="47"/>
        <v>12299001</v>
      </c>
      <c r="N246" s="58"/>
      <c r="O246" s="64"/>
    </row>
    <row r="247" spans="1:15" s="59" customFormat="1" ht="54" customHeight="1" hidden="1">
      <c r="A247" s="41"/>
      <c r="B247" s="79" t="s">
        <v>350</v>
      </c>
      <c r="C247" s="39">
        <v>150000</v>
      </c>
      <c r="D247" s="39"/>
      <c r="E247" s="39"/>
      <c r="F247" s="39">
        <f t="shared" si="43"/>
        <v>0</v>
      </c>
      <c r="G247" s="39"/>
      <c r="H247" s="39"/>
      <c r="I247" s="39"/>
      <c r="J247" s="39"/>
      <c r="K247" s="39"/>
      <c r="L247" s="39"/>
      <c r="M247" s="60">
        <f t="shared" si="47"/>
        <v>150000</v>
      </c>
      <c r="N247" s="58"/>
      <c r="O247" s="58"/>
    </row>
    <row r="248" spans="1:15" s="62" customFormat="1" ht="12.75" hidden="1">
      <c r="A248" s="41"/>
      <c r="B248" s="79" t="s">
        <v>245</v>
      </c>
      <c r="C248" s="39"/>
      <c r="D248" s="39"/>
      <c r="E248" s="39"/>
      <c r="F248" s="39">
        <f t="shared" si="43"/>
        <v>0</v>
      </c>
      <c r="G248" s="39"/>
      <c r="H248" s="39"/>
      <c r="I248" s="39"/>
      <c r="J248" s="39"/>
      <c r="K248" s="39">
        <f>J248</f>
        <v>0</v>
      </c>
      <c r="L248" s="39">
        <f>K248</f>
        <v>0</v>
      </c>
      <c r="M248" s="60">
        <f t="shared" si="47"/>
        <v>0</v>
      </c>
      <c r="N248" s="58"/>
      <c r="O248" s="61"/>
    </row>
    <row r="249" spans="1:15" ht="76.5" hidden="1">
      <c r="A249" s="41"/>
      <c r="B249" s="79" t="s">
        <v>346</v>
      </c>
      <c r="C249" s="39">
        <v>92400</v>
      </c>
      <c r="D249" s="39"/>
      <c r="E249" s="39"/>
      <c r="F249" s="39">
        <f t="shared" si="43"/>
        <v>0</v>
      </c>
      <c r="G249" s="39"/>
      <c r="H249" s="39"/>
      <c r="I249" s="39"/>
      <c r="J249" s="39"/>
      <c r="K249" s="39"/>
      <c r="L249" s="39"/>
      <c r="M249" s="60">
        <f t="shared" si="47"/>
        <v>92400</v>
      </c>
      <c r="N249" s="58"/>
      <c r="O249" s="64"/>
    </row>
    <row r="250" spans="1:15" ht="63.75" hidden="1">
      <c r="A250" s="41"/>
      <c r="B250" s="79" t="s">
        <v>311</v>
      </c>
      <c r="C250" s="39">
        <f>325100+36954</f>
        <v>362054</v>
      </c>
      <c r="D250" s="39"/>
      <c r="E250" s="39"/>
      <c r="F250" s="39">
        <f t="shared" si="43"/>
        <v>0</v>
      </c>
      <c r="G250" s="39"/>
      <c r="H250" s="39"/>
      <c r="I250" s="39"/>
      <c r="J250" s="39"/>
      <c r="K250" s="39"/>
      <c r="L250" s="39"/>
      <c r="M250" s="60">
        <f t="shared" si="47"/>
        <v>362054</v>
      </c>
      <c r="N250" s="58"/>
      <c r="O250" s="64"/>
    </row>
    <row r="251" spans="1:15" ht="38.25" hidden="1">
      <c r="A251" s="41"/>
      <c r="B251" s="79" t="s">
        <v>347</v>
      </c>
      <c r="C251" s="39">
        <f>385279+87500+(1148003)+(175000)-(43000)-(16000)+(747600)-(3000)+(9600)+(135000)+10514+(50000)</f>
        <v>2686496</v>
      </c>
      <c r="D251" s="39"/>
      <c r="E251" s="39"/>
      <c r="F251" s="39">
        <f t="shared" si="43"/>
        <v>0</v>
      </c>
      <c r="G251" s="39"/>
      <c r="H251" s="39"/>
      <c r="I251" s="39"/>
      <c r="J251" s="39"/>
      <c r="K251" s="39"/>
      <c r="L251" s="39"/>
      <c r="M251" s="60">
        <f t="shared" si="47"/>
        <v>2686496</v>
      </c>
      <c r="N251" s="58"/>
      <c r="O251" s="64"/>
    </row>
    <row r="252" spans="1:15" ht="51" hidden="1">
      <c r="A252" s="41"/>
      <c r="B252" s="79" t="s">
        <v>296</v>
      </c>
      <c r="C252" s="39">
        <f>35518+10320</f>
        <v>45838</v>
      </c>
      <c r="D252" s="39"/>
      <c r="E252" s="39"/>
      <c r="F252" s="39">
        <f t="shared" si="43"/>
        <v>0</v>
      </c>
      <c r="G252" s="39"/>
      <c r="H252" s="39"/>
      <c r="I252" s="39"/>
      <c r="J252" s="39"/>
      <c r="K252" s="39"/>
      <c r="L252" s="39"/>
      <c r="M252" s="60">
        <f t="shared" si="47"/>
        <v>45838</v>
      </c>
      <c r="N252" s="58"/>
      <c r="O252" s="64"/>
    </row>
    <row r="253" spans="1:15" ht="51" hidden="1">
      <c r="A253" s="41"/>
      <c r="B253" s="143" t="s">
        <v>348</v>
      </c>
      <c r="C253" s="39">
        <v>975200</v>
      </c>
      <c r="D253" s="39"/>
      <c r="E253" s="39"/>
      <c r="F253" s="39"/>
      <c r="G253" s="39"/>
      <c r="H253" s="39"/>
      <c r="I253" s="39"/>
      <c r="J253" s="39"/>
      <c r="K253" s="39"/>
      <c r="L253" s="39"/>
      <c r="M253" s="60">
        <f t="shared" si="47"/>
        <v>975200</v>
      </c>
      <c r="N253" s="58"/>
      <c r="O253" s="64"/>
    </row>
    <row r="254" spans="1:15" ht="38.25" hidden="1">
      <c r="A254" s="41"/>
      <c r="B254" s="143" t="s">
        <v>358</v>
      </c>
      <c r="C254" s="39"/>
      <c r="D254" s="39"/>
      <c r="E254" s="39"/>
      <c r="F254" s="39">
        <f t="shared" si="43"/>
        <v>1518843</v>
      </c>
      <c r="G254" s="39"/>
      <c r="H254" s="39"/>
      <c r="I254" s="39"/>
      <c r="J254" s="39">
        <f>221000+299843+998000</f>
        <v>1518843</v>
      </c>
      <c r="K254" s="39">
        <f>J254</f>
        <v>1518843</v>
      </c>
      <c r="L254" s="108">
        <f>K254-998000</f>
        <v>520843</v>
      </c>
      <c r="M254" s="60">
        <f t="shared" si="47"/>
        <v>1518843</v>
      </c>
      <c r="N254" s="58"/>
      <c r="O254" s="64"/>
    </row>
    <row r="255" spans="1:15" ht="51" hidden="1">
      <c r="A255" s="41"/>
      <c r="B255" s="79" t="s">
        <v>363</v>
      </c>
      <c r="C255" s="39">
        <f>1400600-10320</f>
        <v>1390280</v>
      </c>
      <c r="D255" s="39"/>
      <c r="E255" s="39"/>
      <c r="F255" s="39">
        <f t="shared" si="43"/>
        <v>0</v>
      </c>
      <c r="G255" s="39"/>
      <c r="H255" s="39"/>
      <c r="I255" s="39"/>
      <c r="J255" s="39"/>
      <c r="K255" s="39"/>
      <c r="L255" s="39"/>
      <c r="M255" s="60">
        <f t="shared" si="47"/>
        <v>1390280</v>
      </c>
      <c r="N255" s="58"/>
      <c r="O255" s="64"/>
    </row>
    <row r="256" spans="1:15" ht="51" hidden="1">
      <c r="A256" s="41"/>
      <c r="B256" s="79" t="s">
        <v>349</v>
      </c>
      <c r="C256" s="39">
        <f>77890+5000000</f>
        <v>5077890</v>
      </c>
      <c r="D256" s="39"/>
      <c r="E256" s="39"/>
      <c r="F256" s="39">
        <f t="shared" si="43"/>
        <v>0</v>
      </c>
      <c r="G256" s="39"/>
      <c r="H256" s="39"/>
      <c r="I256" s="39"/>
      <c r="J256" s="39"/>
      <c r="K256" s="39"/>
      <c r="L256" s="39"/>
      <c r="M256" s="60">
        <f t="shared" si="47"/>
        <v>5077890</v>
      </c>
      <c r="N256" s="58"/>
      <c r="O256" s="64"/>
    </row>
    <row r="257" spans="1:15" ht="38.25">
      <c r="A257" s="112" t="s">
        <v>330</v>
      </c>
      <c r="B257" s="113" t="s">
        <v>272</v>
      </c>
      <c r="C257" s="56">
        <f>C258+C260+C263+C266+C270+C273+C275+C278</f>
        <v>64241053</v>
      </c>
      <c r="D257" s="56">
        <f>D258+D260+D263+D266+D270+D273+D275+D278</f>
        <v>833624</v>
      </c>
      <c r="E257" s="56">
        <f>E258+E260+E263+E266+E270+E273+E275+E278</f>
        <v>33349444</v>
      </c>
      <c r="F257" s="56">
        <f>G257+J257</f>
        <v>77790645</v>
      </c>
      <c r="G257" s="56">
        <f aca="true" t="shared" si="50" ref="G257:L257">G258+G260+G263+G266+G270+G273+G275+G278</f>
        <v>9996925</v>
      </c>
      <c r="H257" s="56">
        <f t="shared" si="50"/>
        <v>0</v>
      </c>
      <c r="I257" s="56">
        <f t="shared" si="50"/>
        <v>0</v>
      </c>
      <c r="J257" s="56">
        <f>J258+J260+J263+J266+J270+J273+J275+J278</f>
        <v>67793720</v>
      </c>
      <c r="K257" s="56">
        <f t="shared" si="50"/>
        <v>42920921</v>
      </c>
      <c r="L257" s="56">
        <f t="shared" si="50"/>
        <v>1986616</v>
      </c>
      <c r="M257" s="57">
        <f aca="true" t="shared" si="51" ref="M257:M270">C257+F257</f>
        <v>142031698</v>
      </c>
      <c r="N257" s="58"/>
      <c r="O257" s="64"/>
    </row>
    <row r="258" spans="1:15" ht="12.75">
      <c r="A258" s="67" t="s">
        <v>150</v>
      </c>
      <c r="B258" s="68" t="s">
        <v>151</v>
      </c>
      <c r="C258" s="60">
        <f>C259</f>
        <v>1371967</v>
      </c>
      <c r="D258" s="60">
        <f>D259</f>
        <v>833624</v>
      </c>
      <c r="E258" s="60">
        <f>E259</f>
        <v>83690</v>
      </c>
      <c r="F258" s="39">
        <f>G258+J258</f>
        <v>0</v>
      </c>
      <c r="G258" s="60">
        <f aca="true" t="shared" si="52" ref="G258:L258">G259</f>
        <v>0</v>
      </c>
      <c r="H258" s="60">
        <f t="shared" si="52"/>
        <v>0</v>
      </c>
      <c r="I258" s="60">
        <f t="shared" si="52"/>
        <v>0</v>
      </c>
      <c r="J258" s="60">
        <f t="shared" si="52"/>
        <v>0</v>
      </c>
      <c r="K258" s="60">
        <f t="shared" si="52"/>
        <v>0</v>
      </c>
      <c r="L258" s="60">
        <f t="shared" si="52"/>
        <v>0</v>
      </c>
      <c r="M258" s="60">
        <f t="shared" si="51"/>
        <v>1371967</v>
      </c>
      <c r="N258" s="58"/>
      <c r="O258" s="64"/>
    </row>
    <row r="259" spans="1:15" ht="12.75">
      <c r="A259" s="41" t="s">
        <v>21</v>
      </c>
      <c r="B259" s="63" t="s">
        <v>22</v>
      </c>
      <c r="C259" s="60">
        <f>1330555+15278+26134</f>
        <v>1371967</v>
      </c>
      <c r="D259" s="60">
        <f>814450+19174</f>
        <v>833624</v>
      </c>
      <c r="E259" s="60">
        <v>83690</v>
      </c>
      <c r="F259" s="39">
        <f>G259+J259</f>
        <v>0</v>
      </c>
      <c r="G259" s="39"/>
      <c r="H259" s="39"/>
      <c r="I259" s="39"/>
      <c r="J259" s="39"/>
      <c r="K259" s="39"/>
      <c r="L259" s="39"/>
      <c r="M259" s="60">
        <f t="shared" si="51"/>
        <v>1371967</v>
      </c>
      <c r="N259" s="58"/>
      <c r="O259" s="64"/>
    </row>
    <row r="260" spans="1:15" ht="25.5">
      <c r="A260" s="41" t="s">
        <v>43</v>
      </c>
      <c r="B260" s="63" t="s">
        <v>99</v>
      </c>
      <c r="C260" s="39">
        <f>C261+C262</f>
        <v>201754</v>
      </c>
      <c r="D260" s="39">
        <f>D261+D262</f>
        <v>0</v>
      </c>
      <c r="E260" s="39">
        <f>E261+E262</f>
        <v>0</v>
      </c>
      <c r="F260" s="39">
        <f aca="true" t="shared" si="53" ref="F260:F274">G260+J260</f>
        <v>0</v>
      </c>
      <c r="G260" s="39">
        <f>G261+G262</f>
        <v>0</v>
      </c>
      <c r="H260" s="39">
        <f>H261+H262</f>
        <v>0</v>
      </c>
      <c r="I260" s="39">
        <f>I261+I262</f>
        <v>0</v>
      </c>
      <c r="J260" s="39">
        <f>J261+J262</f>
        <v>0</v>
      </c>
      <c r="K260" s="39">
        <f>K261+K262</f>
        <v>0</v>
      </c>
      <c r="L260" s="39"/>
      <c r="M260" s="60">
        <f t="shared" si="51"/>
        <v>201754</v>
      </c>
      <c r="N260" s="58"/>
      <c r="O260" s="64"/>
    </row>
    <row r="261" spans="1:15" ht="25.5">
      <c r="A261" s="41" t="s">
        <v>44</v>
      </c>
      <c r="B261" s="37" t="s">
        <v>113</v>
      </c>
      <c r="C261" s="39">
        <f>141500+60254</f>
        <v>201754</v>
      </c>
      <c r="D261" s="39"/>
      <c r="E261" s="39"/>
      <c r="F261" s="39">
        <f t="shared" si="53"/>
        <v>0</v>
      </c>
      <c r="G261" s="39"/>
      <c r="H261" s="39"/>
      <c r="I261" s="39"/>
      <c r="J261" s="39"/>
      <c r="K261" s="39"/>
      <c r="L261" s="39"/>
      <c r="M261" s="60">
        <f t="shared" si="51"/>
        <v>201754</v>
      </c>
      <c r="N261" s="58"/>
      <c r="O261" s="64"/>
    </row>
    <row r="262" spans="1:15" ht="25.5" hidden="1">
      <c r="A262" s="41" t="s">
        <v>201</v>
      </c>
      <c r="B262" s="37" t="s">
        <v>202</v>
      </c>
      <c r="C262" s="39"/>
      <c r="D262" s="39"/>
      <c r="E262" s="39"/>
      <c r="F262" s="39">
        <f t="shared" si="53"/>
        <v>0</v>
      </c>
      <c r="G262" s="39"/>
      <c r="H262" s="39"/>
      <c r="I262" s="39"/>
      <c r="J262" s="39"/>
      <c r="K262" s="39"/>
      <c r="L262" s="39"/>
      <c r="M262" s="60">
        <f t="shared" si="51"/>
        <v>0</v>
      </c>
      <c r="N262" s="58"/>
      <c r="O262" s="64"/>
    </row>
    <row r="263" spans="1:15" ht="12.75">
      <c r="A263" s="41" t="s">
        <v>162</v>
      </c>
      <c r="B263" s="37" t="s">
        <v>164</v>
      </c>
      <c r="C263" s="39">
        <f>C264+C265</f>
        <v>60219353</v>
      </c>
      <c r="D263" s="39">
        <f aca="true" t="shared" si="54" ref="D263:L263">D264+D265</f>
        <v>0</v>
      </c>
      <c r="E263" s="39">
        <f t="shared" si="54"/>
        <v>33265754</v>
      </c>
      <c r="F263" s="39">
        <f t="shared" si="54"/>
        <v>2733344</v>
      </c>
      <c r="G263" s="39">
        <f t="shared" si="54"/>
        <v>0</v>
      </c>
      <c r="H263" s="39">
        <f t="shared" si="54"/>
        <v>0</v>
      </c>
      <c r="I263" s="39">
        <f t="shared" si="54"/>
        <v>0</v>
      </c>
      <c r="J263" s="39">
        <f t="shared" si="54"/>
        <v>2733344</v>
      </c>
      <c r="K263" s="39">
        <f t="shared" si="54"/>
        <v>2733344</v>
      </c>
      <c r="L263" s="39">
        <f t="shared" si="54"/>
        <v>1936616</v>
      </c>
      <c r="M263" s="60">
        <f t="shared" si="51"/>
        <v>62952697</v>
      </c>
      <c r="N263" s="58"/>
      <c r="O263" s="64"/>
    </row>
    <row r="264" spans="1:15" ht="12.75">
      <c r="A264" s="41">
        <v>100203</v>
      </c>
      <c r="B264" s="79" t="s">
        <v>246</v>
      </c>
      <c r="C264" s="39">
        <f>17134055+32059497+7323250+2025712+223486-223486+(47600)+(38800)+(8000)+(35000)+(2360)+(1200)+(5000)+34759+2490203-40800-136105-809178</f>
        <v>60219353</v>
      </c>
      <c r="D264" s="39"/>
      <c r="E264" s="39">
        <f>32059497+2015435-809178</f>
        <v>33265754</v>
      </c>
      <c r="F264" s="39">
        <f t="shared" si="53"/>
        <v>2733344</v>
      </c>
      <c r="G264" s="39"/>
      <c r="H264" s="39"/>
      <c r="I264" s="39"/>
      <c r="J264" s="39">
        <f>1583700+352916+600000+196728</f>
        <v>2733344</v>
      </c>
      <c r="K264" s="39">
        <f>J264</f>
        <v>2733344</v>
      </c>
      <c r="L264" s="39">
        <f>K264-600000-196728</f>
        <v>1936616</v>
      </c>
      <c r="M264" s="60">
        <f t="shared" si="51"/>
        <v>62952697</v>
      </c>
      <c r="N264" s="58"/>
      <c r="O264" s="64"/>
    </row>
    <row r="265" spans="1:15" ht="51" hidden="1">
      <c r="A265" s="41" t="s">
        <v>222</v>
      </c>
      <c r="B265" s="37" t="s">
        <v>223</v>
      </c>
      <c r="C265" s="39"/>
      <c r="D265" s="39"/>
      <c r="E265" s="39"/>
      <c r="F265" s="39">
        <f t="shared" si="53"/>
        <v>0</v>
      </c>
      <c r="G265" s="39"/>
      <c r="H265" s="39"/>
      <c r="I265" s="39"/>
      <c r="J265" s="39"/>
      <c r="K265" s="39"/>
      <c r="L265" s="39"/>
      <c r="M265" s="60">
        <f t="shared" si="51"/>
        <v>0</v>
      </c>
      <c r="N265" s="58"/>
      <c r="O265" s="64"/>
    </row>
    <row r="266" spans="1:15" ht="12.75">
      <c r="A266" s="41" t="s">
        <v>154</v>
      </c>
      <c r="B266" s="37" t="s">
        <v>55</v>
      </c>
      <c r="C266" s="39"/>
      <c r="D266" s="39"/>
      <c r="E266" s="39"/>
      <c r="F266" s="39">
        <f t="shared" si="53"/>
        <v>28350033</v>
      </c>
      <c r="G266" s="39"/>
      <c r="H266" s="39"/>
      <c r="I266" s="39"/>
      <c r="J266" s="39">
        <f>J267</f>
        <v>28350033</v>
      </c>
      <c r="K266" s="39">
        <f>K267</f>
        <v>28350033</v>
      </c>
      <c r="L266" s="39">
        <f>L267</f>
        <v>50000</v>
      </c>
      <c r="M266" s="60">
        <f t="shared" si="51"/>
        <v>28350033</v>
      </c>
      <c r="N266" s="58"/>
      <c r="O266" s="64"/>
    </row>
    <row r="267" spans="1:15" ht="12.75">
      <c r="A267" s="41" t="s">
        <v>121</v>
      </c>
      <c r="B267" s="37" t="s">
        <v>122</v>
      </c>
      <c r="C267" s="39"/>
      <c r="D267" s="39"/>
      <c r="E267" s="39"/>
      <c r="F267" s="39">
        <f t="shared" si="53"/>
        <v>28350033</v>
      </c>
      <c r="G267" s="39"/>
      <c r="H267" s="39"/>
      <c r="I267" s="39"/>
      <c r="J267" s="39">
        <f>K267</f>
        <v>28350033</v>
      </c>
      <c r="K267" s="87">
        <f>33165305+644430-5157404+3782+(117000)-117000-39080-200000-(67000)</f>
        <v>28350033</v>
      </c>
      <c r="L267" s="108">
        <f>(117000)-(67000)</f>
        <v>50000</v>
      </c>
      <c r="M267" s="60">
        <f t="shared" si="51"/>
        <v>28350033</v>
      </c>
      <c r="N267" s="58"/>
      <c r="O267" s="64"/>
    </row>
    <row r="268" spans="1:15" ht="63.75" hidden="1">
      <c r="A268" s="41" t="s">
        <v>137</v>
      </c>
      <c r="B268" s="63" t="s">
        <v>138</v>
      </c>
      <c r="C268" s="39"/>
      <c r="D268" s="39"/>
      <c r="E268" s="39"/>
      <c r="F268" s="39">
        <f t="shared" si="53"/>
        <v>0</v>
      </c>
      <c r="G268" s="39"/>
      <c r="H268" s="39"/>
      <c r="I268" s="39"/>
      <c r="J268" s="39"/>
      <c r="K268" s="39"/>
      <c r="L268" s="39"/>
      <c r="M268" s="60">
        <f t="shared" si="51"/>
        <v>0</v>
      </c>
      <c r="N268" s="58"/>
      <c r="O268" s="64"/>
    </row>
    <row r="269" spans="1:15" ht="51" hidden="1">
      <c r="A269" s="41"/>
      <c r="B269" s="86" t="s">
        <v>305</v>
      </c>
      <c r="C269" s="39"/>
      <c r="D269" s="39"/>
      <c r="E269" s="39"/>
      <c r="F269" s="39">
        <f t="shared" si="53"/>
        <v>0</v>
      </c>
      <c r="G269" s="39"/>
      <c r="H269" s="39"/>
      <c r="I269" s="39"/>
      <c r="J269" s="39"/>
      <c r="K269" s="39">
        <f>J269</f>
        <v>0</v>
      </c>
      <c r="L269" s="39">
        <f>K269</f>
        <v>0</v>
      </c>
      <c r="M269" s="60">
        <f t="shared" si="51"/>
        <v>0</v>
      </c>
      <c r="N269" s="58"/>
      <c r="O269" s="64"/>
    </row>
    <row r="270" spans="1:15" ht="38.25">
      <c r="A270" s="41" t="s">
        <v>155</v>
      </c>
      <c r="B270" s="63" t="s">
        <v>156</v>
      </c>
      <c r="C270" s="39"/>
      <c r="D270" s="39"/>
      <c r="E270" s="39"/>
      <c r="F270" s="39">
        <f>G270+J270</f>
        <v>30600880</v>
      </c>
      <c r="G270" s="39">
        <f>G271</f>
        <v>9976425</v>
      </c>
      <c r="H270" s="39">
        <f>H271</f>
        <v>0</v>
      </c>
      <c r="I270" s="39">
        <f>I271</f>
        <v>0</v>
      </c>
      <c r="J270" s="39">
        <f>J271</f>
        <v>20624455</v>
      </c>
      <c r="K270" s="39">
        <f>K271</f>
        <v>0</v>
      </c>
      <c r="L270" s="39"/>
      <c r="M270" s="60">
        <f t="shared" si="51"/>
        <v>30600880</v>
      </c>
      <c r="N270" s="58"/>
      <c r="O270" s="64"/>
    </row>
    <row r="271" spans="1:15" ht="51">
      <c r="A271" s="41">
        <v>170703</v>
      </c>
      <c r="B271" s="37" t="s">
        <v>3</v>
      </c>
      <c r="C271" s="39"/>
      <c r="D271" s="39"/>
      <c r="E271" s="39"/>
      <c r="F271" s="39">
        <f t="shared" si="53"/>
        <v>30600880</v>
      </c>
      <c r="G271" s="39">
        <f>G272+871726-1</f>
        <v>9976425</v>
      </c>
      <c r="H271" s="39"/>
      <c r="I271" s="39"/>
      <c r="J271" s="39">
        <f>J272+1130000+107255</f>
        <v>20624455</v>
      </c>
      <c r="K271" s="39"/>
      <c r="L271" s="39"/>
      <c r="M271" s="60">
        <f aca="true" t="shared" si="55" ref="M271:M284">C271+F271</f>
        <v>30600880</v>
      </c>
      <c r="N271" s="58"/>
      <c r="O271" s="64"/>
    </row>
    <row r="272" spans="1:15" ht="90.75" customHeight="1">
      <c r="A272" s="41"/>
      <c r="B272" s="79" t="s">
        <v>312</v>
      </c>
      <c r="C272" s="39"/>
      <c r="D272" s="39"/>
      <c r="E272" s="39"/>
      <c r="F272" s="39">
        <f t="shared" si="53"/>
        <v>28491900</v>
      </c>
      <c r="G272" s="39">
        <f>9117400-12700</f>
        <v>9104700</v>
      </c>
      <c r="H272" s="39"/>
      <c r="I272" s="39"/>
      <c r="J272" s="39">
        <f>19374500+12700</f>
        <v>19387200</v>
      </c>
      <c r="K272" s="39"/>
      <c r="L272" s="39"/>
      <c r="M272" s="60">
        <f t="shared" si="55"/>
        <v>28491900</v>
      </c>
      <c r="N272" s="58"/>
      <c r="O272" s="64"/>
    </row>
    <row r="273" spans="1:15" ht="25.5">
      <c r="A273" s="41" t="s">
        <v>165</v>
      </c>
      <c r="B273" s="63" t="s">
        <v>166</v>
      </c>
      <c r="C273" s="39">
        <f>C274</f>
        <v>0</v>
      </c>
      <c r="D273" s="39">
        <f>D274</f>
        <v>0</v>
      </c>
      <c r="E273" s="39">
        <f>E274</f>
        <v>0</v>
      </c>
      <c r="F273" s="39">
        <f t="shared" si="53"/>
        <v>11837544</v>
      </c>
      <c r="G273" s="39">
        <f aca="true" t="shared" si="56" ref="G273:L273">G274</f>
        <v>0</v>
      </c>
      <c r="H273" s="39">
        <f t="shared" si="56"/>
        <v>0</v>
      </c>
      <c r="I273" s="39">
        <f t="shared" si="56"/>
        <v>0</v>
      </c>
      <c r="J273" s="39">
        <f t="shared" si="56"/>
        <v>11837544</v>
      </c>
      <c r="K273" s="39">
        <f t="shared" si="56"/>
        <v>11837544</v>
      </c>
      <c r="L273" s="39">
        <f t="shared" si="56"/>
        <v>0</v>
      </c>
      <c r="M273" s="60">
        <f t="shared" si="55"/>
        <v>11837544</v>
      </c>
      <c r="N273" s="58"/>
      <c r="O273" s="64"/>
    </row>
    <row r="274" spans="1:15" ht="51">
      <c r="A274" s="41" t="s">
        <v>139</v>
      </c>
      <c r="B274" s="79" t="s">
        <v>253</v>
      </c>
      <c r="C274" s="39"/>
      <c r="D274" s="39"/>
      <c r="E274" s="39"/>
      <c r="F274" s="39">
        <f t="shared" si="53"/>
        <v>11837544</v>
      </c>
      <c r="G274" s="39"/>
      <c r="H274" s="39"/>
      <c r="I274" s="39"/>
      <c r="J274" s="39">
        <f>K274</f>
        <v>11837544</v>
      </c>
      <c r="K274" s="39">
        <f>10847544+990000</f>
        <v>11837544</v>
      </c>
      <c r="L274" s="39"/>
      <c r="M274" s="60">
        <f t="shared" si="55"/>
        <v>11837544</v>
      </c>
      <c r="N274" s="58"/>
      <c r="O274" s="64"/>
    </row>
    <row r="275" spans="1:15" ht="12.75">
      <c r="A275" s="41" t="s">
        <v>157</v>
      </c>
      <c r="B275" s="65" t="s">
        <v>161</v>
      </c>
      <c r="C275" s="39">
        <f>C276+C277</f>
        <v>0</v>
      </c>
      <c r="D275" s="39">
        <f>D276+D277</f>
        <v>0</v>
      </c>
      <c r="E275" s="39">
        <f>E276+E277</f>
        <v>0</v>
      </c>
      <c r="F275" s="39">
        <f>G275+J275</f>
        <v>4268844</v>
      </c>
      <c r="G275" s="39">
        <f>G276+G277</f>
        <v>20500</v>
      </c>
      <c r="H275" s="39">
        <f>H276+H277</f>
        <v>0</v>
      </c>
      <c r="I275" s="39">
        <f>I276+I277</f>
        <v>0</v>
      </c>
      <c r="J275" s="39">
        <f>J276+J277</f>
        <v>4248344</v>
      </c>
      <c r="K275" s="39">
        <f>K276+K277</f>
        <v>0</v>
      </c>
      <c r="L275" s="39"/>
      <c r="M275" s="60">
        <f t="shared" si="55"/>
        <v>4268844</v>
      </c>
      <c r="N275" s="58"/>
      <c r="O275" s="64"/>
    </row>
    <row r="276" spans="1:15" ht="25.5">
      <c r="A276" s="41" t="s">
        <v>120</v>
      </c>
      <c r="B276" s="65" t="s">
        <v>136</v>
      </c>
      <c r="C276" s="39"/>
      <c r="D276" s="39"/>
      <c r="E276" s="39"/>
      <c r="F276" s="39">
        <f>G276+J276</f>
        <v>4248344</v>
      </c>
      <c r="G276" s="39"/>
      <c r="H276" s="39"/>
      <c r="I276" s="39"/>
      <c r="J276" s="39">
        <f>4248344</f>
        <v>4248344</v>
      </c>
      <c r="K276" s="39"/>
      <c r="L276" s="39"/>
      <c r="M276" s="60">
        <f t="shared" si="55"/>
        <v>4248344</v>
      </c>
      <c r="N276" s="58"/>
      <c r="O276" s="64"/>
    </row>
    <row r="277" spans="1:15" s="59" customFormat="1" ht="30" customHeight="1">
      <c r="A277" s="41" t="s">
        <v>59</v>
      </c>
      <c r="B277" s="65" t="s">
        <v>116</v>
      </c>
      <c r="C277" s="39"/>
      <c r="D277" s="39"/>
      <c r="E277" s="39"/>
      <c r="F277" s="39">
        <f>G277+J277</f>
        <v>20500</v>
      </c>
      <c r="G277" s="39">
        <v>20500</v>
      </c>
      <c r="H277" s="39"/>
      <c r="I277" s="39"/>
      <c r="J277" s="39"/>
      <c r="K277" s="39"/>
      <c r="L277" s="39"/>
      <c r="M277" s="60">
        <f t="shared" si="55"/>
        <v>20500</v>
      </c>
      <c r="N277" s="58"/>
      <c r="O277" s="58"/>
    </row>
    <row r="278" spans="1:15" s="62" customFormat="1" ht="25.5">
      <c r="A278" s="41" t="s">
        <v>159</v>
      </c>
      <c r="B278" s="65" t="s">
        <v>160</v>
      </c>
      <c r="C278" s="39">
        <f>C279</f>
        <v>2447979</v>
      </c>
      <c r="D278" s="39">
        <f>D279</f>
        <v>0</v>
      </c>
      <c r="E278" s="39">
        <f>E279</f>
        <v>0</v>
      </c>
      <c r="F278" s="39"/>
      <c r="G278" s="39"/>
      <c r="H278" s="39"/>
      <c r="I278" s="39"/>
      <c r="J278" s="39"/>
      <c r="K278" s="39"/>
      <c r="L278" s="39"/>
      <c r="M278" s="60">
        <f t="shared" si="55"/>
        <v>2447979</v>
      </c>
      <c r="N278" s="58"/>
      <c r="O278" s="61"/>
    </row>
    <row r="279" spans="1:15" ht="12.75">
      <c r="A279" s="41" t="s">
        <v>60</v>
      </c>
      <c r="B279" s="65" t="s">
        <v>98</v>
      </c>
      <c r="C279" s="39">
        <f>C280+C284+C283+C281+C282</f>
        <v>2447979</v>
      </c>
      <c r="D279" s="39">
        <f>D280+D284+D283</f>
        <v>0</v>
      </c>
      <c r="E279" s="39">
        <f>E280+E284+E283</f>
        <v>0</v>
      </c>
      <c r="F279" s="39">
        <f>G279+J279</f>
        <v>0</v>
      </c>
      <c r="G279" s="39">
        <f>G280+G284</f>
        <v>0</v>
      </c>
      <c r="H279" s="39">
        <f>H280+H284</f>
        <v>0</v>
      </c>
      <c r="I279" s="39">
        <f>I280+I284</f>
        <v>0</v>
      </c>
      <c r="J279" s="39">
        <f>J280+J284</f>
        <v>0</v>
      </c>
      <c r="K279" s="39">
        <f>K280+K284</f>
        <v>0</v>
      </c>
      <c r="L279" s="39"/>
      <c r="M279" s="60">
        <f t="shared" si="55"/>
        <v>2447979</v>
      </c>
      <c r="N279" s="58"/>
      <c r="O279" s="64"/>
    </row>
    <row r="280" spans="1:15" ht="43.5" customHeight="1" hidden="1">
      <c r="A280" s="41"/>
      <c r="B280" s="84" t="s">
        <v>352</v>
      </c>
      <c r="C280" s="39">
        <v>2050000</v>
      </c>
      <c r="D280" s="39"/>
      <c r="E280" s="39"/>
      <c r="F280" s="39">
        <f>G280+J280</f>
        <v>0</v>
      </c>
      <c r="G280" s="39"/>
      <c r="H280" s="39"/>
      <c r="I280" s="39"/>
      <c r="J280" s="39"/>
      <c r="K280" s="39"/>
      <c r="L280" s="39"/>
      <c r="M280" s="60">
        <f t="shared" si="55"/>
        <v>2050000</v>
      </c>
      <c r="N280" s="58"/>
      <c r="O280" s="64"/>
    </row>
    <row r="281" spans="1:15" ht="55.5" customHeight="1" hidden="1">
      <c r="A281" s="41"/>
      <c r="B281" s="84" t="s">
        <v>359</v>
      </c>
      <c r="C281" s="39">
        <f>45653+120375+136105</f>
        <v>302133</v>
      </c>
      <c r="D281" s="39"/>
      <c r="E281" s="39"/>
      <c r="F281" s="39"/>
      <c r="G281" s="39"/>
      <c r="H281" s="39"/>
      <c r="I281" s="39"/>
      <c r="J281" s="39"/>
      <c r="K281" s="39"/>
      <c r="L281" s="39"/>
      <c r="M281" s="60">
        <f t="shared" si="55"/>
        <v>302133</v>
      </c>
      <c r="N281" s="58"/>
      <c r="O281" s="64"/>
    </row>
    <row r="282" spans="1:15" ht="80.25" customHeight="1" hidden="1">
      <c r="A282" s="41"/>
      <c r="B282" s="84" t="s">
        <v>362</v>
      </c>
      <c r="C282" s="39">
        <f>55046+40800</f>
        <v>95846</v>
      </c>
      <c r="D282" s="39"/>
      <c r="E282" s="39"/>
      <c r="F282" s="39"/>
      <c r="G282" s="39"/>
      <c r="H282" s="39"/>
      <c r="I282" s="39"/>
      <c r="J282" s="39"/>
      <c r="K282" s="39"/>
      <c r="L282" s="39"/>
      <c r="M282" s="60">
        <f t="shared" si="55"/>
        <v>95846</v>
      </c>
      <c r="N282" s="58"/>
      <c r="O282" s="64"/>
    </row>
    <row r="283" spans="1:15" ht="51" hidden="1">
      <c r="A283" s="41"/>
      <c r="B283" s="79" t="s">
        <v>304</v>
      </c>
      <c r="C283" s="39"/>
      <c r="D283" s="39"/>
      <c r="E283" s="39"/>
      <c r="F283" s="39"/>
      <c r="G283" s="39"/>
      <c r="H283" s="39"/>
      <c r="I283" s="39"/>
      <c r="J283" s="39"/>
      <c r="K283" s="39"/>
      <c r="L283" s="39"/>
      <c r="M283" s="60">
        <f t="shared" si="55"/>
        <v>0</v>
      </c>
      <c r="N283" s="58"/>
      <c r="O283" s="64"/>
    </row>
    <row r="284" spans="1:15" ht="24.75" customHeight="1" hidden="1">
      <c r="A284" s="41"/>
      <c r="B284" s="79" t="s">
        <v>301</v>
      </c>
      <c r="C284" s="39"/>
      <c r="D284" s="39"/>
      <c r="E284" s="39"/>
      <c r="F284" s="39"/>
      <c r="G284" s="39"/>
      <c r="H284" s="39"/>
      <c r="I284" s="39"/>
      <c r="J284" s="39"/>
      <c r="K284" s="39"/>
      <c r="L284" s="39"/>
      <c r="M284" s="60">
        <f t="shared" si="55"/>
        <v>0</v>
      </c>
      <c r="N284" s="58"/>
      <c r="O284" s="64"/>
    </row>
    <row r="285" spans="1:15" ht="24">
      <c r="A285" s="112" t="s">
        <v>329</v>
      </c>
      <c r="B285" s="126" t="s">
        <v>269</v>
      </c>
      <c r="C285" s="56">
        <f>C287+C292</f>
        <v>2233798</v>
      </c>
      <c r="D285" s="56">
        <f aca="true" t="shared" si="57" ref="D285:L285">D287+D292</f>
        <v>1209754</v>
      </c>
      <c r="E285" s="56">
        <f t="shared" si="57"/>
        <v>127350</v>
      </c>
      <c r="F285" s="56">
        <f aca="true" t="shared" si="58" ref="F285:F293">G285+J285</f>
        <v>0</v>
      </c>
      <c r="G285" s="56">
        <f t="shared" si="57"/>
        <v>0</v>
      </c>
      <c r="H285" s="56">
        <f t="shared" si="57"/>
        <v>0</v>
      </c>
      <c r="I285" s="56">
        <f t="shared" si="57"/>
        <v>0</v>
      </c>
      <c r="J285" s="56">
        <f t="shared" si="57"/>
        <v>0</v>
      </c>
      <c r="K285" s="56">
        <f t="shared" si="57"/>
        <v>0</v>
      </c>
      <c r="L285" s="56">
        <f t="shared" si="57"/>
        <v>0</v>
      </c>
      <c r="M285" s="57">
        <f aca="true" t="shared" si="59" ref="M285:M320">C285+F285</f>
        <v>2233798</v>
      </c>
      <c r="N285" s="58"/>
      <c r="O285" s="64"/>
    </row>
    <row r="286" spans="1:15" ht="12.75">
      <c r="A286" s="44" t="s">
        <v>150</v>
      </c>
      <c r="B286" s="45" t="s">
        <v>151</v>
      </c>
      <c r="C286" s="38">
        <f>C287</f>
        <v>2142937</v>
      </c>
      <c r="D286" s="38">
        <f>D287</f>
        <v>1209754</v>
      </c>
      <c r="E286" s="38">
        <f>E287</f>
        <v>127350</v>
      </c>
      <c r="F286" s="39">
        <f t="shared" si="58"/>
        <v>0</v>
      </c>
      <c r="G286" s="38"/>
      <c r="H286" s="38"/>
      <c r="I286" s="38"/>
      <c r="J286" s="38"/>
      <c r="K286" s="38"/>
      <c r="L286" s="38"/>
      <c r="M286" s="60">
        <f t="shared" si="59"/>
        <v>2142937</v>
      </c>
      <c r="N286" s="58"/>
      <c r="O286" s="64"/>
    </row>
    <row r="287" spans="1:15" ht="12.75">
      <c r="A287" s="41" t="s">
        <v>21</v>
      </c>
      <c r="B287" s="63" t="s">
        <v>22</v>
      </c>
      <c r="C287" s="39">
        <f>1954060+119536+74976-5635</f>
        <v>2142937</v>
      </c>
      <c r="D287" s="39">
        <f>1158880+55008-4134</f>
        <v>1209754</v>
      </c>
      <c r="E287" s="39">
        <v>127350</v>
      </c>
      <c r="F287" s="39">
        <f t="shared" si="58"/>
        <v>0</v>
      </c>
      <c r="G287" s="39"/>
      <c r="H287" s="39"/>
      <c r="I287" s="39"/>
      <c r="J287" s="39"/>
      <c r="K287" s="39"/>
      <c r="L287" s="39"/>
      <c r="M287" s="60">
        <f t="shared" si="59"/>
        <v>2142937</v>
      </c>
      <c r="N287" s="58"/>
      <c r="O287" s="64"/>
    </row>
    <row r="288" spans="1:15" ht="12.75" hidden="1">
      <c r="A288" s="41" t="s">
        <v>121</v>
      </c>
      <c r="B288" s="63" t="s">
        <v>122</v>
      </c>
      <c r="C288" s="39"/>
      <c r="D288" s="39"/>
      <c r="E288" s="39"/>
      <c r="F288" s="39">
        <f t="shared" si="58"/>
        <v>0</v>
      </c>
      <c r="G288" s="39"/>
      <c r="H288" s="39"/>
      <c r="I288" s="39"/>
      <c r="J288" s="39"/>
      <c r="K288" s="39"/>
      <c r="L288" s="39"/>
      <c r="M288" s="60">
        <f t="shared" si="59"/>
        <v>0</v>
      </c>
      <c r="N288" s="58"/>
      <c r="O288" s="64"/>
    </row>
    <row r="289" spans="1:15" s="59" customFormat="1" ht="178.5" hidden="1">
      <c r="A289" s="41" t="s">
        <v>217</v>
      </c>
      <c r="B289" s="79" t="s">
        <v>195</v>
      </c>
      <c r="C289" s="39"/>
      <c r="D289" s="39"/>
      <c r="E289" s="39"/>
      <c r="F289" s="39">
        <f t="shared" si="58"/>
        <v>0</v>
      </c>
      <c r="G289" s="39"/>
      <c r="H289" s="39"/>
      <c r="I289" s="39"/>
      <c r="J289" s="39"/>
      <c r="K289" s="39"/>
      <c r="L289" s="39"/>
      <c r="M289" s="60">
        <f t="shared" si="59"/>
        <v>0</v>
      </c>
      <c r="N289" s="58"/>
      <c r="O289" s="58"/>
    </row>
    <row r="290" spans="1:15" ht="12.75" hidden="1">
      <c r="A290" s="41" t="s">
        <v>157</v>
      </c>
      <c r="B290" s="37" t="s">
        <v>161</v>
      </c>
      <c r="C290" s="39"/>
      <c r="D290" s="39"/>
      <c r="E290" s="39"/>
      <c r="F290" s="39">
        <f t="shared" si="58"/>
        <v>0</v>
      </c>
      <c r="G290" s="39">
        <f>G291</f>
        <v>0</v>
      </c>
      <c r="H290" s="39">
        <f>H291</f>
        <v>0</v>
      </c>
      <c r="I290" s="39">
        <f>I291</f>
        <v>0</v>
      </c>
      <c r="J290" s="39">
        <f>J291</f>
        <v>0</v>
      </c>
      <c r="K290" s="39">
        <f>K291</f>
        <v>0</v>
      </c>
      <c r="L290" s="39"/>
      <c r="M290" s="60">
        <f t="shared" si="59"/>
        <v>0</v>
      </c>
      <c r="N290" s="58"/>
      <c r="O290" s="64"/>
    </row>
    <row r="291" spans="1:15" ht="25.5" hidden="1">
      <c r="A291" s="41" t="s">
        <v>59</v>
      </c>
      <c r="B291" s="37" t="s">
        <v>116</v>
      </c>
      <c r="C291" s="39"/>
      <c r="D291" s="39"/>
      <c r="E291" s="39"/>
      <c r="F291" s="39">
        <f t="shared" si="58"/>
        <v>0</v>
      </c>
      <c r="G291" s="39"/>
      <c r="H291" s="39"/>
      <c r="I291" s="39"/>
      <c r="J291" s="39"/>
      <c r="K291" s="39"/>
      <c r="L291" s="39"/>
      <c r="M291" s="60">
        <f t="shared" si="59"/>
        <v>0</v>
      </c>
      <c r="N291" s="58"/>
      <c r="O291" s="64"/>
    </row>
    <row r="292" spans="1:15" ht="25.5">
      <c r="A292" s="41" t="s">
        <v>159</v>
      </c>
      <c r="B292" s="45" t="s">
        <v>160</v>
      </c>
      <c r="C292" s="39">
        <f>C293</f>
        <v>90861</v>
      </c>
      <c r="D292" s="39">
        <f>D293</f>
        <v>0</v>
      </c>
      <c r="E292" s="39">
        <f>E293</f>
        <v>0</v>
      </c>
      <c r="F292" s="39">
        <f t="shared" si="58"/>
        <v>0</v>
      </c>
      <c r="G292" s="39">
        <f>G293</f>
        <v>0</v>
      </c>
      <c r="H292" s="39">
        <f>H293</f>
        <v>0</v>
      </c>
      <c r="I292" s="39">
        <f>I293</f>
        <v>0</v>
      </c>
      <c r="J292" s="39">
        <f>J293</f>
        <v>0</v>
      </c>
      <c r="K292" s="39">
        <f>K293</f>
        <v>0</v>
      </c>
      <c r="L292" s="39"/>
      <c r="M292" s="60">
        <f t="shared" si="59"/>
        <v>90861</v>
      </c>
      <c r="N292" s="58"/>
      <c r="O292" s="64"/>
    </row>
    <row r="293" spans="1:15" ht="12.75">
      <c r="A293" s="41" t="s">
        <v>60</v>
      </c>
      <c r="B293" s="37" t="s">
        <v>98</v>
      </c>
      <c r="C293" s="39">
        <f>C294</f>
        <v>90861</v>
      </c>
      <c r="D293" s="39"/>
      <c r="E293" s="39"/>
      <c r="F293" s="39">
        <f t="shared" si="58"/>
        <v>0</v>
      </c>
      <c r="G293" s="39"/>
      <c r="H293" s="39"/>
      <c r="I293" s="39"/>
      <c r="J293" s="39"/>
      <c r="K293" s="39"/>
      <c r="L293" s="39"/>
      <c r="M293" s="60">
        <f t="shared" si="59"/>
        <v>90861</v>
      </c>
      <c r="N293" s="58"/>
      <c r="O293" s="64"/>
    </row>
    <row r="294" spans="1:15" ht="24" hidden="1">
      <c r="A294" s="41"/>
      <c r="B294" s="40" t="s">
        <v>242</v>
      </c>
      <c r="C294" s="39">
        <f>79121+11740</f>
        <v>90861</v>
      </c>
      <c r="D294" s="39"/>
      <c r="E294" s="39"/>
      <c r="F294" s="39"/>
      <c r="G294" s="39"/>
      <c r="H294" s="39"/>
      <c r="I294" s="39"/>
      <c r="J294" s="39"/>
      <c r="K294" s="39"/>
      <c r="L294" s="39"/>
      <c r="M294" s="60">
        <f t="shared" si="59"/>
        <v>90861</v>
      </c>
      <c r="N294" s="58"/>
      <c r="O294" s="64"/>
    </row>
    <row r="295" spans="1:15" ht="38.25">
      <c r="A295" s="112" t="s">
        <v>334</v>
      </c>
      <c r="B295" s="124" t="s">
        <v>268</v>
      </c>
      <c r="C295" s="56">
        <f>C296+C301</f>
        <v>4013177</v>
      </c>
      <c r="D295" s="56">
        <f>D296+D301</f>
        <v>1174557</v>
      </c>
      <c r="E295" s="56">
        <f>E296+E301</f>
        <v>0</v>
      </c>
      <c r="F295" s="56">
        <f>F297+F301+F299</f>
        <v>0</v>
      </c>
      <c r="G295" s="56">
        <f aca="true" t="shared" si="60" ref="G295:L295">G296+G301</f>
        <v>0</v>
      </c>
      <c r="H295" s="56">
        <f t="shared" si="60"/>
        <v>0</v>
      </c>
      <c r="I295" s="56">
        <f t="shared" si="60"/>
        <v>0</v>
      </c>
      <c r="J295" s="56">
        <f t="shared" si="60"/>
        <v>0</v>
      </c>
      <c r="K295" s="56">
        <f t="shared" si="60"/>
        <v>0</v>
      </c>
      <c r="L295" s="56">
        <f t="shared" si="60"/>
        <v>0</v>
      </c>
      <c r="M295" s="57">
        <f t="shared" si="59"/>
        <v>4013177</v>
      </c>
      <c r="N295" s="58"/>
      <c r="O295" s="64"/>
    </row>
    <row r="296" spans="1:15" ht="12.75">
      <c r="A296" s="44" t="s">
        <v>150</v>
      </c>
      <c r="B296" s="45" t="s">
        <v>151</v>
      </c>
      <c r="C296" s="38">
        <f>C297</f>
        <v>2461306</v>
      </c>
      <c r="D296" s="38">
        <f>D297</f>
        <v>1174557</v>
      </c>
      <c r="E296" s="38"/>
      <c r="F296" s="39">
        <f aca="true" t="shared" si="61" ref="F296:F303">G296+J296</f>
        <v>0</v>
      </c>
      <c r="G296" s="38"/>
      <c r="H296" s="38"/>
      <c r="I296" s="38"/>
      <c r="J296" s="38"/>
      <c r="K296" s="38"/>
      <c r="L296" s="38"/>
      <c r="M296" s="60">
        <f t="shared" si="59"/>
        <v>2461306</v>
      </c>
      <c r="N296" s="58"/>
      <c r="O296" s="64"/>
    </row>
    <row r="297" spans="1:15" ht="12.75">
      <c r="A297" s="41" t="s">
        <v>21</v>
      </c>
      <c r="B297" s="63" t="s">
        <v>22</v>
      </c>
      <c r="C297" s="39">
        <f>2243960+103839+113507</f>
        <v>2461306</v>
      </c>
      <c r="D297" s="39">
        <f>1091280+83277</f>
        <v>1174557</v>
      </c>
      <c r="E297" s="38"/>
      <c r="F297" s="39">
        <f t="shared" si="61"/>
        <v>0</v>
      </c>
      <c r="G297" s="39"/>
      <c r="H297" s="39"/>
      <c r="I297" s="39"/>
      <c r="J297" s="39"/>
      <c r="K297" s="39"/>
      <c r="L297" s="39"/>
      <c r="M297" s="60">
        <f t="shared" si="59"/>
        <v>2461306</v>
      </c>
      <c r="N297" s="58"/>
      <c r="O297" s="64"/>
    </row>
    <row r="298" spans="1:15" s="59" customFormat="1" ht="12.75" hidden="1">
      <c r="A298" s="41" t="s">
        <v>157</v>
      </c>
      <c r="B298" s="63" t="s">
        <v>161</v>
      </c>
      <c r="C298" s="39"/>
      <c r="D298" s="39"/>
      <c r="E298" s="39"/>
      <c r="F298" s="39">
        <f t="shared" si="61"/>
        <v>0</v>
      </c>
      <c r="G298" s="39">
        <f>G299</f>
        <v>0</v>
      </c>
      <c r="H298" s="39"/>
      <c r="I298" s="39"/>
      <c r="J298" s="39"/>
      <c r="K298" s="39"/>
      <c r="L298" s="39"/>
      <c r="M298" s="60">
        <f t="shared" si="59"/>
        <v>0</v>
      </c>
      <c r="N298" s="58"/>
      <c r="O298" s="58"/>
    </row>
    <row r="299" spans="1:15" s="62" customFormat="1" ht="25.5" hidden="1">
      <c r="A299" s="41" t="s">
        <v>59</v>
      </c>
      <c r="B299" s="65" t="s">
        <v>116</v>
      </c>
      <c r="C299" s="39"/>
      <c r="D299" s="39"/>
      <c r="E299" s="39"/>
      <c r="F299" s="39">
        <f t="shared" si="61"/>
        <v>0</v>
      </c>
      <c r="G299" s="39"/>
      <c r="H299" s="39"/>
      <c r="I299" s="39"/>
      <c r="J299" s="39"/>
      <c r="K299" s="39"/>
      <c r="L299" s="39"/>
      <c r="M299" s="60">
        <f t="shared" si="59"/>
        <v>0</v>
      </c>
      <c r="N299" s="58"/>
      <c r="O299" s="61"/>
    </row>
    <row r="300" spans="1:15" ht="25.5">
      <c r="A300" s="41" t="s">
        <v>159</v>
      </c>
      <c r="B300" s="65" t="s">
        <v>160</v>
      </c>
      <c r="C300" s="39">
        <f>C301</f>
        <v>1551871</v>
      </c>
      <c r="D300" s="39"/>
      <c r="E300" s="39"/>
      <c r="F300" s="39">
        <f t="shared" si="61"/>
        <v>0</v>
      </c>
      <c r="G300" s="39"/>
      <c r="H300" s="39"/>
      <c r="I300" s="39"/>
      <c r="J300" s="39"/>
      <c r="K300" s="39"/>
      <c r="L300" s="39"/>
      <c r="M300" s="60">
        <f t="shared" si="59"/>
        <v>1551871</v>
      </c>
      <c r="N300" s="58"/>
      <c r="O300" s="64"/>
    </row>
    <row r="301" spans="1:15" ht="12.75">
      <c r="A301" s="41" t="s">
        <v>60</v>
      </c>
      <c r="B301" s="37" t="s">
        <v>98</v>
      </c>
      <c r="C301" s="39">
        <f>C303+C302</f>
        <v>1551871</v>
      </c>
      <c r="D301" s="39">
        <f>D303+D302</f>
        <v>0</v>
      </c>
      <c r="E301" s="39">
        <f>E303+E302</f>
        <v>0</v>
      </c>
      <c r="F301" s="39">
        <f t="shared" si="61"/>
        <v>0</v>
      </c>
      <c r="G301" s="39"/>
      <c r="H301" s="39"/>
      <c r="I301" s="39"/>
      <c r="J301" s="39"/>
      <c r="K301" s="39"/>
      <c r="L301" s="39"/>
      <c r="M301" s="60">
        <f t="shared" si="59"/>
        <v>1551871</v>
      </c>
      <c r="N301" s="58"/>
      <c r="O301" s="64"/>
    </row>
    <row r="302" spans="1:15" ht="38.25" hidden="1">
      <c r="A302" s="41"/>
      <c r="B302" s="65" t="s">
        <v>173</v>
      </c>
      <c r="C302" s="39">
        <f>198500+6117</f>
        <v>204617</v>
      </c>
      <c r="D302" s="39"/>
      <c r="E302" s="39"/>
      <c r="F302" s="39"/>
      <c r="G302" s="39"/>
      <c r="H302" s="39"/>
      <c r="I302" s="39"/>
      <c r="J302" s="39"/>
      <c r="K302" s="39"/>
      <c r="L302" s="39"/>
      <c r="M302" s="60">
        <f t="shared" si="59"/>
        <v>204617</v>
      </c>
      <c r="N302" s="58"/>
      <c r="O302" s="64"/>
    </row>
    <row r="303" spans="1:15" ht="51" hidden="1">
      <c r="A303" s="41"/>
      <c r="B303" s="37" t="s">
        <v>208</v>
      </c>
      <c r="C303" s="39">
        <f>201341+1145913</f>
        <v>1347254</v>
      </c>
      <c r="D303" s="39"/>
      <c r="E303" s="39"/>
      <c r="F303" s="39">
        <f t="shared" si="61"/>
        <v>0</v>
      </c>
      <c r="G303" s="39"/>
      <c r="H303" s="39"/>
      <c r="I303" s="39"/>
      <c r="J303" s="39"/>
      <c r="K303" s="39"/>
      <c r="L303" s="39"/>
      <c r="M303" s="60">
        <f t="shared" si="59"/>
        <v>1347254</v>
      </c>
      <c r="N303" s="58"/>
      <c r="O303" s="64"/>
    </row>
    <row r="304" spans="1:14" s="62" customFormat="1" ht="25.5">
      <c r="A304" s="112" t="s">
        <v>336</v>
      </c>
      <c r="B304" s="111" t="s">
        <v>287</v>
      </c>
      <c r="C304" s="56">
        <f aca="true" t="shared" si="62" ref="C304:E305">C305</f>
        <v>617785</v>
      </c>
      <c r="D304" s="56">
        <f t="shared" si="62"/>
        <v>392810</v>
      </c>
      <c r="E304" s="56">
        <f t="shared" si="62"/>
        <v>0</v>
      </c>
      <c r="F304" s="56">
        <f aca="true" t="shared" si="63" ref="F304:F311">G304+J304</f>
        <v>0</v>
      </c>
      <c r="G304" s="56"/>
      <c r="H304" s="56"/>
      <c r="I304" s="56"/>
      <c r="J304" s="56">
        <f aca="true" t="shared" si="64" ref="J304:L305">J305</f>
        <v>0</v>
      </c>
      <c r="K304" s="56">
        <f t="shared" si="64"/>
        <v>0</v>
      </c>
      <c r="L304" s="56">
        <f t="shared" si="64"/>
        <v>0</v>
      </c>
      <c r="M304" s="57">
        <f t="shared" si="59"/>
        <v>617785</v>
      </c>
      <c r="N304" s="58"/>
    </row>
    <row r="305" spans="1:14" s="62" customFormat="1" ht="12.75" customHeight="1">
      <c r="A305" s="44" t="s">
        <v>150</v>
      </c>
      <c r="B305" s="45" t="s">
        <v>151</v>
      </c>
      <c r="C305" s="39">
        <f t="shared" si="62"/>
        <v>617785</v>
      </c>
      <c r="D305" s="39">
        <f t="shared" si="62"/>
        <v>392810</v>
      </c>
      <c r="E305" s="39">
        <f t="shared" si="62"/>
        <v>0</v>
      </c>
      <c r="F305" s="39">
        <f t="shared" si="63"/>
        <v>0</v>
      </c>
      <c r="G305" s="39"/>
      <c r="H305" s="39"/>
      <c r="I305" s="39"/>
      <c r="J305" s="39">
        <f t="shared" si="64"/>
        <v>0</v>
      </c>
      <c r="K305" s="39">
        <f t="shared" si="64"/>
        <v>0</v>
      </c>
      <c r="L305" s="39">
        <f t="shared" si="64"/>
        <v>0</v>
      </c>
      <c r="M305" s="60">
        <f t="shared" si="59"/>
        <v>617785</v>
      </c>
      <c r="N305" s="58"/>
    </row>
    <row r="306" spans="1:14" s="62" customFormat="1" ht="12.75">
      <c r="A306" s="41" t="s">
        <v>21</v>
      </c>
      <c r="B306" s="63" t="s">
        <v>22</v>
      </c>
      <c r="C306" s="39">
        <f>569810+2587+45388</f>
        <v>617785</v>
      </c>
      <c r="D306" s="39">
        <f>359510+33300</f>
        <v>392810</v>
      </c>
      <c r="E306" s="38">
        <f>26500-26500</f>
        <v>0</v>
      </c>
      <c r="F306" s="39">
        <f t="shared" si="63"/>
        <v>0</v>
      </c>
      <c r="G306" s="39"/>
      <c r="H306" s="39"/>
      <c r="I306" s="39"/>
      <c r="J306" s="39"/>
      <c r="K306" s="39"/>
      <c r="L306" s="39"/>
      <c r="M306" s="60">
        <f t="shared" si="59"/>
        <v>617785</v>
      </c>
      <c r="N306" s="58"/>
    </row>
    <row r="307" spans="1:15" ht="24.75" customHeight="1">
      <c r="A307" s="112" t="s">
        <v>341</v>
      </c>
      <c r="B307" s="127" t="s">
        <v>288</v>
      </c>
      <c r="C307" s="56">
        <f>C309+C310</f>
        <v>954067</v>
      </c>
      <c r="D307" s="56">
        <f aca="true" t="shared" si="65" ref="D307:L307">D309+D310</f>
        <v>620470</v>
      </c>
      <c r="E307" s="56">
        <f t="shared" si="65"/>
        <v>0</v>
      </c>
      <c r="F307" s="56">
        <f t="shared" si="63"/>
        <v>1051692</v>
      </c>
      <c r="G307" s="56">
        <f t="shared" si="65"/>
        <v>1051692</v>
      </c>
      <c r="H307" s="56">
        <f t="shared" si="65"/>
        <v>0</v>
      </c>
      <c r="I307" s="56">
        <f t="shared" si="65"/>
        <v>0</v>
      </c>
      <c r="J307" s="56">
        <f t="shared" si="65"/>
        <v>0</v>
      </c>
      <c r="K307" s="56">
        <f t="shared" si="65"/>
        <v>0</v>
      </c>
      <c r="L307" s="56">
        <f t="shared" si="65"/>
        <v>0</v>
      </c>
      <c r="M307" s="56">
        <f t="shared" si="59"/>
        <v>2005759</v>
      </c>
      <c r="N307" s="58"/>
      <c r="O307" s="64"/>
    </row>
    <row r="308" spans="1:15" ht="13.5" customHeight="1">
      <c r="A308" s="41" t="s">
        <v>150</v>
      </c>
      <c r="B308" s="45" t="s">
        <v>151</v>
      </c>
      <c r="C308" s="39">
        <f>C309</f>
        <v>954067</v>
      </c>
      <c r="D308" s="39">
        <f>D309</f>
        <v>620470</v>
      </c>
      <c r="E308" s="39">
        <f>E309</f>
        <v>0</v>
      </c>
      <c r="F308" s="39">
        <f t="shared" si="63"/>
        <v>0</v>
      </c>
      <c r="G308" s="39">
        <f aca="true" t="shared" si="66" ref="G308:L308">G309</f>
        <v>0</v>
      </c>
      <c r="H308" s="39">
        <f t="shared" si="66"/>
        <v>0</v>
      </c>
      <c r="I308" s="39">
        <f t="shared" si="66"/>
        <v>0</v>
      </c>
      <c r="J308" s="39">
        <f t="shared" si="66"/>
        <v>0</v>
      </c>
      <c r="K308" s="39">
        <f t="shared" si="66"/>
        <v>0</v>
      </c>
      <c r="L308" s="39">
        <f t="shared" si="66"/>
        <v>0</v>
      </c>
      <c r="M308" s="60">
        <f t="shared" si="59"/>
        <v>954067</v>
      </c>
      <c r="N308" s="58"/>
      <c r="O308" s="64"/>
    </row>
    <row r="309" spans="1:15" ht="13.5" customHeight="1">
      <c r="A309" s="41" t="s">
        <v>21</v>
      </c>
      <c r="B309" s="63" t="s">
        <v>22</v>
      </c>
      <c r="C309" s="39">
        <f>947410+6657</f>
        <v>954067</v>
      </c>
      <c r="D309" s="39">
        <v>620470</v>
      </c>
      <c r="E309" s="38"/>
      <c r="F309" s="39">
        <f t="shared" si="63"/>
        <v>0</v>
      </c>
      <c r="G309" s="39"/>
      <c r="H309" s="39"/>
      <c r="I309" s="39"/>
      <c r="J309" s="39">
        <f>K309</f>
        <v>0</v>
      </c>
      <c r="K309" s="39">
        <f>L309</f>
        <v>0</v>
      </c>
      <c r="L309" s="39"/>
      <c r="M309" s="60">
        <f t="shared" si="59"/>
        <v>954067</v>
      </c>
      <c r="N309" s="58"/>
      <c r="O309" s="64"/>
    </row>
    <row r="310" spans="1:15" s="59" customFormat="1" ht="25.5">
      <c r="A310" s="85" t="s">
        <v>289</v>
      </c>
      <c r="B310" s="84" t="s">
        <v>290</v>
      </c>
      <c r="C310" s="39"/>
      <c r="D310" s="39"/>
      <c r="E310" s="39"/>
      <c r="F310" s="39">
        <f t="shared" si="63"/>
        <v>1051692</v>
      </c>
      <c r="G310" s="39">
        <f>G311</f>
        <v>1051692</v>
      </c>
      <c r="H310" s="39">
        <f>H311</f>
        <v>0</v>
      </c>
      <c r="I310" s="39">
        <f>I311</f>
        <v>0</v>
      </c>
      <c r="J310" s="39">
        <f>J311</f>
        <v>0</v>
      </c>
      <c r="K310" s="39">
        <f>K311</f>
        <v>0</v>
      </c>
      <c r="L310" s="39"/>
      <c r="M310" s="60">
        <f t="shared" si="59"/>
        <v>1051692</v>
      </c>
      <c r="N310" s="58"/>
      <c r="O310" s="58"/>
    </row>
    <row r="311" spans="1:14" ht="12.75">
      <c r="A311" s="85" t="s">
        <v>291</v>
      </c>
      <c r="B311" s="84" t="s">
        <v>292</v>
      </c>
      <c r="C311" s="39"/>
      <c r="D311" s="39"/>
      <c r="E311" s="39"/>
      <c r="F311" s="39">
        <f t="shared" si="63"/>
        <v>1051692</v>
      </c>
      <c r="G311" s="39">
        <v>1051692</v>
      </c>
      <c r="H311" s="39"/>
      <c r="I311" s="39"/>
      <c r="J311" s="39"/>
      <c r="K311" s="39"/>
      <c r="L311" s="39"/>
      <c r="M311" s="60">
        <f t="shared" si="59"/>
        <v>1051692</v>
      </c>
      <c r="N311" s="58"/>
    </row>
    <row r="312" spans="1:15" ht="25.5">
      <c r="A312" s="112" t="s">
        <v>335</v>
      </c>
      <c r="B312" s="124" t="s">
        <v>273</v>
      </c>
      <c r="C312" s="56">
        <f>C314+C316+C318</f>
        <v>691638</v>
      </c>
      <c r="D312" s="56">
        <f aca="true" t="shared" si="67" ref="D312:L312">D314+D316+D318</f>
        <v>439581</v>
      </c>
      <c r="E312" s="56">
        <f t="shared" si="67"/>
        <v>41160</v>
      </c>
      <c r="F312" s="56">
        <f>G312+J312</f>
        <v>41983676</v>
      </c>
      <c r="G312" s="56">
        <f t="shared" si="67"/>
        <v>692493</v>
      </c>
      <c r="H312" s="56">
        <f t="shared" si="67"/>
        <v>0</v>
      </c>
      <c r="I312" s="56">
        <f t="shared" si="67"/>
        <v>0</v>
      </c>
      <c r="J312" s="56">
        <f t="shared" si="67"/>
        <v>41291183</v>
      </c>
      <c r="K312" s="56">
        <f t="shared" si="67"/>
        <v>0</v>
      </c>
      <c r="L312" s="56">
        <f t="shared" si="67"/>
        <v>0</v>
      </c>
      <c r="M312" s="57">
        <f t="shared" si="59"/>
        <v>42675314</v>
      </c>
      <c r="N312" s="58"/>
      <c r="O312" s="64"/>
    </row>
    <row r="313" spans="1:15" ht="12.75">
      <c r="A313" s="44" t="s">
        <v>150</v>
      </c>
      <c r="B313" s="45" t="s">
        <v>151</v>
      </c>
      <c r="C313" s="38">
        <f>C314</f>
        <v>691638</v>
      </c>
      <c r="D313" s="38">
        <f>D314</f>
        <v>439581</v>
      </c>
      <c r="E313" s="38">
        <f>E314</f>
        <v>41160</v>
      </c>
      <c r="F313" s="39">
        <f>G313+J313</f>
        <v>0</v>
      </c>
      <c r="G313" s="38"/>
      <c r="H313" s="38"/>
      <c r="I313" s="38"/>
      <c r="J313" s="38"/>
      <c r="K313" s="38"/>
      <c r="L313" s="38"/>
      <c r="M313" s="60">
        <f t="shared" si="59"/>
        <v>691638</v>
      </c>
      <c r="N313" s="58"/>
      <c r="O313" s="64"/>
    </row>
    <row r="314" spans="1:15" ht="12.75">
      <c r="A314" s="41" t="s">
        <v>21</v>
      </c>
      <c r="B314" s="63" t="s">
        <v>22</v>
      </c>
      <c r="C314" s="39">
        <f>672405+6590+12643</f>
        <v>691638</v>
      </c>
      <c r="D314" s="39">
        <f>430305+9276</f>
        <v>439581</v>
      </c>
      <c r="E314" s="39">
        <v>41160</v>
      </c>
      <c r="F314" s="39">
        <f>G314+J314</f>
        <v>0</v>
      </c>
      <c r="G314" s="39"/>
      <c r="H314" s="39"/>
      <c r="I314" s="39"/>
      <c r="J314" s="39"/>
      <c r="K314" s="39"/>
      <c r="L314" s="39"/>
      <c r="M314" s="60">
        <f t="shared" si="59"/>
        <v>691638</v>
      </c>
      <c r="N314" s="58"/>
      <c r="O314" s="64"/>
    </row>
    <row r="315" spans="1:15" ht="12.75">
      <c r="A315" s="41" t="s">
        <v>157</v>
      </c>
      <c r="B315" s="65" t="s">
        <v>161</v>
      </c>
      <c r="C315" s="39"/>
      <c r="D315" s="39"/>
      <c r="E315" s="39"/>
      <c r="F315" s="39">
        <f>G315+J315</f>
        <v>41983676</v>
      </c>
      <c r="G315" s="39">
        <f>G316+G317</f>
        <v>692493</v>
      </c>
      <c r="H315" s="39">
        <f>H316+H317</f>
        <v>0</v>
      </c>
      <c r="I315" s="39">
        <f>I316+I317</f>
        <v>0</v>
      </c>
      <c r="J315" s="39">
        <f>J316+J317</f>
        <v>41291183</v>
      </c>
      <c r="K315" s="39">
        <f>K316+K317</f>
        <v>0</v>
      </c>
      <c r="L315" s="39"/>
      <c r="M315" s="60">
        <f t="shared" si="59"/>
        <v>41983676</v>
      </c>
      <c r="N315" s="58"/>
      <c r="O315" s="64"/>
    </row>
    <row r="316" spans="1:15" ht="25.5">
      <c r="A316" s="41" t="s">
        <v>120</v>
      </c>
      <c r="B316" s="65" t="s">
        <v>136</v>
      </c>
      <c r="C316" s="39"/>
      <c r="D316" s="39"/>
      <c r="E316" s="39"/>
      <c r="F316" s="39">
        <f>G316+J316</f>
        <v>41983676</v>
      </c>
      <c r="G316" s="39">
        <f>306000+380493+6000</f>
        <v>692493</v>
      </c>
      <c r="H316" s="39"/>
      <c r="I316" s="39"/>
      <c r="J316" s="39">
        <f>22443500+14853684-1+4000000-6000</f>
        <v>41291183</v>
      </c>
      <c r="K316" s="39"/>
      <c r="L316" s="39"/>
      <c r="M316" s="60">
        <f t="shared" si="59"/>
        <v>41983676</v>
      </c>
      <c r="N316" s="58"/>
      <c r="O316" s="64"/>
    </row>
    <row r="317" spans="1:15" ht="25.5" hidden="1">
      <c r="A317" s="41" t="s">
        <v>59</v>
      </c>
      <c r="B317" s="65" t="s">
        <v>116</v>
      </c>
      <c r="C317" s="39"/>
      <c r="D317" s="39"/>
      <c r="E317" s="39"/>
      <c r="F317" s="56">
        <f>F318+F324+F320+F326</f>
        <v>2242002</v>
      </c>
      <c r="G317" s="39"/>
      <c r="H317" s="39"/>
      <c r="I317" s="39"/>
      <c r="J317" s="39"/>
      <c r="K317" s="39"/>
      <c r="L317" s="39"/>
      <c r="M317" s="60">
        <f t="shared" si="59"/>
        <v>2242002</v>
      </c>
      <c r="N317" s="58"/>
      <c r="O317" s="64"/>
    </row>
    <row r="318" spans="1:15" s="59" customFormat="1" ht="25.5" hidden="1">
      <c r="A318" s="85" t="s">
        <v>159</v>
      </c>
      <c r="B318" s="84" t="s">
        <v>160</v>
      </c>
      <c r="C318" s="39">
        <f>C319</f>
        <v>0</v>
      </c>
      <c r="D318" s="39"/>
      <c r="E318" s="39"/>
      <c r="F318" s="56">
        <f>F319+F325+F322+F327</f>
        <v>1494668</v>
      </c>
      <c r="G318" s="39"/>
      <c r="H318" s="39"/>
      <c r="I318" s="39"/>
      <c r="J318" s="39"/>
      <c r="K318" s="39"/>
      <c r="L318" s="39"/>
      <c r="M318" s="60">
        <f t="shared" si="59"/>
        <v>1494668</v>
      </c>
      <c r="N318" s="58"/>
      <c r="O318" s="58"/>
    </row>
    <row r="319" spans="1:15" s="62" customFormat="1" ht="12.75" hidden="1">
      <c r="A319" s="85" t="s">
        <v>60</v>
      </c>
      <c r="B319" s="79" t="s">
        <v>98</v>
      </c>
      <c r="C319" s="39">
        <f>C320</f>
        <v>0</v>
      </c>
      <c r="D319" s="39"/>
      <c r="E319" s="39"/>
      <c r="F319" s="56">
        <f>F320+F326+F323+F328</f>
        <v>747334</v>
      </c>
      <c r="G319" s="39"/>
      <c r="H319" s="39"/>
      <c r="I319" s="39"/>
      <c r="J319" s="39"/>
      <c r="K319" s="39"/>
      <c r="L319" s="39"/>
      <c r="M319" s="60">
        <f t="shared" si="59"/>
        <v>747334</v>
      </c>
      <c r="N319" s="58"/>
      <c r="O319" s="61"/>
    </row>
    <row r="320" spans="1:15" ht="27.75" customHeight="1" hidden="1">
      <c r="A320" s="41"/>
      <c r="B320" s="79" t="s">
        <v>301</v>
      </c>
      <c r="C320" s="39"/>
      <c r="D320" s="39"/>
      <c r="E320" s="39"/>
      <c r="F320" s="56">
        <f>F322+F327+F324+F329</f>
        <v>648434</v>
      </c>
      <c r="G320" s="39"/>
      <c r="H320" s="39"/>
      <c r="I320" s="39"/>
      <c r="J320" s="39"/>
      <c r="K320" s="39"/>
      <c r="L320" s="39"/>
      <c r="M320" s="60">
        <f t="shared" si="59"/>
        <v>648434</v>
      </c>
      <c r="N320" s="58"/>
      <c r="O320" s="64"/>
    </row>
    <row r="321" spans="1:15" ht="27.75" customHeight="1" hidden="1">
      <c r="A321" s="41"/>
      <c r="B321" s="79"/>
      <c r="C321" s="39"/>
      <c r="D321" s="39"/>
      <c r="E321" s="39"/>
      <c r="F321" s="56"/>
      <c r="G321" s="39"/>
      <c r="H321" s="39"/>
      <c r="I321" s="39"/>
      <c r="J321" s="39"/>
      <c r="K321" s="39"/>
      <c r="L321" s="39"/>
      <c r="M321" s="60"/>
      <c r="N321" s="58"/>
      <c r="O321" s="64"/>
    </row>
    <row r="322" spans="1:15" ht="41.25" customHeight="1">
      <c r="A322" s="112" t="s">
        <v>333</v>
      </c>
      <c r="B322" s="124" t="s">
        <v>277</v>
      </c>
      <c r="C322" s="56">
        <f>C323+C328+C325+C332</f>
        <v>15259330</v>
      </c>
      <c r="D322" s="56">
        <f>D323+D328+D325</f>
        <v>529401</v>
      </c>
      <c r="E322" s="56">
        <f>E323+E328+E325</f>
        <v>13120</v>
      </c>
      <c r="F322" s="56">
        <f>F323+F328+F325+F330</f>
        <v>648434</v>
      </c>
      <c r="G322" s="56">
        <f aca="true" t="shared" si="68" ref="G322:M322">G323+G328+G325+G330</f>
        <v>0</v>
      </c>
      <c r="H322" s="56">
        <f t="shared" si="68"/>
        <v>0</v>
      </c>
      <c r="I322" s="56">
        <f t="shared" si="68"/>
        <v>0</v>
      </c>
      <c r="J322" s="56">
        <f t="shared" si="68"/>
        <v>648434</v>
      </c>
      <c r="K322" s="56">
        <f t="shared" si="68"/>
        <v>648434</v>
      </c>
      <c r="L322" s="56">
        <f t="shared" si="68"/>
        <v>98900</v>
      </c>
      <c r="M322" s="56">
        <f t="shared" si="68"/>
        <v>15558556</v>
      </c>
      <c r="N322" s="58"/>
      <c r="O322" s="64"/>
    </row>
    <row r="323" spans="1:15" ht="12.75">
      <c r="A323" s="41" t="s">
        <v>150</v>
      </c>
      <c r="B323" s="63" t="s">
        <v>151</v>
      </c>
      <c r="C323" s="39">
        <f aca="true" t="shared" si="69" ref="C323:M323">C324</f>
        <v>810251</v>
      </c>
      <c r="D323" s="39">
        <f t="shared" si="69"/>
        <v>529401</v>
      </c>
      <c r="E323" s="39">
        <f t="shared" si="69"/>
        <v>13120</v>
      </c>
      <c r="F323" s="39">
        <f t="shared" si="69"/>
        <v>0</v>
      </c>
      <c r="G323" s="39">
        <f t="shared" si="69"/>
        <v>0</v>
      </c>
      <c r="H323" s="39">
        <f t="shared" si="69"/>
        <v>0</v>
      </c>
      <c r="I323" s="39">
        <f t="shared" si="69"/>
        <v>0</v>
      </c>
      <c r="J323" s="39">
        <f t="shared" si="69"/>
        <v>0</v>
      </c>
      <c r="K323" s="39">
        <f t="shared" si="69"/>
        <v>0</v>
      </c>
      <c r="L323" s="39"/>
      <c r="M323" s="39">
        <f t="shared" si="69"/>
        <v>810251</v>
      </c>
      <c r="N323" s="58"/>
      <c r="O323" s="64"/>
    </row>
    <row r="324" spans="1:15" ht="12.75">
      <c r="A324" s="41" t="s">
        <v>21</v>
      </c>
      <c r="B324" s="63" t="s">
        <v>22</v>
      </c>
      <c r="C324" s="39">
        <f>776920+13757+19574</f>
        <v>810251</v>
      </c>
      <c r="D324" s="39">
        <f>515040+14361</f>
        <v>529401</v>
      </c>
      <c r="E324" s="39">
        <v>13120</v>
      </c>
      <c r="F324" s="39">
        <f aca="true" t="shared" si="70" ref="F324:F331">G324+J324</f>
        <v>0</v>
      </c>
      <c r="G324" s="39"/>
      <c r="H324" s="39"/>
      <c r="I324" s="39"/>
      <c r="J324" s="39"/>
      <c r="K324" s="39"/>
      <c r="L324" s="39"/>
      <c r="M324" s="60">
        <f aca="true" t="shared" si="71" ref="M324:M359">C324+F324</f>
        <v>810251</v>
      </c>
      <c r="N324" s="58"/>
      <c r="O324" s="64"/>
    </row>
    <row r="325" spans="1:15" ht="12.75">
      <c r="A325" s="85" t="s">
        <v>152</v>
      </c>
      <c r="B325" s="37" t="s">
        <v>153</v>
      </c>
      <c r="C325" s="39">
        <f>C326</f>
        <v>2799871</v>
      </c>
      <c r="D325" s="39">
        <f aca="true" t="shared" si="72" ref="D325:L325">D326</f>
        <v>0</v>
      </c>
      <c r="E325" s="39">
        <f t="shared" si="72"/>
        <v>0</v>
      </c>
      <c r="F325" s="39">
        <f t="shared" si="70"/>
        <v>98900</v>
      </c>
      <c r="G325" s="39">
        <f t="shared" si="72"/>
        <v>0</v>
      </c>
      <c r="H325" s="39">
        <f t="shared" si="72"/>
        <v>0</v>
      </c>
      <c r="I325" s="39">
        <f t="shared" si="72"/>
        <v>0</v>
      </c>
      <c r="J325" s="39">
        <f t="shared" si="72"/>
        <v>98900</v>
      </c>
      <c r="K325" s="39">
        <f t="shared" si="72"/>
        <v>98900</v>
      </c>
      <c r="L325" s="39">
        <f t="shared" si="72"/>
        <v>98900</v>
      </c>
      <c r="M325" s="60">
        <f t="shared" si="71"/>
        <v>2898771</v>
      </c>
      <c r="N325" s="58"/>
      <c r="O325" s="64"/>
    </row>
    <row r="326" spans="1:15" ht="12.75">
      <c r="A326" s="85" t="s">
        <v>180</v>
      </c>
      <c r="B326" s="86" t="s">
        <v>181</v>
      </c>
      <c r="C326" s="39">
        <f>2700000+99871</f>
        <v>2799871</v>
      </c>
      <c r="D326" s="39"/>
      <c r="E326" s="39"/>
      <c r="F326" s="39">
        <f t="shared" si="70"/>
        <v>98900</v>
      </c>
      <c r="G326" s="39"/>
      <c r="H326" s="39"/>
      <c r="I326" s="39"/>
      <c r="J326" s="39">
        <f>K326</f>
        <v>98900</v>
      </c>
      <c r="K326" s="39">
        <f>L326</f>
        <v>98900</v>
      </c>
      <c r="L326" s="39">
        <v>98900</v>
      </c>
      <c r="M326" s="60">
        <f t="shared" si="71"/>
        <v>2898771</v>
      </c>
      <c r="N326" s="58"/>
      <c r="O326" s="64"/>
    </row>
    <row r="327" spans="1:15" ht="12.75" hidden="1">
      <c r="A327" s="41" t="s">
        <v>121</v>
      </c>
      <c r="B327" s="37" t="s">
        <v>122</v>
      </c>
      <c r="C327" s="39"/>
      <c r="D327" s="39"/>
      <c r="E327" s="39"/>
      <c r="F327" s="39">
        <f t="shared" si="70"/>
        <v>0</v>
      </c>
      <c r="G327" s="39"/>
      <c r="H327" s="39"/>
      <c r="I327" s="39"/>
      <c r="J327" s="39"/>
      <c r="K327" s="39"/>
      <c r="L327" s="39"/>
      <c r="M327" s="60">
        <f t="shared" si="71"/>
        <v>0</v>
      </c>
      <c r="N327" s="58"/>
      <c r="O327" s="64"/>
    </row>
    <row r="328" spans="1:15" ht="38.25">
      <c r="A328" s="41" t="s">
        <v>155</v>
      </c>
      <c r="B328" s="37" t="s">
        <v>156</v>
      </c>
      <c r="C328" s="39">
        <f>C329</f>
        <v>11300000</v>
      </c>
      <c r="D328" s="39">
        <f>D329</f>
        <v>0</v>
      </c>
      <c r="E328" s="39">
        <f>E329</f>
        <v>0</v>
      </c>
      <c r="F328" s="39">
        <f t="shared" si="70"/>
        <v>0</v>
      </c>
      <c r="G328" s="39"/>
      <c r="H328" s="39"/>
      <c r="I328" s="39"/>
      <c r="J328" s="39"/>
      <c r="K328" s="39"/>
      <c r="L328" s="39"/>
      <c r="M328" s="60">
        <f t="shared" si="71"/>
        <v>11300000</v>
      </c>
      <c r="N328" s="58"/>
      <c r="O328" s="64"/>
    </row>
    <row r="329" spans="1:15" ht="25.5">
      <c r="A329" s="41" t="s">
        <v>221</v>
      </c>
      <c r="B329" s="37" t="s">
        <v>234</v>
      </c>
      <c r="C329" s="39">
        <f>5300000+6000000</f>
        <v>11300000</v>
      </c>
      <c r="D329" s="39"/>
      <c r="E329" s="39"/>
      <c r="F329" s="39">
        <f t="shared" si="70"/>
        <v>0</v>
      </c>
      <c r="G329" s="39"/>
      <c r="H329" s="39"/>
      <c r="I329" s="39"/>
      <c r="J329" s="39"/>
      <c r="K329" s="39"/>
      <c r="L329" s="39"/>
      <c r="M329" s="60">
        <f t="shared" si="71"/>
        <v>11300000</v>
      </c>
      <c r="N329" s="58"/>
      <c r="O329" s="64"/>
    </row>
    <row r="330" spans="1:15" ht="25.5">
      <c r="A330" s="41" t="s">
        <v>165</v>
      </c>
      <c r="B330" s="63" t="s">
        <v>166</v>
      </c>
      <c r="C330" s="39">
        <f>C331</f>
        <v>0</v>
      </c>
      <c r="D330" s="39">
        <f>D331</f>
        <v>0</v>
      </c>
      <c r="E330" s="39">
        <f>E331</f>
        <v>0</v>
      </c>
      <c r="F330" s="39">
        <f t="shared" si="70"/>
        <v>549534</v>
      </c>
      <c r="G330" s="39">
        <f aca="true" t="shared" si="73" ref="G330:L330">G331</f>
        <v>0</v>
      </c>
      <c r="H330" s="39">
        <f t="shared" si="73"/>
        <v>0</v>
      </c>
      <c r="I330" s="39">
        <f t="shared" si="73"/>
        <v>0</v>
      </c>
      <c r="J330" s="39">
        <f t="shared" si="73"/>
        <v>549534</v>
      </c>
      <c r="K330" s="39">
        <f t="shared" si="73"/>
        <v>549534</v>
      </c>
      <c r="L330" s="39">
        <f t="shared" si="73"/>
        <v>0</v>
      </c>
      <c r="M330" s="60">
        <f t="shared" si="71"/>
        <v>549534</v>
      </c>
      <c r="N330" s="58"/>
      <c r="O330" s="64"/>
    </row>
    <row r="331" spans="1:15" ht="63.75" customHeight="1">
      <c r="A331" s="41" t="s">
        <v>139</v>
      </c>
      <c r="B331" s="79" t="s">
        <v>253</v>
      </c>
      <c r="C331" s="39"/>
      <c r="D331" s="39"/>
      <c r="E331" s="39"/>
      <c r="F331" s="39">
        <f t="shared" si="70"/>
        <v>549534</v>
      </c>
      <c r="G331" s="39"/>
      <c r="H331" s="39"/>
      <c r="I331" s="39"/>
      <c r="J331" s="39">
        <f>K331</f>
        <v>549534</v>
      </c>
      <c r="K331" s="39">
        <f>665462-115928</f>
        <v>549534</v>
      </c>
      <c r="L331" s="39"/>
      <c r="M331" s="60">
        <f t="shared" si="71"/>
        <v>549534</v>
      </c>
      <c r="N331" s="58"/>
      <c r="O331" s="64"/>
    </row>
    <row r="332" spans="1:15" ht="12.75">
      <c r="A332" s="85" t="s">
        <v>60</v>
      </c>
      <c r="B332" s="79" t="s">
        <v>98</v>
      </c>
      <c r="C332" s="39">
        <f>C333</f>
        <v>349208</v>
      </c>
      <c r="D332" s="39"/>
      <c r="E332" s="39"/>
      <c r="F332" s="39"/>
      <c r="G332" s="39"/>
      <c r="H332" s="39"/>
      <c r="I332" s="39"/>
      <c r="J332" s="39"/>
      <c r="K332" s="39"/>
      <c r="L332" s="39"/>
      <c r="M332" s="60">
        <f t="shared" si="71"/>
        <v>349208</v>
      </c>
      <c r="N332" s="58"/>
      <c r="O332" s="64"/>
    </row>
    <row r="333" spans="1:15" ht="38.25" hidden="1">
      <c r="A333" s="85"/>
      <c r="B333" s="79" t="s">
        <v>353</v>
      </c>
      <c r="C333" s="39">
        <f>233280+115928</f>
        <v>349208</v>
      </c>
      <c r="D333" s="39"/>
      <c r="E333" s="39"/>
      <c r="F333" s="39"/>
      <c r="G333" s="39"/>
      <c r="H333" s="39"/>
      <c r="I333" s="39"/>
      <c r="J333" s="39"/>
      <c r="K333" s="39"/>
      <c r="L333" s="39"/>
      <c r="M333" s="60">
        <f t="shared" si="71"/>
        <v>349208</v>
      </c>
      <c r="N333" s="58"/>
      <c r="O333" s="64"/>
    </row>
    <row r="334" spans="1:15" ht="51">
      <c r="A334" s="112" t="s">
        <v>327</v>
      </c>
      <c r="B334" s="111" t="s">
        <v>274</v>
      </c>
      <c r="C334" s="56">
        <f>C335+C337</f>
        <v>6462243</v>
      </c>
      <c r="D334" s="56">
        <f>D335+D337</f>
        <v>4271127</v>
      </c>
      <c r="E334" s="56">
        <f>E335+E337</f>
        <v>108306</v>
      </c>
      <c r="F334" s="56">
        <f>F336+F337+F188</f>
        <v>107575</v>
      </c>
      <c r="G334" s="56">
        <f aca="true" t="shared" si="74" ref="G334:L334">G335+G337</f>
        <v>99175</v>
      </c>
      <c r="H334" s="56">
        <f t="shared" si="74"/>
        <v>36824</v>
      </c>
      <c r="I334" s="56">
        <f t="shared" si="74"/>
        <v>0</v>
      </c>
      <c r="J334" s="56">
        <f t="shared" si="74"/>
        <v>8400</v>
      </c>
      <c r="K334" s="56">
        <f t="shared" si="74"/>
        <v>0</v>
      </c>
      <c r="L334" s="56">
        <f t="shared" si="74"/>
        <v>0</v>
      </c>
      <c r="M334" s="57">
        <f t="shared" si="71"/>
        <v>6569818</v>
      </c>
      <c r="N334" s="58"/>
      <c r="O334" s="64"/>
    </row>
    <row r="335" spans="1:15" ht="12.75">
      <c r="A335" s="44" t="s">
        <v>150</v>
      </c>
      <c r="B335" s="45" t="s">
        <v>151</v>
      </c>
      <c r="C335" s="38">
        <f>C336</f>
        <v>1468705</v>
      </c>
      <c r="D335" s="38">
        <f>D336</f>
        <v>1002530</v>
      </c>
      <c r="E335" s="38">
        <f>E336</f>
        <v>53595</v>
      </c>
      <c r="F335" s="39">
        <f aca="true" t="shared" si="75" ref="F335:F354">G335+J335</f>
        <v>0</v>
      </c>
      <c r="G335" s="38"/>
      <c r="H335" s="38"/>
      <c r="I335" s="38"/>
      <c r="J335" s="38"/>
      <c r="K335" s="38"/>
      <c r="L335" s="38"/>
      <c r="M335" s="60">
        <f t="shared" si="71"/>
        <v>1468705</v>
      </c>
      <c r="N335" s="58"/>
      <c r="O335" s="64"/>
    </row>
    <row r="336" spans="1:15" ht="12.75">
      <c r="A336" s="41" t="s">
        <v>21</v>
      </c>
      <c r="B336" s="63" t="s">
        <v>22</v>
      </c>
      <c r="C336" s="39">
        <f>1436360+18000+7203+7142</f>
        <v>1468705</v>
      </c>
      <c r="D336" s="39">
        <f>997290+5240</f>
        <v>1002530</v>
      </c>
      <c r="E336" s="39">
        <v>53595</v>
      </c>
      <c r="F336" s="39">
        <f t="shared" si="75"/>
        <v>0</v>
      </c>
      <c r="G336" s="39"/>
      <c r="H336" s="39"/>
      <c r="I336" s="39"/>
      <c r="J336" s="39"/>
      <c r="K336" s="39"/>
      <c r="L336" s="39"/>
      <c r="M336" s="60">
        <f t="shared" si="71"/>
        <v>1468705</v>
      </c>
      <c r="N336" s="58"/>
      <c r="O336" s="64"/>
    </row>
    <row r="337" spans="1:15" ht="38.25">
      <c r="A337" s="41">
        <v>210000</v>
      </c>
      <c r="B337" s="65" t="s">
        <v>135</v>
      </c>
      <c r="C337" s="39">
        <f>C338+C341</f>
        <v>4993538</v>
      </c>
      <c r="D337" s="39">
        <f>D338+D341</f>
        <v>3268597</v>
      </c>
      <c r="E337" s="39">
        <f>E338+E341</f>
        <v>54711</v>
      </c>
      <c r="F337" s="39">
        <f t="shared" si="75"/>
        <v>107575</v>
      </c>
      <c r="G337" s="39">
        <f aca="true" t="shared" si="76" ref="G337:L337">G338+G341</f>
        <v>99175</v>
      </c>
      <c r="H337" s="39">
        <f t="shared" si="76"/>
        <v>36824</v>
      </c>
      <c r="I337" s="39">
        <f t="shared" si="76"/>
        <v>0</v>
      </c>
      <c r="J337" s="39">
        <f t="shared" si="76"/>
        <v>8400</v>
      </c>
      <c r="K337" s="39">
        <f>K338+K341</f>
        <v>0</v>
      </c>
      <c r="L337" s="39">
        <f t="shared" si="76"/>
        <v>0</v>
      </c>
      <c r="M337" s="60">
        <f t="shared" si="71"/>
        <v>5101113</v>
      </c>
      <c r="N337" s="58"/>
      <c r="O337" s="64"/>
    </row>
    <row r="338" spans="1:15" s="59" customFormat="1" ht="38.25">
      <c r="A338" s="41" t="s">
        <v>57</v>
      </c>
      <c r="B338" s="84" t="s">
        <v>5</v>
      </c>
      <c r="C338" s="39">
        <f>C339+C340</f>
        <v>2535008</v>
      </c>
      <c r="D338" s="39">
        <f>D339+D340</f>
        <v>1625518</v>
      </c>
      <c r="E338" s="39">
        <f>E339+E340</f>
        <v>9745</v>
      </c>
      <c r="F338" s="39">
        <f t="shared" si="75"/>
        <v>77688</v>
      </c>
      <c r="G338" s="39">
        <f aca="true" t="shared" si="77" ref="G338:L338">G339+G340</f>
        <v>77688</v>
      </c>
      <c r="H338" s="39">
        <f t="shared" si="77"/>
        <v>28270</v>
      </c>
      <c r="I338" s="39">
        <f t="shared" si="77"/>
        <v>0</v>
      </c>
      <c r="J338" s="39">
        <f t="shared" si="77"/>
        <v>0</v>
      </c>
      <c r="K338" s="39">
        <f>K339+K340</f>
        <v>0</v>
      </c>
      <c r="L338" s="39">
        <f t="shared" si="77"/>
        <v>0</v>
      </c>
      <c r="M338" s="60">
        <f t="shared" si="71"/>
        <v>2612696</v>
      </c>
      <c r="N338" s="58"/>
      <c r="O338" s="58"/>
    </row>
    <row r="339" spans="1:15" s="62" customFormat="1" ht="94.5" customHeight="1">
      <c r="A339" s="41" t="s">
        <v>57</v>
      </c>
      <c r="B339" s="84" t="s">
        <v>310</v>
      </c>
      <c r="C339" s="39">
        <v>184000</v>
      </c>
      <c r="D339" s="39"/>
      <c r="E339" s="39"/>
      <c r="F339" s="39">
        <f t="shared" si="75"/>
        <v>0</v>
      </c>
      <c r="G339" s="39"/>
      <c r="H339" s="39"/>
      <c r="I339" s="39"/>
      <c r="J339" s="39"/>
      <c r="K339" s="39">
        <f>J339</f>
        <v>0</v>
      </c>
      <c r="L339" s="39">
        <f>K339</f>
        <v>0</v>
      </c>
      <c r="M339" s="60">
        <f t="shared" si="71"/>
        <v>184000</v>
      </c>
      <c r="N339" s="58"/>
      <c r="O339" s="61"/>
    </row>
    <row r="340" spans="1:15" ht="81.75" customHeight="1">
      <c r="A340" s="41" t="s">
        <v>57</v>
      </c>
      <c r="B340" s="84" t="s">
        <v>196</v>
      </c>
      <c r="C340" s="39">
        <f>2348700+2308</f>
        <v>2351008</v>
      </c>
      <c r="D340" s="39">
        <v>1625518</v>
      </c>
      <c r="E340" s="39">
        <v>9745</v>
      </c>
      <c r="F340" s="39">
        <f t="shared" si="75"/>
        <v>77688</v>
      </c>
      <c r="G340" s="39">
        <f>73638+4050</f>
        <v>77688</v>
      </c>
      <c r="H340" s="39">
        <v>28270</v>
      </c>
      <c r="I340" s="39"/>
      <c r="J340" s="39">
        <f>4050-4050</f>
        <v>0</v>
      </c>
      <c r="K340" s="39"/>
      <c r="L340" s="39"/>
      <c r="M340" s="60">
        <f t="shared" si="71"/>
        <v>2428696</v>
      </c>
      <c r="N340" s="58"/>
      <c r="O340" s="64"/>
    </row>
    <row r="341" spans="1:15" ht="25.5">
      <c r="A341" s="41">
        <v>210110</v>
      </c>
      <c r="B341" s="65" t="s">
        <v>58</v>
      </c>
      <c r="C341" s="39">
        <f>2433550+24980</f>
        <v>2458530</v>
      </c>
      <c r="D341" s="39">
        <v>1643079</v>
      </c>
      <c r="E341" s="39">
        <v>44966</v>
      </c>
      <c r="F341" s="39">
        <f t="shared" si="75"/>
        <v>29887</v>
      </c>
      <c r="G341" s="39">
        <v>21487</v>
      </c>
      <c r="H341" s="39">
        <v>8554</v>
      </c>
      <c r="I341" s="39"/>
      <c r="J341" s="39">
        <v>8400</v>
      </c>
      <c r="K341" s="39"/>
      <c r="L341" s="39"/>
      <c r="M341" s="60">
        <f t="shared" si="71"/>
        <v>2488417</v>
      </c>
      <c r="N341" s="58"/>
      <c r="O341" s="64"/>
    </row>
    <row r="342" spans="1:15" ht="25.5">
      <c r="A342" s="112" t="s">
        <v>339</v>
      </c>
      <c r="B342" s="124" t="s">
        <v>297</v>
      </c>
      <c r="C342" s="56">
        <f>C343+C345+C348</f>
        <v>1575284</v>
      </c>
      <c r="D342" s="56">
        <f>D343+D345+D348</f>
        <v>1074226</v>
      </c>
      <c r="E342" s="56">
        <f>E343+E345+E348</f>
        <v>0</v>
      </c>
      <c r="F342" s="56">
        <f t="shared" si="75"/>
        <v>14198254</v>
      </c>
      <c r="G342" s="56">
        <f aca="true" t="shared" si="78" ref="G342:L342">G343+G345+G348</f>
        <v>0</v>
      </c>
      <c r="H342" s="56">
        <f t="shared" si="78"/>
        <v>0</v>
      </c>
      <c r="I342" s="56">
        <f t="shared" si="78"/>
        <v>0</v>
      </c>
      <c r="J342" s="56">
        <f>J343+J345+J348</f>
        <v>14198254</v>
      </c>
      <c r="K342" s="56">
        <f t="shared" si="78"/>
        <v>14198254</v>
      </c>
      <c r="L342" s="56">
        <f t="shared" si="78"/>
        <v>5349604</v>
      </c>
      <c r="M342" s="57">
        <f t="shared" si="71"/>
        <v>15773538</v>
      </c>
      <c r="N342" s="58"/>
      <c r="O342" s="64"/>
    </row>
    <row r="343" spans="1:15" ht="12.75">
      <c r="A343" s="44" t="s">
        <v>150</v>
      </c>
      <c r="B343" s="45" t="s">
        <v>151</v>
      </c>
      <c r="C343" s="38">
        <f>C344</f>
        <v>1575284</v>
      </c>
      <c r="D343" s="38">
        <f>D344</f>
        <v>1074226</v>
      </c>
      <c r="E343" s="38">
        <f>E344</f>
        <v>0</v>
      </c>
      <c r="F343" s="39">
        <f t="shared" si="75"/>
        <v>6500</v>
      </c>
      <c r="G343" s="38">
        <f aca="true" t="shared" si="79" ref="G343:L343">G344</f>
        <v>0</v>
      </c>
      <c r="H343" s="38">
        <f t="shared" si="79"/>
        <v>0</v>
      </c>
      <c r="I343" s="38">
        <f t="shared" si="79"/>
        <v>0</v>
      </c>
      <c r="J343" s="38">
        <f t="shared" si="79"/>
        <v>6500</v>
      </c>
      <c r="K343" s="38">
        <f t="shared" si="79"/>
        <v>6500</v>
      </c>
      <c r="L343" s="38">
        <f t="shared" si="79"/>
        <v>6500</v>
      </c>
      <c r="M343" s="60">
        <f t="shared" si="71"/>
        <v>1581784</v>
      </c>
      <c r="N343" s="58"/>
      <c r="O343" s="64"/>
    </row>
    <row r="344" spans="1:15" ht="12.75">
      <c r="A344" s="41" t="s">
        <v>21</v>
      </c>
      <c r="B344" s="63" t="s">
        <v>22</v>
      </c>
      <c r="C344" s="39">
        <f>1467638+50145+48581+8920</f>
        <v>1575284</v>
      </c>
      <c r="D344" s="39">
        <f>1015490+23093+35643</f>
        <v>1074226</v>
      </c>
      <c r="E344" s="38"/>
      <c r="F344" s="39">
        <f t="shared" si="75"/>
        <v>6500</v>
      </c>
      <c r="G344" s="39"/>
      <c r="H344" s="39"/>
      <c r="I344" s="39"/>
      <c r="J344" s="39">
        <f>K344</f>
        <v>6500</v>
      </c>
      <c r="K344" s="39">
        <f>L344</f>
        <v>6500</v>
      </c>
      <c r="L344" s="39">
        <v>6500</v>
      </c>
      <c r="M344" s="60">
        <f t="shared" si="71"/>
        <v>1581784</v>
      </c>
      <c r="N344" s="58"/>
      <c r="O344" s="64"/>
    </row>
    <row r="345" spans="1:15" ht="12.75" hidden="1">
      <c r="A345" s="85" t="s">
        <v>162</v>
      </c>
      <c r="B345" s="37" t="s">
        <v>164</v>
      </c>
      <c r="C345" s="39">
        <f>C346</f>
        <v>0</v>
      </c>
      <c r="D345" s="39">
        <f>D346</f>
        <v>0</v>
      </c>
      <c r="E345" s="39">
        <f>E346</f>
        <v>0</v>
      </c>
      <c r="F345" s="39">
        <f t="shared" si="75"/>
        <v>0</v>
      </c>
      <c r="G345" s="39">
        <f aca="true" t="shared" si="80" ref="G345:L345">G346</f>
        <v>0</v>
      </c>
      <c r="H345" s="39">
        <f t="shared" si="80"/>
        <v>0</v>
      </c>
      <c r="I345" s="39">
        <f t="shared" si="80"/>
        <v>0</v>
      </c>
      <c r="J345" s="39">
        <f t="shared" si="80"/>
        <v>0</v>
      </c>
      <c r="K345" s="39">
        <f t="shared" si="80"/>
        <v>0</v>
      </c>
      <c r="L345" s="39">
        <f t="shared" si="80"/>
        <v>0</v>
      </c>
      <c r="M345" s="60">
        <f t="shared" si="71"/>
        <v>0</v>
      </c>
      <c r="N345" s="58"/>
      <c r="O345" s="64"/>
    </row>
    <row r="346" spans="1:15" ht="127.5" hidden="1">
      <c r="A346" s="85" t="s">
        <v>306</v>
      </c>
      <c r="B346" s="86" t="s">
        <v>308</v>
      </c>
      <c r="C346" s="39"/>
      <c r="D346" s="39"/>
      <c r="E346" s="39"/>
      <c r="F346" s="39">
        <f t="shared" si="75"/>
        <v>0</v>
      </c>
      <c r="G346" s="39"/>
      <c r="H346" s="39"/>
      <c r="I346" s="39"/>
      <c r="J346" s="39"/>
      <c r="K346" s="39"/>
      <c r="L346" s="39"/>
      <c r="M346" s="60">
        <f t="shared" si="71"/>
        <v>0</v>
      </c>
      <c r="N346" s="58"/>
      <c r="O346" s="64"/>
    </row>
    <row r="347" spans="1:15" ht="165.75" hidden="1">
      <c r="A347" s="41"/>
      <c r="B347" s="86" t="s">
        <v>307</v>
      </c>
      <c r="C347" s="39">
        <f>C346</f>
        <v>0</v>
      </c>
      <c r="D347" s="39">
        <f>D346</f>
        <v>0</v>
      </c>
      <c r="E347" s="39">
        <f>E346</f>
        <v>0</v>
      </c>
      <c r="F347" s="39">
        <f t="shared" si="75"/>
        <v>0</v>
      </c>
      <c r="G347" s="39">
        <f aca="true" t="shared" si="81" ref="G347:L347">G346</f>
        <v>0</v>
      </c>
      <c r="H347" s="39">
        <f t="shared" si="81"/>
        <v>0</v>
      </c>
      <c r="I347" s="39">
        <f t="shared" si="81"/>
        <v>0</v>
      </c>
      <c r="J347" s="39">
        <f t="shared" si="81"/>
        <v>0</v>
      </c>
      <c r="K347" s="39">
        <f t="shared" si="81"/>
        <v>0</v>
      </c>
      <c r="L347" s="39">
        <f t="shared" si="81"/>
        <v>0</v>
      </c>
      <c r="M347" s="60">
        <f t="shared" si="71"/>
        <v>0</v>
      </c>
      <c r="N347" s="58"/>
      <c r="O347" s="64"/>
    </row>
    <row r="348" spans="1:15" ht="12.75">
      <c r="A348" s="41" t="s">
        <v>154</v>
      </c>
      <c r="B348" s="63" t="s">
        <v>55</v>
      </c>
      <c r="C348" s="39">
        <f>C349+C354</f>
        <v>0</v>
      </c>
      <c r="D348" s="39">
        <f>D349+D354</f>
        <v>0</v>
      </c>
      <c r="E348" s="39">
        <f>E349+E354</f>
        <v>0</v>
      </c>
      <c r="F348" s="39">
        <f t="shared" si="75"/>
        <v>14191754</v>
      </c>
      <c r="G348" s="39">
        <f aca="true" t="shared" si="82" ref="G348:L348">G349+G354</f>
        <v>0</v>
      </c>
      <c r="H348" s="39">
        <f t="shared" si="82"/>
        <v>0</v>
      </c>
      <c r="I348" s="39">
        <f t="shared" si="82"/>
        <v>0</v>
      </c>
      <c r="J348" s="39">
        <f t="shared" si="82"/>
        <v>14191754</v>
      </c>
      <c r="K348" s="39">
        <f t="shared" si="82"/>
        <v>14191754</v>
      </c>
      <c r="L348" s="39">
        <f t="shared" si="82"/>
        <v>5343104</v>
      </c>
      <c r="M348" s="60">
        <f t="shared" si="71"/>
        <v>14191754</v>
      </c>
      <c r="N348" s="58"/>
      <c r="O348" s="64"/>
    </row>
    <row r="349" spans="1:15" ht="13.5" customHeight="1">
      <c r="A349" s="41" t="s">
        <v>121</v>
      </c>
      <c r="B349" s="37" t="s">
        <v>122</v>
      </c>
      <c r="C349" s="39"/>
      <c r="D349" s="39"/>
      <c r="E349" s="39"/>
      <c r="F349" s="39">
        <f t="shared" si="75"/>
        <v>11307994</v>
      </c>
      <c r="G349" s="39"/>
      <c r="H349" s="39"/>
      <c r="I349" s="39"/>
      <c r="J349" s="39">
        <f>K349</f>
        <v>11307994</v>
      </c>
      <c r="K349" s="39">
        <f>118000000-118000000+25599428-1-78400-6390483-55046-180000+290000+5157404-3782-194410+117000+126000-13590-95000-1562490-50970-4602770-4599933-1089214-34759-299843+2000-733147</f>
        <v>11307994</v>
      </c>
      <c r="L349" s="39">
        <f>12000000-4599933-1089214-34759-299843+2000+98000-733147</f>
        <v>5343104</v>
      </c>
      <c r="M349" s="60">
        <f t="shared" si="71"/>
        <v>11307994</v>
      </c>
      <c r="N349" s="58"/>
      <c r="O349" s="64"/>
    </row>
    <row r="350" spans="1:15" ht="45" customHeight="1" hidden="1">
      <c r="A350" s="41"/>
      <c r="B350" s="106" t="s">
        <v>263</v>
      </c>
      <c r="C350" s="39"/>
      <c r="D350" s="39"/>
      <c r="E350" s="39"/>
      <c r="F350" s="39">
        <f t="shared" si="75"/>
        <v>0</v>
      </c>
      <c r="G350" s="39"/>
      <c r="H350" s="39"/>
      <c r="I350" s="39"/>
      <c r="J350" s="39"/>
      <c r="K350" s="39">
        <f>J350</f>
        <v>0</v>
      </c>
      <c r="L350" s="39">
        <f>L349-L353</f>
        <v>5343104</v>
      </c>
      <c r="M350" s="60">
        <f t="shared" si="71"/>
        <v>0</v>
      </c>
      <c r="N350" s="58"/>
      <c r="O350" s="64"/>
    </row>
    <row r="351" spans="1:15" ht="204" hidden="1">
      <c r="A351" s="41" t="s">
        <v>217</v>
      </c>
      <c r="B351" s="79" t="s">
        <v>198</v>
      </c>
      <c r="C351" s="39"/>
      <c r="D351" s="39"/>
      <c r="E351" s="39"/>
      <c r="F351" s="39">
        <f t="shared" si="75"/>
        <v>0</v>
      </c>
      <c r="G351" s="39"/>
      <c r="H351" s="39"/>
      <c r="I351" s="39"/>
      <c r="J351" s="39"/>
      <c r="K351" s="39"/>
      <c r="L351" s="39"/>
      <c r="M351" s="60">
        <f t="shared" si="71"/>
        <v>0</v>
      </c>
      <c r="N351" s="58"/>
      <c r="O351" s="64"/>
    </row>
    <row r="352" spans="1:15" ht="25.5" hidden="1">
      <c r="A352" s="41"/>
      <c r="B352" s="37" t="s">
        <v>170</v>
      </c>
      <c r="C352" s="39"/>
      <c r="D352" s="39"/>
      <c r="E352" s="39"/>
      <c r="F352" s="39">
        <f t="shared" si="75"/>
        <v>0</v>
      </c>
      <c r="G352" s="39"/>
      <c r="H352" s="39"/>
      <c r="I352" s="39"/>
      <c r="J352" s="39"/>
      <c r="K352" s="39">
        <f>J352</f>
        <v>0</v>
      </c>
      <c r="L352" s="39"/>
      <c r="M352" s="60">
        <f t="shared" si="71"/>
        <v>0</v>
      </c>
      <c r="N352" s="58"/>
      <c r="O352" s="64"/>
    </row>
    <row r="353" spans="1:15" ht="51" hidden="1">
      <c r="A353" s="41"/>
      <c r="B353" s="86" t="s">
        <v>305</v>
      </c>
      <c r="C353" s="39"/>
      <c r="D353" s="39"/>
      <c r="E353" s="39"/>
      <c r="F353" s="39">
        <f t="shared" si="75"/>
        <v>0</v>
      </c>
      <c r="G353" s="39"/>
      <c r="H353" s="39"/>
      <c r="I353" s="39"/>
      <c r="J353" s="39"/>
      <c r="K353" s="39">
        <f>J353</f>
        <v>0</v>
      </c>
      <c r="L353" s="39">
        <f>K353</f>
        <v>0</v>
      </c>
      <c r="M353" s="60">
        <f t="shared" si="71"/>
        <v>0</v>
      </c>
      <c r="N353" s="58"/>
      <c r="O353" s="64"/>
    </row>
    <row r="354" spans="1:15" ht="80.25" customHeight="1">
      <c r="A354" s="41" t="s">
        <v>137</v>
      </c>
      <c r="B354" s="63" t="s">
        <v>138</v>
      </c>
      <c r="C354" s="39"/>
      <c r="D354" s="39"/>
      <c r="E354" s="39"/>
      <c r="F354" s="39">
        <f t="shared" si="75"/>
        <v>2883760</v>
      </c>
      <c r="G354" s="39"/>
      <c r="H354" s="39"/>
      <c r="I354" s="39"/>
      <c r="J354" s="39">
        <f>K354</f>
        <v>2883760</v>
      </c>
      <c r="K354" s="39">
        <v>2883760</v>
      </c>
      <c r="L354" s="39"/>
      <c r="M354" s="60">
        <f t="shared" si="71"/>
        <v>2883760</v>
      </c>
      <c r="N354" s="58"/>
      <c r="O354" s="64"/>
    </row>
    <row r="355" spans="1:14" s="62" customFormat="1" ht="36.75" customHeight="1">
      <c r="A355" s="112" t="s">
        <v>337</v>
      </c>
      <c r="B355" s="114" t="s">
        <v>270</v>
      </c>
      <c r="C355" s="56">
        <f>C356+C362+C360+C358</f>
        <v>9176248</v>
      </c>
      <c r="D355" s="56">
        <f aca="true" t="shared" si="83" ref="D355:L355">D356+D362+D360</f>
        <v>3219572</v>
      </c>
      <c r="E355" s="56">
        <f t="shared" si="83"/>
        <v>97380</v>
      </c>
      <c r="F355" s="56">
        <f t="shared" si="83"/>
        <v>0</v>
      </c>
      <c r="G355" s="56">
        <f t="shared" si="83"/>
        <v>0</v>
      </c>
      <c r="H355" s="56">
        <f t="shared" si="83"/>
        <v>0</v>
      </c>
      <c r="I355" s="56">
        <f t="shared" si="83"/>
        <v>0</v>
      </c>
      <c r="J355" s="56">
        <f t="shared" si="83"/>
        <v>0</v>
      </c>
      <c r="K355" s="56">
        <f t="shared" si="83"/>
        <v>0</v>
      </c>
      <c r="L355" s="56">
        <f t="shared" si="83"/>
        <v>0</v>
      </c>
      <c r="M355" s="57">
        <f t="shared" si="71"/>
        <v>9176248</v>
      </c>
      <c r="N355" s="58"/>
    </row>
    <row r="356" spans="1:14" s="62" customFormat="1" ht="12.75">
      <c r="A356" s="44" t="s">
        <v>150</v>
      </c>
      <c r="B356" s="45" t="s">
        <v>151</v>
      </c>
      <c r="C356" s="38">
        <f>C357</f>
        <v>4804948</v>
      </c>
      <c r="D356" s="38">
        <f>D357</f>
        <v>3219572</v>
      </c>
      <c r="E356" s="38">
        <f>E357</f>
        <v>97380</v>
      </c>
      <c r="F356" s="39">
        <f>F357</f>
        <v>0</v>
      </c>
      <c r="G356" s="39">
        <f aca="true" t="shared" si="84" ref="G356:L356">G357</f>
        <v>0</v>
      </c>
      <c r="H356" s="39">
        <f t="shared" si="84"/>
        <v>0</v>
      </c>
      <c r="I356" s="39">
        <f t="shared" si="84"/>
        <v>0</v>
      </c>
      <c r="J356" s="39">
        <f t="shared" si="84"/>
        <v>0</v>
      </c>
      <c r="K356" s="39">
        <f t="shared" si="84"/>
        <v>0</v>
      </c>
      <c r="L356" s="39">
        <f t="shared" si="84"/>
        <v>0</v>
      </c>
      <c r="M356" s="60">
        <f t="shared" si="71"/>
        <v>4804948</v>
      </c>
      <c r="N356" s="58"/>
    </row>
    <row r="357" spans="1:14" s="62" customFormat="1" ht="12.75">
      <c r="A357" s="41" t="s">
        <v>21</v>
      </c>
      <c r="B357" s="63" t="s">
        <v>22</v>
      </c>
      <c r="C357" s="39">
        <f>4536870+3017-308+265369</f>
        <v>4804948</v>
      </c>
      <c r="D357" s="39">
        <f>3047970-23093+194695</f>
        <v>3219572</v>
      </c>
      <c r="E357" s="39">
        <v>97380</v>
      </c>
      <c r="F357" s="39">
        <f aca="true" t="shared" si="85" ref="F357:F366">G357+J357</f>
        <v>0</v>
      </c>
      <c r="G357" s="39"/>
      <c r="H357" s="39"/>
      <c r="I357" s="39"/>
      <c r="J357" s="39"/>
      <c r="K357" s="39"/>
      <c r="L357" s="39"/>
      <c r="M357" s="60">
        <f t="shared" si="71"/>
        <v>4804948</v>
      </c>
      <c r="N357" s="58"/>
    </row>
    <row r="358" spans="1:14" s="62" customFormat="1" ht="12.75">
      <c r="A358" s="41" t="s">
        <v>168</v>
      </c>
      <c r="B358" s="37" t="s">
        <v>169</v>
      </c>
      <c r="C358" s="39">
        <f>4207192+308</f>
        <v>4207500</v>
      </c>
      <c r="D358" s="39">
        <f>D359</f>
        <v>0</v>
      </c>
      <c r="E358" s="39">
        <f>E359</f>
        <v>0</v>
      </c>
      <c r="F358" s="39">
        <f t="shared" si="85"/>
        <v>0</v>
      </c>
      <c r="G358" s="39"/>
      <c r="H358" s="39"/>
      <c r="I358" s="39"/>
      <c r="J358" s="39"/>
      <c r="K358" s="39"/>
      <c r="L358" s="39"/>
      <c r="M358" s="60">
        <f t="shared" si="71"/>
        <v>4207500</v>
      </c>
      <c r="N358" s="58"/>
    </row>
    <row r="359" spans="1:15" ht="27.75" customHeight="1" hidden="1">
      <c r="A359" s="41" t="s">
        <v>125</v>
      </c>
      <c r="B359" s="65" t="s">
        <v>119</v>
      </c>
      <c r="C359" s="39"/>
      <c r="D359" s="39"/>
      <c r="E359" s="39"/>
      <c r="F359" s="39">
        <f t="shared" si="85"/>
        <v>0</v>
      </c>
      <c r="G359" s="39"/>
      <c r="H359" s="39"/>
      <c r="I359" s="39"/>
      <c r="J359" s="39"/>
      <c r="K359" s="39"/>
      <c r="L359" s="39"/>
      <c r="M359" s="60">
        <f t="shared" si="71"/>
        <v>0</v>
      </c>
      <c r="N359" s="58"/>
      <c r="O359" s="64"/>
    </row>
    <row r="360" spans="1:15" ht="12.75" hidden="1">
      <c r="A360" s="9" t="s">
        <v>157</v>
      </c>
      <c r="B360" s="4" t="s">
        <v>161</v>
      </c>
      <c r="C360" s="39">
        <f>C361</f>
        <v>0</v>
      </c>
      <c r="D360" s="39">
        <f>D361</f>
        <v>0</v>
      </c>
      <c r="E360" s="39">
        <f>E361</f>
        <v>0</v>
      </c>
      <c r="F360" s="39">
        <f>G360+J360</f>
        <v>0</v>
      </c>
      <c r="G360" s="39">
        <f aca="true" t="shared" si="86" ref="G360:L360">G361</f>
        <v>0</v>
      </c>
      <c r="H360" s="39">
        <f t="shared" si="86"/>
        <v>0</v>
      </c>
      <c r="I360" s="39">
        <f t="shared" si="86"/>
        <v>0</v>
      </c>
      <c r="J360" s="39">
        <f t="shared" si="86"/>
        <v>0</v>
      </c>
      <c r="K360" s="39">
        <f t="shared" si="86"/>
        <v>0</v>
      </c>
      <c r="L360" s="39">
        <f t="shared" si="86"/>
        <v>0</v>
      </c>
      <c r="M360" s="60">
        <f aca="true" t="shared" si="87" ref="M360:M368">C360+F360</f>
        <v>0</v>
      </c>
      <c r="N360" s="58"/>
      <c r="O360" s="64"/>
    </row>
    <row r="361" spans="1:15" ht="63.75" hidden="1">
      <c r="A361" s="9" t="s">
        <v>59</v>
      </c>
      <c r="B361" s="84" t="s">
        <v>249</v>
      </c>
      <c r="C361" s="39"/>
      <c r="D361" s="39"/>
      <c r="E361" s="39"/>
      <c r="F361" s="39">
        <f>G361+J361</f>
        <v>0</v>
      </c>
      <c r="G361" s="39"/>
      <c r="H361" s="39"/>
      <c r="I361" s="39"/>
      <c r="J361" s="39"/>
      <c r="K361" s="39"/>
      <c r="L361" s="39"/>
      <c r="M361" s="60">
        <f t="shared" si="87"/>
        <v>0</v>
      </c>
      <c r="N361" s="58"/>
      <c r="O361" s="64"/>
    </row>
    <row r="362" spans="1:15" ht="25.5">
      <c r="A362" s="44" t="s">
        <v>159</v>
      </c>
      <c r="B362" s="45" t="s">
        <v>160</v>
      </c>
      <c r="C362" s="38">
        <f>C363</f>
        <v>163800</v>
      </c>
      <c r="D362" s="38">
        <f>D363</f>
        <v>0</v>
      </c>
      <c r="E362" s="38">
        <f>E363</f>
        <v>0</v>
      </c>
      <c r="F362" s="73">
        <f t="shared" si="85"/>
        <v>0</v>
      </c>
      <c r="G362" s="73"/>
      <c r="H362" s="38"/>
      <c r="I362" s="38"/>
      <c r="J362" s="38"/>
      <c r="K362" s="38"/>
      <c r="L362" s="38"/>
      <c r="M362" s="60">
        <f t="shared" si="87"/>
        <v>163800</v>
      </c>
      <c r="N362" s="58"/>
      <c r="O362" s="64"/>
    </row>
    <row r="363" spans="1:15" ht="12.75">
      <c r="A363" s="44" t="s">
        <v>60</v>
      </c>
      <c r="B363" s="45" t="s">
        <v>98</v>
      </c>
      <c r="C363" s="128">
        <f>C364</f>
        <v>163800</v>
      </c>
      <c r="D363" s="38"/>
      <c r="E363" s="38"/>
      <c r="F363" s="73">
        <f t="shared" si="85"/>
        <v>0</v>
      </c>
      <c r="G363" s="73"/>
      <c r="H363" s="38"/>
      <c r="I363" s="38"/>
      <c r="J363" s="38"/>
      <c r="K363" s="38"/>
      <c r="L363" s="38"/>
      <c r="M363" s="60">
        <f t="shared" si="87"/>
        <v>163800</v>
      </c>
      <c r="N363" s="58"/>
      <c r="O363" s="64"/>
    </row>
    <row r="364" spans="1:15" ht="63.75" hidden="1">
      <c r="A364" s="44"/>
      <c r="B364" s="83" t="s">
        <v>355</v>
      </c>
      <c r="C364" s="39">
        <f>42000+16800+30000+75000</f>
        <v>163800</v>
      </c>
      <c r="D364" s="38"/>
      <c r="E364" s="38"/>
      <c r="F364" s="73"/>
      <c r="G364" s="73"/>
      <c r="H364" s="38"/>
      <c r="I364" s="38"/>
      <c r="J364" s="38"/>
      <c r="K364" s="38"/>
      <c r="L364" s="38"/>
      <c r="M364" s="60">
        <f t="shared" si="87"/>
        <v>163800</v>
      </c>
      <c r="N364" s="58"/>
      <c r="O364" s="64"/>
    </row>
    <row r="365" spans="1:15" ht="26.25" customHeight="1">
      <c r="A365" s="112" t="s">
        <v>338</v>
      </c>
      <c r="B365" s="114" t="s">
        <v>270</v>
      </c>
      <c r="C365" s="56">
        <f aca="true" t="shared" si="88" ref="C365:E366">C366</f>
        <v>125710800</v>
      </c>
      <c r="D365" s="56">
        <f t="shared" si="88"/>
        <v>0</v>
      </c>
      <c r="E365" s="56">
        <f t="shared" si="88"/>
        <v>0</v>
      </c>
      <c r="F365" s="56">
        <f t="shared" si="85"/>
        <v>2766704</v>
      </c>
      <c r="G365" s="56">
        <f aca="true" t="shared" si="89" ref="G365:L365">G366</f>
        <v>0</v>
      </c>
      <c r="H365" s="56">
        <f t="shared" si="89"/>
        <v>0</v>
      </c>
      <c r="I365" s="56">
        <f t="shared" si="89"/>
        <v>0</v>
      </c>
      <c r="J365" s="56">
        <f t="shared" si="89"/>
        <v>2766704</v>
      </c>
      <c r="K365" s="56">
        <f t="shared" si="89"/>
        <v>2766704</v>
      </c>
      <c r="L365" s="56">
        <f t="shared" si="89"/>
        <v>2766704</v>
      </c>
      <c r="M365" s="57">
        <f t="shared" si="87"/>
        <v>128477504</v>
      </c>
      <c r="N365" s="58"/>
      <c r="O365" s="64"/>
    </row>
    <row r="366" spans="1:15" ht="25.5">
      <c r="A366" s="44" t="s">
        <v>159</v>
      </c>
      <c r="B366" s="45" t="s">
        <v>160</v>
      </c>
      <c r="C366" s="38">
        <f>C367+C368</f>
        <v>125710800</v>
      </c>
      <c r="D366" s="38">
        <f t="shared" si="88"/>
        <v>0</v>
      </c>
      <c r="E366" s="38">
        <f t="shared" si="88"/>
        <v>0</v>
      </c>
      <c r="F366" s="38">
        <f t="shared" si="85"/>
        <v>2766704</v>
      </c>
      <c r="G366" s="73"/>
      <c r="H366" s="38"/>
      <c r="I366" s="38"/>
      <c r="J366" s="38">
        <f>J367+J368</f>
        <v>2766704</v>
      </c>
      <c r="K366" s="38">
        <f>K367+K368</f>
        <v>2766704</v>
      </c>
      <c r="L366" s="38">
        <f>L367+L368</f>
        <v>2766704</v>
      </c>
      <c r="M366" s="60">
        <f t="shared" si="87"/>
        <v>128477504</v>
      </c>
      <c r="N366" s="58"/>
      <c r="O366" s="64"/>
    </row>
    <row r="367" spans="1:15" s="59" customFormat="1" ht="140.25">
      <c r="A367" s="99" t="s">
        <v>62</v>
      </c>
      <c r="B367" s="83" t="s">
        <v>255</v>
      </c>
      <c r="C367" s="38">
        <v>125710800</v>
      </c>
      <c r="D367" s="38"/>
      <c r="E367" s="38"/>
      <c r="F367" s="73"/>
      <c r="G367" s="73"/>
      <c r="H367" s="38"/>
      <c r="I367" s="38"/>
      <c r="J367" s="38"/>
      <c r="K367" s="38"/>
      <c r="L367" s="38"/>
      <c r="M367" s="60">
        <f t="shared" si="87"/>
        <v>125710800</v>
      </c>
      <c r="N367" s="58"/>
      <c r="O367" s="58"/>
    </row>
    <row r="368" spans="1:15" s="62" customFormat="1" ht="51">
      <c r="A368" s="41" t="s">
        <v>216</v>
      </c>
      <c r="B368" s="79" t="s">
        <v>299</v>
      </c>
      <c r="C368" s="39"/>
      <c r="D368" s="39"/>
      <c r="E368" s="39"/>
      <c r="F368" s="39">
        <f>G368+J368</f>
        <v>2766704</v>
      </c>
      <c r="G368" s="39"/>
      <c r="H368" s="39"/>
      <c r="I368" s="39"/>
      <c r="J368" s="39">
        <f>K368</f>
        <v>2766704</v>
      </c>
      <c r="K368" s="39">
        <f>2730600+36104</f>
        <v>2766704</v>
      </c>
      <c r="L368" s="39">
        <f>K368</f>
        <v>2766704</v>
      </c>
      <c r="M368" s="60">
        <f t="shared" si="87"/>
        <v>2766704</v>
      </c>
      <c r="N368" s="58"/>
      <c r="O368" s="61"/>
    </row>
    <row r="369" spans="1:14" s="19" customFormat="1" ht="41.25" customHeight="1">
      <c r="A369" s="18" t="s">
        <v>315</v>
      </c>
      <c r="B369" s="20" t="s">
        <v>280</v>
      </c>
      <c r="C369" s="31">
        <f>C370+C372+C376+C378</f>
        <v>3850084</v>
      </c>
      <c r="D369" s="31">
        <f aca="true" t="shared" si="90" ref="D369:L369">D370+D372+D376+D378</f>
        <v>1920277</v>
      </c>
      <c r="E369" s="31">
        <f t="shared" si="90"/>
        <v>595615</v>
      </c>
      <c r="F369" s="31">
        <f>F370+F372+F376+F378+F374</f>
        <v>239727</v>
      </c>
      <c r="G369" s="31">
        <f t="shared" si="90"/>
        <v>86212</v>
      </c>
      <c r="H369" s="31">
        <f t="shared" si="90"/>
        <v>0</v>
      </c>
      <c r="I369" s="31">
        <f t="shared" si="90"/>
        <v>0</v>
      </c>
      <c r="J369" s="31">
        <f>J370+J372+J376+J378+J374</f>
        <v>153515</v>
      </c>
      <c r="K369" s="31">
        <f>K370+K372+K376+K378+K374</f>
        <v>153515</v>
      </c>
      <c r="L369" s="31">
        <f t="shared" si="90"/>
        <v>58515</v>
      </c>
      <c r="M369" s="30">
        <f aca="true" t="shared" si="91" ref="M369:M401">C369+F369</f>
        <v>4089811</v>
      </c>
      <c r="N369" s="58"/>
    </row>
    <row r="370" spans="1:14" s="3" customFormat="1" ht="12.75">
      <c r="A370" s="9" t="s">
        <v>150</v>
      </c>
      <c r="B370" s="4" t="s">
        <v>151</v>
      </c>
      <c r="C370" s="27">
        <f>C371</f>
        <v>3402471</v>
      </c>
      <c r="D370" s="27">
        <f>D371</f>
        <v>1920277</v>
      </c>
      <c r="E370" s="27">
        <f>E371</f>
        <v>486115</v>
      </c>
      <c r="F370" s="27">
        <f>G370+J370</f>
        <v>83271</v>
      </c>
      <c r="G370" s="27">
        <f aca="true" t="shared" si="92" ref="G370:L370">G371</f>
        <v>54756</v>
      </c>
      <c r="H370" s="27">
        <f t="shared" si="92"/>
        <v>0</v>
      </c>
      <c r="I370" s="27">
        <f t="shared" si="92"/>
        <v>0</v>
      </c>
      <c r="J370" s="27">
        <f t="shared" si="92"/>
        <v>28515</v>
      </c>
      <c r="K370" s="27">
        <f t="shared" si="92"/>
        <v>28515</v>
      </c>
      <c r="L370" s="27">
        <f t="shared" si="92"/>
        <v>28515</v>
      </c>
      <c r="M370" s="26">
        <f t="shared" si="91"/>
        <v>3485742</v>
      </c>
      <c r="N370" s="58"/>
    </row>
    <row r="371" spans="1:14" s="3" customFormat="1" ht="12.75">
      <c r="A371" s="9" t="s">
        <v>21</v>
      </c>
      <c r="B371" s="4" t="s">
        <v>22</v>
      </c>
      <c r="C371" s="27">
        <f>3150710+44677-27475-13340+247899</f>
        <v>3402471</v>
      </c>
      <c r="D371" s="27">
        <f>1751740-13340+181877</f>
        <v>1920277</v>
      </c>
      <c r="E371" s="27">
        <f>513590-27475</f>
        <v>486115</v>
      </c>
      <c r="F371" s="27">
        <f>G371+J371</f>
        <v>83271</v>
      </c>
      <c r="G371" s="27">
        <v>54756</v>
      </c>
      <c r="H371" s="27"/>
      <c r="I371" s="27"/>
      <c r="J371" s="27">
        <v>28515</v>
      </c>
      <c r="K371" s="27">
        <f>J371</f>
        <v>28515</v>
      </c>
      <c r="L371" s="27">
        <f>K371</f>
        <v>28515</v>
      </c>
      <c r="M371" s="26">
        <f t="shared" si="91"/>
        <v>3485742</v>
      </c>
      <c r="N371" s="58"/>
    </row>
    <row r="372" spans="1:14" s="3" customFormat="1" ht="12.75">
      <c r="A372" s="9" t="s">
        <v>162</v>
      </c>
      <c r="B372" s="4" t="s">
        <v>164</v>
      </c>
      <c r="C372" s="27">
        <f>C373</f>
        <v>362464</v>
      </c>
      <c r="D372" s="27">
        <f aca="true" t="shared" si="93" ref="D372:L372">D373</f>
        <v>0</v>
      </c>
      <c r="E372" s="27">
        <f t="shared" si="93"/>
        <v>109500</v>
      </c>
      <c r="F372" s="27">
        <f t="shared" si="93"/>
        <v>30000</v>
      </c>
      <c r="G372" s="27">
        <f t="shared" si="93"/>
        <v>0</v>
      </c>
      <c r="H372" s="27">
        <f t="shared" si="93"/>
        <v>0</v>
      </c>
      <c r="I372" s="27">
        <f t="shared" si="93"/>
        <v>0</v>
      </c>
      <c r="J372" s="27">
        <f t="shared" si="93"/>
        <v>30000</v>
      </c>
      <c r="K372" s="27">
        <f t="shared" si="93"/>
        <v>30000</v>
      </c>
      <c r="L372" s="27">
        <f t="shared" si="93"/>
        <v>30000</v>
      </c>
      <c r="M372" s="26">
        <f t="shared" si="91"/>
        <v>392464</v>
      </c>
      <c r="N372" s="58"/>
    </row>
    <row r="373" spans="1:14" s="3" customFormat="1" ht="12.75">
      <c r="A373" s="9" t="s">
        <v>239</v>
      </c>
      <c r="B373" s="4" t="s">
        <v>246</v>
      </c>
      <c r="C373" s="27">
        <f>360000+2464</f>
        <v>362464</v>
      </c>
      <c r="D373" s="27"/>
      <c r="E373" s="27">
        <v>109500</v>
      </c>
      <c r="F373" s="27">
        <f>G373+J373</f>
        <v>30000</v>
      </c>
      <c r="G373" s="27"/>
      <c r="H373" s="27"/>
      <c r="I373" s="27"/>
      <c r="J373" s="27">
        <f>(30000)</f>
        <v>30000</v>
      </c>
      <c r="K373" s="27">
        <f>(30000)</f>
        <v>30000</v>
      </c>
      <c r="L373" s="27">
        <f>K373</f>
        <v>30000</v>
      </c>
      <c r="M373" s="26">
        <f t="shared" si="91"/>
        <v>392464</v>
      </c>
      <c r="N373" s="58"/>
    </row>
    <row r="374" spans="1:14" s="3" customFormat="1" ht="12.75">
      <c r="A374" s="41" t="s">
        <v>154</v>
      </c>
      <c r="B374" s="65" t="s">
        <v>55</v>
      </c>
      <c r="C374" s="39"/>
      <c r="D374" s="39"/>
      <c r="E374" s="39"/>
      <c r="F374" s="39">
        <f>G374+J374</f>
        <v>95000</v>
      </c>
      <c r="G374" s="39"/>
      <c r="H374" s="39"/>
      <c r="I374" s="39"/>
      <c r="J374" s="39">
        <f>J375</f>
        <v>95000</v>
      </c>
      <c r="K374" s="39">
        <f>K375</f>
        <v>95000</v>
      </c>
      <c r="L374" s="39"/>
      <c r="M374" s="60">
        <f>C374+F374</f>
        <v>95000</v>
      </c>
      <c r="N374" s="58"/>
    </row>
    <row r="375" spans="1:14" s="3" customFormat="1" ht="12.75">
      <c r="A375" s="41" t="s">
        <v>121</v>
      </c>
      <c r="B375" s="63" t="s">
        <v>122</v>
      </c>
      <c r="C375" s="39"/>
      <c r="D375" s="39"/>
      <c r="E375" s="39"/>
      <c r="F375" s="39">
        <f>G375+J375</f>
        <v>95000</v>
      </c>
      <c r="G375" s="39"/>
      <c r="H375" s="39"/>
      <c r="I375" s="39"/>
      <c r="J375" s="39">
        <v>95000</v>
      </c>
      <c r="K375" s="39">
        <v>95000</v>
      </c>
      <c r="L375" s="39"/>
      <c r="M375" s="60">
        <f>C375+F375</f>
        <v>95000</v>
      </c>
      <c r="N375" s="58"/>
    </row>
    <row r="376" spans="1:14" s="3" customFormat="1" ht="12.75">
      <c r="A376" s="9" t="s">
        <v>157</v>
      </c>
      <c r="B376" s="4" t="s">
        <v>161</v>
      </c>
      <c r="C376" s="27">
        <f>C377</f>
        <v>0</v>
      </c>
      <c r="D376" s="27">
        <f aca="true" t="shared" si="94" ref="D376:L376">D377</f>
        <v>0</v>
      </c>
      <c r="E376" s="27">
        <f t="shared" si="94"/>
        <v>0</v>
      </c>
      <c r="F376" s="27">
        <f t="shared" si="94"/>
        <v>31456</v>
      </c>
      <c r="G376" s="27">
        <f t="shared" si="94"/>
        <v>31456</v>
      </c>
      <c r="H376" s="27">
        <f t="shared" si="94"/>
        <v>0</v>
      </c>
      <c r="I376" s="27">
        <f t="shared" si="94"/>
        <v>0</v>
      </c>
      <c r="J376" s="27">
        <f t="shared" si="94"/>
        <v>0</v>
      </c>
      <c r="K376" s="27">
        <f t="shared" si="94"/>
        <v>0</v>
      </c>
      <c r="L376" s="27">
        <f t="shared" si="94"/>
        <v>0</v>
      </c>
      <c r="M376" s="26">
        <f t="shared" si="91"/>
        <v>31456</v>
      </c>
      <c r="N376" s="58"/>
    </row>
    <row r="377" spans="1:14" s="3" customFormat="1" ht="79.5" customHeight="1">
      <c r="A377" s="9" t="s">
        <v>59</v>
      </c>
      <c r="B377" s="84" t="s">
        <v>249</v>
      </c>
      <c r="C377" s="27"/>
      <c r="D377" s="27"/>
      <c r="E377" s="27"/>
      <c r="F377" s="27">
        <f>G377+J377</f>
        <v>31456</v>
      </c>
      <c r="G377" s="27">
        <f>1456+30000</f>
        <v>31456</v>
      </c>
      <c r="H377" s="27"/>
      <c r="I377" s="27"/>
      <c r="J377" s="27">
        <f>25000-25000</f>
        <v>0</v>
      </c>
      <c r="K377" s="27"/>
      <c r="L377" s="27"/>
      <c r="M377" s="26">
        <f t="shared" si="91"/>
        <v>31456</v>
      </c>
      <c r="N377" s="58"/>
    </row>
    <row r="378" spans="1:14" s="3" customFormat="1" ht="25.5">
      <c r="A378" s="9" t="s">
        <v>159</v>
      </c>
      <c r="B378" s="65" t="s">
        <v>160</v>
      </c>
      <c r="C378" s="27">
        <f>C379</f>
        <v>85149</v>
      </c>
      <c r="D378" s="27">
        <f>D379</f>
        <v>0</v>
      </c>
      <c r="E378" s="27">
        <f>E379</f>
        <v>0</v>
      </c>
      <c r="F378" s="27"/>
      <c r="G378" s="27"/>
      <c r="H378" s="27"/>
      <c r="I378" s="27"/>
      <c r="J378" s="27"/>
      <c r="K378" s="27"/>
      <c r="L378" s="27"/>
      <c r="M378" s="26">
        <f t="shared" si="91"/>
        <v>85149</v>
      </c>
      <c r="N378" s="58"/>
    </row>
    <row r="379" spans="1:14" s="3" customFormat="1" ht="12.75">
      <c r="A379" s="9" t="s">
        <v>60</v>
      </c>
      <c r="B379" s="4" t="s">
        <v>98</v>
      </c>
      <c r="C379" s="27">
        <f>C380+C381</f>
        <v>85149</v>
      </c>
      <c r="D379" s="27"/>
      <c r="E379" s="27"/>
      <c r="F379" s="27"/>
      <c r="G379" s="27"/>
      <c r="H379" s="27"/>
      <c r="I379" s="27"/>
      <c r="J379" s="27"/>
      <c r="K379" s="27"/>
      <c r="L379" s="27"/>
      <c r="M379" s="26">
        <f t="shared" si="91"/>
        <v>85149</v>
      </c>
      <c r="N379" s="58"/>
    </row>
    <row r="380" spans="1:14" s="3" customFormat="1" ht="38.25" hidden="1">
      <c r="A380" s="9"/>
      <c r="B380" s="4" t="s">
        <v>342</v>
      </c>
      <c r="C380" s="27">
        <f>75570+3105</f>
        <v>78675</v>
      </c>
      <c r="D380" s="27"/>
      <c r="E380" s="27"/>
      <c r="F380" s="27"/>
      <c r="G380" s="27"/>
      <c r="H380" s="27"/>
      <c r="I380" s="27"/>
      <c r="J380" s="27"/>
      <c r="K380" s="27"/>
      <c r="L380" s="27"/>
      <c r="M380" s="26">
        <f t="shared" si="91"/>
        <v>78675</v>
      </c>
      <c r="N380" s="58"/>
    </row>
    <row r="381" spans="1:14" s="3" customFormat="1" ht="12.75" hidden="1">
      <c r="A381" s="9"/>
      <c r="B381" s="4" t="s">
        <v>293</v>
      </c>
      <c r="C381" s="27">
        <v>6474</v>
      </c>
      <c r="D381" s="27"/>
      <c r="E381" s="27"/>
      <c r="F381" s="27"/>
      <c r="G381" s="27"/>
      <c r="H381" s="27"/>
      <c r="I381" s="27"/>
      <c r="J381" s="27"/>
      <c r="K381" s="27"/>
      <c r="L381" s="27"/>
      <c r="M381" s="26">
        <f t="shared" si="91"/>
        <v>6474</v>
      </c>
      <c r="N381" s="58"/>
    </row>
    <row r="382" spans="1:42" s="19" customFormat="1" ht="37.5" customHeight="1">
      <c r="A382" s="21" t="s">
        <v>316</v>
      </c>
      <c r="B382" s="20" t="s">
        <v>281</v>
      </c>
      <c r="C382" s="32">
        <f>C383+C385+C387+C389</f>
        <v>3217560</v>
      </c>
      <c r="D382" s="32">
        <f aca="true" t="shared" si="95" ref="D382:L382">D383+D385+D387+D389</f>
        <v>1886161</v>
      </c>
      <c r="E382" s="32">
        <f t="shared" si="95"/>
        <v>264481</v>
      </c>
      <c r="F382" s="32">
        <f>G382+J382</f>
        <v>65961</v>
      </c>
      <c r="G382" s="32">
        <f>G383+G385+G387+G389</f>
        <v>65961</v>
      </c>
      <c r="H382" s="32">
        <f t="shared" si="95"/>
        <v>0</v>
      </c>
      <c r="I382" s="32">
        <f t="shared" si="95"/>
        <v>0</v>
      </c>
      <c r="J382" s="32">
        <f t="shared" si="95"/>
        <v>0</v>
      </c>
      <c r="K382" s="32">
        <f t="shared" si="95"/>
        <v>0</v>
      </c>
      <c r="L382" s="32">
        <f t="shared" si="95"/>
        <v>0</v>
      </c>
      <c r="M382" s="32">
        <f t="shared" si="91"/>
        <v>3283521</v>
      </c>
      <c r="N382" s="58"/>
      <c r="O382" s="22"/>
      <c r="P382" s="22"/>
      <c r="Q382" s="22"/>
      <c r="R382" s="22"/>
      <c r="S382" s="22"/>
      <c r="T382" s="22"/>
      <c r="U382" s="22"/>
      <c r="V382" s="22"/>
      <c r="W382" s="22"/>
      <c r="X382" s="22"/>
      <c r="Y382" s="22"/>
      <c r="Z382" s="22"/>
      <c r="AA382" s="22"/>
      <c r="AB382" s="22"/>
      <c r="AC382" s="22"/>
      <c r="AD382" s="22"/>
      <c r="AE382" s="22"/>
      <c r="AF382" s="22"/>
      <c r="AG382" s="22"/>
      <c r="AH382" s="22"/>
      <c r="AI382" s="22"/>
      <c r="AJ382" s="22"/>
      <c r="AK382" s="22"/>
      <c r="AL382" s="22"/>
      <c r="AM382" s="22"/>
      <c r="AN382" s="22"/>
      <c r="AO382" s="22"/>
      <c r="AP382" s="22"/>
    </row>
    <row r="383" spans="1:42" s="3" customFormat="1" ht="12.75">
      <c r="A383" s="36" t="s">
        <v>150</v>
      </c>
      <c r="B383" s="12" t="s">
        <v>151</v>
      </c>
      <c r="C383" s="28">
        <f>C384</f>
        <v>2998643</v>
      </c>
      <c r="D383" s="28">
        <f>D384</f>
        <v>1886161</v>
      </c>
      <c r="E383" s="28">
        <f>E384</f>
        <v>197765</v>
      </c>
      <c r="F383" s="28">
        <f>G383+J383</f>
        <v>0</v>
      </c>
      <c r="G383" s="28">
        <f aca="true" t="shared" si="96" ref="G383:L383">G384</f>
        <v>0</v>
      </c>
      <c r="H383" s="28">
        <f t="shared" si="96"/>
        <v>0</v>
      </c>
      <c r="I383" s="28">
        <f t="shared" si="96"/>
        <v>0</v>
      </c>
      <c r="J383" s="28">
        <f t="shared" si="96"/>
        <v>0</v>
      </c>
      <c r="K383" s="28">
        <f t="shared" si="96"/>
        <v>0</v>
      </c>
      <c r="L383" s="28">
        <f t="shared" si="96"/>
        <v>0</v>
      </c>
      <c r="M383" s="28">
        <f t="shared" si="91"/>
        <v>2998643</v>
      </c>
      <c r="N383" s="58"/>
      <c r="O383" s="13"/>
      <c r="P383" s="13"/>
      <c r="Q383" s="13"/>
      <c r="R383" s="13"/>
      <c r="S383" s="13"/>
      <c r="T383" s="13"/>
      <c r="U383" s="13"/>
      <c r="V383" s="13"/>
      <c r="W383" s="13"/>
      <c r="X383" s="13"/>
      <c r="Y383" s="13"/>
      <c r="Z383" s="13"/>
      <c r="AA383" s="13"/>
      <c r="AB383" s="13"/>
      <c r="AC383" s="13"/>
      <c r="AD383" s="13"/>
      <c r="AE383" s="13"/>
      <c r="AF383" s="13"/>
      <c r="AG383" s="13"/>
      <c r="AH383" s="13"/>
      <c r="AI383" s="13"/>
      <c r="AJ383" s="13"/>
      <c r="AK383" s="13"/>
      <c r="AL383" s="13"/>
      <c r="AM383" s="13"/>
      <c r="AN383" s="13"/>
      <c r="AO383" s="13"/>
      <c r="AP383" s="13"/>
    </row>
    <row r="384" spans="1:42" s="5" customFormat="1" ht="12.75">
      <c r="A384" s="17" t="s">
        <v>21</v>
      </c>
      <c r="B384" s="2" t="s">
        <v>22</v>
      </c>
      <c r="C384" s="28">
        <f>2706800-5700+30860+266683</f>
        <v>2998643</v>
      </c>
      <c r="D384" s="28">
        <f>1687370+198791</f>
        <v>1886161</v>
      </c>
      <c r="E384" s="28">
        <v>197765</v>
      </c>
      <c r="F384" s="28">
        <f>G384+J384</f>
        <v>0</v>
      </c>
      <c r="G384" s="28"/>
      <c r="H384" s="28"/>
      <c r="I384" s="28"/>
      <c r="J384" s="28">
        <f>28515-28515</f>
        <v>0</v>
      </c>
      <c r="K384" s="28">
        <f>J384</f>
        <v>0</v>
      </c>
      <c r="L384" s="28">
        <f>K384</f>
        <v>0</v>
      </c>
      <c r="M384" s="28">
        <f t="shared" si="91"/>
        <v>2998643</v>
      </c>
      <c r="N384" s="58"/>
      <c r="O384" s="11"/>
      <c r="P384" s="11"/>
      <c r="Q384" s="11"/>
      <c r="R384" s="11"/>
      <c r="S384" s="11"/>
      <c r="T384" s="11"/>
      <c r="U384" s="11"/>
      <c r="V384" s="11"/>
      <c r="W384" s="11"/>
      <c r="X384" s="11"/>
      <c r="Y384" s="11"/>
      <c r="Z384" s="11"/>
      <c r="AA384" s="11"/>
      <c r="AB384" s="11"/>
      <c r="AC384" s="11"/>
      <c r="AD384" s="11"/>
      <c r="AE384" s="11"/>
      <c r="AF384" s="11"/>
      <c r="AG384" s="11"/>
      <c r="AH384" s="11"/>
      <c r="AI384" s="11"/>
      <c r="AJ384" s="11"/>
      <c r="AK384" s="11"/>
      <c r="AL384" s="11"/>
      <c r="AM384" s="11"/>
      <c r="AN384" s="11"/>
      <c r="AO384" s="11"/>
      <c r="AP384" s="11"/>
    </row>
    <row r="385" spans="1:14" s="3" customFormat="1" ht="12.75">
      <c r="A385" s="9" t="s">
        <v>162</v>
      </c>
      <c r="B385" s="4" t="s">
        <v>164</v>
      </c>
      <c r="C385" s="27">
        <f>C386</f>
        <v>210231</v>
      </c>
      <c r="D385" s="27">
        <f aca="true" t="shared" si="97" ref="D385:L385">D386</f>
        <v>0</v>
      </c>
      <c r="E385" s="27">
        <f t="shared" si="97"/>
        <v>66716</v>
      </c>
      <c r="F385" s="27">
        <f t="shared" si="97"/>
        <v>6258</v>
      </c>
      <c r="G385" s="27">
        <f t="shared" si="97"/>
        <v>6258</v>
      </c>
      <c r="H385" s="27">
        <f t="shared" si="97"/>
        <v>0</v>
      </c>
      <c r="I385" s="27">
        <f t="shared" si="97"/>
        <v>0</v>
      </c>
      <c r="J385" s="27">
        <f t="shared" si="97"/>
        <v>0</v>
      </c>
      <c r="K385" s="27">
        <f t="shared" si="97"/>
        <v>0</v>
      </c>
      <c r="L385" s="27">
        <f t="shared" si="97"/>
        <v>0</v>
      </c>
      <c r="M385" s="28">
        <f t="shared" si="91"/>
        <v>216489</v>
      </c>
      <c r="N385" s="58"/>
    </row>
    <row r="386" spans="1:14" s="3" customFormat="1" ht="12.75">
      <c r="A386" s="9" t="s">
        <v>239</v>
      </c>
      <c r="B386" s="4" t="s">
        <v>246</v>
      </c>
      <c r="C386" s="27">
        <f>210000+231</f>
        <v>210231</v>
      </c>
      <c r="D386" s="27"/>
      <c r="E386" s="27">
        <v>66716</v>
      </c>
      <c r="F386" s="27">
        <f>G386+J386</f>
        <v>6258</v>
      </c>
      <c r="G386" s="27">
        <v>6258</v>
      </c>
      <c r="H386" s="27"/>
      <c r="I386" s="27"/>
      <c r="J386" s="27"/>
      <c r="K386" s="27"/>
      <c r="L386" s="27"/>
      <c r="M386" s="28">
        <f t="shared" si="91"/>
        <v>216489</v>
      </c>
      <c r="N386" s="58"/>
    </row>
    <row r="387" spans="1:14" s="3" customFormat="1" ht="13.5" customHeight="1">
      <c r="A387" s="9" t="s">
        <v>157</v>
      </c>
      <c r="B387" s="4" t="s">
        <v>161</v>
      </c>
      <c r="C387" s="27">
        <f>C388</f>
        <v>0</v>
      </c>
      <c r="D387" s="27">
        <f aca="true" t="shared" si="98" ref="D387:L387">D388</f>
        <v>0</v>
      </c>
      <c r="E387" s="27">
        <f t="shared" si="98"/>
        <v>0</v>
      </c>
      <c r="F387" s="27">
        <f t="shared" si="98"/>
        <v>59703</v>
      </c>
      <c r="G387" s="27">
        <f t="shared" si="98"/>
        <v>59703</v>
      </c>
      <c r="H387" s="27">
        <f t="shared" si="98"/>
        <v>0</v>
      </c>
      <c r="I387" s="27">
        <f t="shared" si="98"/>
        <v>0</v>
      </c>
      <c r="J387" s="27">
        <f t="shared" si="98"/>
        <v>0</v>
      </c>
      <c r="K387" s="27">
        <f t="shared" si="98"/>
        <v>0</v>
      </c>
      <c r="L387" s="27">
        <f t="shared" si="98"/>
        <v>0</v>
      </c>
      <c r="M387" s="28">
        <f t="shared" si="91"/>
        <v>59703</v>
      </c>
      <c r="N387" s="58"/>
    </row>
    <row r="388" spans="1:14" s="3" customFormat="1" ht="76.5" customHeight="1">
      <c r="A388" s="9" t="s">
        <v>59</v>
      </c>
      <c r="B388" s="84" t="s">
        <v>249</v>
      </c>
      <c r="C388" s="27"/>
      <c r="D388" s="27"/>
      <c r="E388" s="27"/>
      <c r="F388" s="27">
        <f>G388+J388</f>
        <v>59703</v>
      </c>
      <c r="G388" s="27">
        <f>43203+16500</f>
        <v>59703</v>
      </c>
      <c r="H388" s="27"/>
      <c r="I388" s="27"/>
      <c r="J388" s="27"/>
      <c r="K388" s="27"/>
      <c r="L388" s="27"/>
      <c r="M388" s="28">
        <f t="shared" si="91"/>
        <v>59703</v>
      </c>
      <c r="N388" s="58"/>
    </row>
    <row r="389" spans="1:14" s="3" customFormat="1" ht="25.5">
      <c r="A389" s="9" t="s">
        <v>159</v>
      </c>
      <c r="B389" s="65" t="s">
        <v>160</v>
      </c>
      <c r="C389" s="27">
        <f>C390</f>
        <v>8686</v>
      </c>
      <c r="D389" s="27">
        <f aca="true" t="shared" si="99" ref="D389:L389">D390</f>
        <v>0</v>
      </c>
      <c r="E389" s="27">
        <f t="shared" si="99"/>
        <v>0</v>
      </c>
      <c r="F389" s="27">
        <f t="shared" si="99"/>
        <v>0</v>
      </c>
      <c r="G389" s="27">
        <f t="shared" si="99"/>
        <v>0</v>
      </c>
      <c r="H389" s="27">
        <f t="shared" si="99"/>
        <v>0</v>
      </c>
      <c r="I389" s="27">
        <f t="shared" si="99"/>
        <v>0</v>
      </c>
      <c r="J389" s="27">
        <f t="shared" si="99"/>
        <v>0</v>
      </c>
      <c r="K389" s="27">
        <f t="shared" si="99"/>
        <v>0</v>
      </c>
      <c r="L389" s="27">
        <f t="shared" si="99"/>
        <v>0</v>
      </c>
      <c r="M389" s="28">
        <f t="shared" si="91"/>
        <v>8686</v>
      </c>
      <c r="N389" s="58"/>
    </row>
    <row r="390" spans="1:14" s="3" customFormat="1" ht="12.75">
      <c r="A390" s="9" t="s">
        <v>60</v>
      </c>
      <c r="B390" s="4" t="s">
        <v>98</v>
      </c>
      <c r="C390" s="27">
        <f>C391+C392</f>
        <v>8686</v>
      </c>
      <c r="D390" s="27"/>
      <c r="E390" s="27"/>
      <c r="F390" s="27"/>
      <c r="G390" s="27"/>
      <c r="H390" s="27"/>
      <c r="I390" s="27"/>
      <c r="J390" s="27"/>
      <c r="K390" s="27"/>
      <c r="L390" s="27"/>
      <c r="M390" s="28">
        <f t="shared" si="91"/>
        <v>8686</v>
      </c>
      <c r="N390" s="58"/>
    </row>
    <row r="391" spans="1:14" s="3" customFormat="1" ht="38.25" hidden="1">
      <c r="A391" s="9"/>
      <c r="B391" s="4" t="s">
        <v>342</v>
      </c>
      <c r="C391" s="27">
        <v>2212</v>
      </c>
      <c r="D391" s="27"/>
      <c r="E391" s="27"/>
      <c r="F391" s="27"/>
      <c r="G391" s="27"/>
      <c r="H391" s="27"/>
      <c r="I391" s="27"/>
      <c r="J391" s="27"/>
      <c r="K391" s="27"/>
      <c r="L391" s="27"/>
      <c r="M391" s="28">
        <f t="shared" si="91"/>
        <v>2212</v>
      </c>
      <c r="N391" s="58"/>
    </row>
    <row r="392" spans="1:14" s="3" customFormat="1" ht="12.75" hidden="1">
      <c r="A392" s="9"/>
      <c r="B392" s="4" t="s">
        <v>293</v>
      </c>
      <c r="C392" s="27">
        <v>6474</v>
      </c>
      <c r="D392" s="27"/>
      <c r="E392" s="27"/>
      <c r="F392" s="27"/>
      <c r="G392" s="27"/>
      <c r="H392" s="27"/>
      <c r="I392" s="27"/>
      <c r="J392" s="27"/>
      <c r="K392" s="27"/>
      <c r="L392" s="27"/>
      <c r="M392" s="28">
        <f t="shared" si="91"/>
        <v>6474</v>
      </c>
      <c r="N392" s="58"/>
    </row>
    <row r="393" spans="1:14" s="59" customFormat="1" ht="38.25">
      <c r="A393" s="112" t="s">
        <v>317</v>
      </c>
      <c r="B393" s="20" t="s">
        <v>282</v>
      </c>
      <c r="C393" s="57">
        <f>C394+C396+C400+C402</f>
        <v>3632699</v>
      </c>
      <c r="D393" s="57">
        <f aca="true" t="shared" si="100" ref="D393:L393">D394+D396+D400+D402</f>
        <v>1703515</v>
      </c>
      <c r="E393" s="57">
        <f t="shared" si="100"/>
        <v>570835</v>
      </c>
      <c r="F393" s="57">
        <f aca="true" t="shared" si="101" ref="F393:F399">G393+J393</f>
        <v>6968137</v>
      </c>
      <c r="G393" s="57">
        <f>G394+G396+G400+G402</f>
        <v>180907</v>
      </c>
      <c r="H393" s="57">
        <f t="shared" si="100"/>
        <v>0</v>
      </c>
      <c r="I393" s="57">
        <f t="shared" si="100"/>
        <v>0</v>
      </c>
      <c r="J393" s="57">
        <f>J394+J396+J400+J402+J398</f>
        <v>6787230</v>
      </c>
      <c r="K393" s="57">
        <f>K394+K396+K400+K402+K398</f>
        <v>6787230</v>
      </c>
      <c r="L393" s="57">
        <f t="shared" si="100"/>
        <v>74763</v>
      </c>
      <c r="M393" s="57">
        <f t="shared" si="91"/>
        <v>10600836</v>
      </c>
      <c r="N393" s="58"/>
    </row>
    <row r="394" spans="1:14" s="62" customFormat="1" ht="12.75">
      <c r="A394" s="44" t="s">
        <v>150</v>
      </c>
      <c r="B394" s="45" t="s">
        <v>151</v>
      </c>
      <c r="C394" s="46">
        <f>C395</f>
        <v>3007635</v>
      </c>
      <c r="D394" s="46">
        <f>D395</f>
        <v>1703515</v>
      </c>
      <c r="E394" s="46">
        <f>E395</f>
        <v>395385</v>
      </c>
      <c r="F394" s="46">
        <f t="shared" si="101"/>
        <v>50339</v>
      </c>
      <c r="G394" s="46">
        <f aca="true" t="shared" si="102" ref="G394:L394">G395</f>
        <v>14576</v>
      </c>
      <c r="H394" s="46">
        <f t="shared" si="102"/>
        <v>0</v>
      </c>
      <c r="I394" s="46">
        <f t="shared" si="102"/>
        <v>0</v>
      </c>
      <c r="J394" s="46">
        <f t="shared" si="102"/>
        <v>35763</v>
      </c>
      <c r="K394" s="46">
        <f t="shared" si="102"/>
        <v>35763</v>
      </c>
      <c r="L394" s="46">
        <f t="shared" si="102"/>
        <v>35763</v>
      </c>
      <c r="M394" s="46">
        <f t="shared" si="91"/>
        <v>3057974</v>
      </c>
      <c r="N394" s="58"/>
    </row>
    <row r="395" spans="1:14" s="62" customFormat="1" ht="12.75">
      <c r="A395" s="78" t="s">
        <v>21</v>
      </c>
      <c r="B395" s="45" t="s">
        <v>22</v>
      </c>
      <c r="C395" s="46">
        <f>2808880+39016+4911+133703+21125</f>
        <v>3007635</v>
      </c>
      <c r="D395" s="46">
        <f>1605420+98095</f>
        <v>1703515</v>
      </c>
      <c r="E395" s="46">
        <v>395385</v>
      </c>
      <c r="F395" s="46">
        <f t="shared" si="101"/>
        <v>50339</v>
      </c>
      <c r="G395" s="46">
        <v>14576</v>
      </c>
      <c r="H395" s="46"/>
      <c r="I395" s="46"/>
      <c r="J395" s="46">
        <f>28515+7248</f>
        <v>35763</v>
      </c>
      <c r="K395" s="46">
        <f>J395</f>
        <v>35763</v>
      </c>
      <c r="L395" s="46">
        <f>K395</f>
        <v>35763</v>
      </c>
      <c r="M395" s="46">
        <f t="shared" si="91"/>
        <v>3057974</v>
      </c>
      <c r="N395" s="58"/>
    </row>
    <row r="396" spans="1:14" s="3" customFormat="1" ht="12.75">
      <c r="A396" s="9" t="s">
        <v>162</v>
      </c>
      <c r="B396" s="4" t="s">
        <v>164</v>
      </c>
      <c r="C396" s="27">
        <f>C397</f>
        <v>599012</v>
      </c>
      <c r="D396" s="27">
        <f aca="true" t="shared" si="103" ref="D396:L396">D397</f>
        <v>0</v>
      </c>
      <c r="E396" s="27">
        <f t="shared" si="103"/>
        <v>175450</v>
      </c>
      <c r="F396" s="46">
        <f t="shared" si="101"/>
        <v>168018</v>
      </c>
      <c r="G396" s="27">
        <f t="shared" si="103"/>
        <v>129018</v>
      </c>
      <c r="H396" s="27">
        <f t="shared" si="103"/>
        <v>0</v>
      </c>
      <c r="I396" s="27">
        <f t="shared" si="103"/>
        <v>0</v>
      </c>
      <c r="J396" s="27">
        <f t="shared" si="103"/>
        <v>39000</v>
      </c>
      <c r="K396" s="27">
        <f t="shared" si="103"/>
        <v>39000</v>
      </c>
      <c r="L396" s="27">
        <f t="shared" si="103"/>
        <v>39000</v>
      </c>
      <c r="M396" s="46">
        <f t="shared" si="91"/>
        <v>767030</v>
      </c>
      <c r="N396" s="58"/>
    </row>
    <row r="397" spans="1:14" s="3" customFormat="1" ht="12.75">
      <c r="A397" s="9" t="s">
        <v>239</v>
      </c>
      <c r="B397" s="4" t="s">
        <v>246</v>
      </c>
      <c r="C397" s="27">
        <f>441000+158012</f>
        <v>599012</v>
      </c>
      <c r="D397" s="27"/>
      <c r="E397" s="27">
        <v>175450</v>
      </c>
      <c r="F397" s="46">
        <f t="shared" si="101"/>
        <v>168018</v>
      </c>
      <c r="G397" s="27">
        <v>129018</v>
      </c>
      <c r="H397" s="27"/>
      <c r="I397" s="27"/>
      <c r="J397" s="27">
        <v>39000</v>
      </c>
      <c r="K397" s="27">
        <v>39000</v>
      </c>
      <c r="L397" s="27">
        <v>39000</v>
      </c>
      <c r="M397" s="46">
        <f t="shared" si="91"/>
        <v>767030</v>
      </c>
      <c r="N397" s="58"/>
    </row>
    <row r="398" spans="1:14" s="3" customFormat="1" ht="12.75">
      <c r="A398" s="41" t="s">
        <v>154</v>
      </c>
      <c r="B398" s="65" t="s">
        <v>55</v>
      </c>
      <c r="C398" s="39"/>
      <c r="D398" s="39"/>
      <c r="E398" s="39"/>
      <c r="F398" s="39">
        <f t="shared" si="101"/>
        <v>6712467</v>
      </c>
      <c r="G398" s="39"/>
      <c r="H398" s="39"/>
      <c r="I398" s="39"/>
      <c r="J398" s="39">
        <f>J399</f>
        <v>6712467</v>
      </c>
      <c r="K398" s="39">
        <f>K399</f>
        <v>6712467</v>
      </c>
      <c r="L398" s="39"/>
      <c r="M398" s="60">
        <f t="shared" si="91"/>
        <v>6712467</v>
      </c>
      <c r="N398" s="58"/>
    </row>
    <row r="399" spans="1:14" s="3" customFormat="1" ht="12.75">
      <c r="A399" s="41" t="s">
        <v>121</v>
      </c>
      <c r="B399" s="63" t="s">
        <v>122</v>
      </c>
      <c r="C399" s="39"/>
      <c r="D399" s="39"/>
      <c r="E399" s="39"/>
      <c r="F399" s="39">
        <f t="shared" si="101"/>
        <v>6712467</v>
      </c>
      <c r="G399" s="39"/>
      <c r="H399" s="39"/>
      <c r="I399" s="39"/>
      <c r="J399" s="39">
        <f>K399</f>
        <v>6712467</v>
      </c>
      <c r="K399" s="39">
        <v>6712467</v>
      </c>
      <c r="L399" s="39"/>
      <c r="M399" s="60">
        <f t="shared" si="91"/>
        <v>6712467</v>
      </c>
      <c r="N399" s="58"/>
    </row>
    <row r="400" spans="1:14" s="3" customFormat="1" ht="12.75">
      <c r="A400" s="9" t="s">
        <v>157</v>
      </c>
      <c r="B400" s="4" t="s">
        <v>161</v>
      </c>
      <c r="C400" s="27">
        <f>C401</f>
        <v>0</v>
      </c>
      <c r="D400" s="27">
        <f aca="true" t="shared" si="104" ref="D400:L400">D401</f>
        <v>0</v>
      </c>
      <c r="E400" s="27">
        <f t="shared" si="104"/>
        <v>0</v>
      </c>
      <c r="F400" s="27">
        <f t="shared" si="104"/>
        <v>37313</v>
      </c>
      <c r="G400" s="27">
        <f t="shared" si="104"/>
        <v>37313</v>
      </c>
      <c r="H400" s="27">
        <f t="shared" si="104"/>
        <v>0</v>
      </c>
      <c r="I400" s="27">
        <f t="shared" si="104"/>
        <v>0</v>
      </c>
      <c r="J400" s="27">
        <f t="shared" si="104"/>
        <v>0</v>
      </c>
      <c r="K400" s="27">
        <f t="shared" si="104"/>
        <v>0</v>
      </c>
      <c r="L400" s="27">
        <f t="shared" si="104"/>
        <v>0</v>
      </c>
      <c r="M400" s="46">
        <f t="shared" si="91"/>
        <v>37313</v>
      </c>
      <c r="N400" s="58"/>
    </row>
    <row r="401" spans="1:14" s="3" customFormat="1" ht="79.5" customHeight="1">
      <c r="A401" s="9" t="s">
        <v>59</v>
      </c>
      <c r="B401" s="84" t="s">
        <v>249</v>
      </c>
      <c r="C401" s="27"/>
      <c r="D401" s="27"/>
      <c r="E401" s="27"/>
      <c r="F401" s="27">
        <f>G401+J401</f>
        <v>37313</v>
      </c>
      <c r="G401" s="27">
        <f>17813+19500</f>
        <v>37313</v>
      </c>
      <c r="H401" s="27"/>
      <c r="I401" s="27"/>
      <c r="J401" s="27">
        <f>110000-110000</f>
        <v>0</v>
      </c>
      <c r="K401" s="27"/>
      <c r="L401" s="27"/>
      <c r="M401" s="46">
        <f t="shared" si="91"/>
        <v>37313</v>
      </c>
      <c r="N401" s="58"/>
    </row>
    <row r="402" spans="1:14" s="3" customFormat="1" ht="27.75" customHeight="1">
      <c r="A402" s="9" t="s">
        <v>159</v>
      </c>
      <c r="B402" s="65" t="s">
        <v>160</v>
      </c>
      <c r="C402" s="27">
        <f>C403</f>
        <v>26052</v>
      </c>
      <c r="D402" s="27">
        <f aca="true" t="shared" si="105" ref="D402:L402">D403</f>
        <v>0</v>
      </c>
      <c r="E402" s="27">
        <f t="shared" si="105"/>
        <v>0</v>
      </c>
      <c r="F402" s="27">
        <f t="shared" si="105"/>
        <v>0</v>
      </c>
      <c r="G402" s="27">
        <f t="shared" si="105"/>
        <v>0</v>
      </c>
      <c r="H402" s="27">
        <f t="shared" si="105"/>
        <v>0</v>
      </c>
      <c r="I402" s="27">
        <f t="shared" si="105"/>
        <v>0</v>
      </c>
      <c r="J402" s="27">
        <f t="shared" si="105"/>
        <v>0</v>
      </c>
      <c r="K402" s="27">
        <f t="shared" si="105"/>
        <v>0</v>
      </c>
      <c r="L402" s="27">
        <f t="shared" si="105"/>
        <v>0</v>
      </c>
      <c r="M402" s="46">
        <f aca="true" t="shared" si="106" ref="M402:M443">C402+F402</f>
        <v>26052</v>
      </c>
      <c r="N402" s="58"/>
    </row>
    <row r="403" spans="1:14" s="3" customFormat="1" ht="12.75">
      <c r="A403" s="9" t="s">
        <v>60</v>
      </c>
      <c r="B403" s="4" t="s">
        <v>98</v>
      </c>
      <c r="C403" s="27">
        <f>C404+C405</f>
        <v>26052</v>
      </c>
      <c r="D403" s="27"/>
      <c r="E403" s="27"/>
      <c r="F403" s="27"/>
      <c r="G403" s="27"/>
      <c r="H403" s="27"/>
      <c r="I403" s="27"/>
      <c r="J403" s="27"/>
      <c r="K403" s="27"/>
      <c r="L403" s="27"/>
      <c r="M403" s="46">
        <f t="shared" si="106"/>
        <v>26052</v>
      </c>
      <c r="N403" s="58"/>
    </row>
    <row r="404" spans="1:14" s="3" customFormat="1" ht="38.25" hidden="1">
      <c r="A404" s="9"/>
      <c r="B404" s="4" t="s">
        <v>342</v>
      </c>
      <c r="C404" s="27">
        <f>15425+801</f>
        <v>16226</v>
      </c>
      <c r="D404" s="27"/>
      <c r="E404" s="27"/>
      <c r="F404" s="27"/>
      <c r="G404" s="27"/>
      <c r="H404" s="27"/>
      <c r="I404" s="27"/>
      <c r="J404" s="27"/>
      <c r="K404" s="27"/>
      <c r="L404" s="27"/>
      <c r="M404" s="46">
        <f t="shared" si="106"/>
        <v>16226</v>
      </c>
      <c r="N404" s="58"/>
    </row>
    <row r="405" spans="1:14" s="3" customFormat="1" ht="12.75" hidden="1">
      <c r="A405" s="9"/>
      <c r="B405" s="4" t="s">
        <v>293</v>
      </c>
      <c r="C405" s="27">
        <v>9826</v>
      </c>
      <c r="D405" s="27"/>
      <c r="E405" s="27"/>
      <c r="F405" s="27"/>
      <c r="G405" s="27"/>
      <c r="H405" s="27"/>
      <c r="I405" s="27"/>
      <c r="J405" s="27"/>
      <c r="K405" s="27"/>
      <c r="L405" s="27"/>
      <c r="M405" s="46">
        <f t="shared" si="106"/>
        <v>9826</v>
      </c>
      <c r="N405" s="58"/>
    </row>
    <row r="406" spans="1:14" s="19" customFormat="1" ht="41.25" customHeight="1">
      <c r="A406" s="18" t="s">
        <v>318</v>
      </c>
      <c r="B406" s="20" t="s">
        <v>283</v>
      </c>
      <c r="C406" s="31">
        <f>C407+C409+C413+C415</f>
        <v>3562428</v>
      </c>
      <c r="D406" s="31">
        <f>D407+D409+D413+D415</f>
        <v>1824925</v>
      </c>
      <c r="E406" s="31">
        <f>E407+E409+E413+E415</f>
        <v>520202</v>
      </c>
      <c r="F406" s="31">
        <f>G406+J406</f>
        <v>8461487</v>
      </c>
      <c r="G406" s="31">
        <f>G407+G409+G413+G415</f>
        <v>14729</v>
      </c>
      <c r="H406" s="31">
        <f>H407+H409+H413+H415</f>
        <v>0</v>
      </c>
      <c r="I406" s="31">
        <f>I407+I409+I413+I415</f>
        <v>0</v>
      </c>
      <c r="J406" s="31">
        <f>J407+J409+J413+J415+J411</f>
        <v>8446758</v>
      </c>
      <c r="K406" s="31">
        <f>K407+K409+K413+K415+K411</f>
        <v>8446758</v>
      </c>
      <c r="L406" s="31">
        <f>L407+L409+L413+L415</f>
        <v>22000</v>
      </c>
      <c r="M406" s="31">
        <f>C406+F406</f>
        <v>12023915</v>
      </c>
      <c r="N406" s="58"/>
    </row>
    <row r="407" spans="1:14" s="3" customFormat="1" ht="12.75">
      <c r="A407" s="9" t="s">
        <v>150</v>
      </c>
      <c r="B407" s="4" t="s">
        <v>151</v>
      </c>
      <c r="C407" s="27">
        <f>C408</f>
        <v>3129873</v>
      </c>
      <c r="D407" s="27">
        <f>D408</f>
        <v>1824925</v>
      </c>
      <c r="E407" s="27">
        <f>E408</f>
        <v>340120</v>
      </c>
      <c r="F407" s="27">
        <f>G407+J407</f>
        <v>9000</v>
      </c>
      <c r="G407" s="27"/>
      <c r="H407" s="27"/>
      <c r="I407" s="27"/>
      <c r="J407" s="27">
        <f>J408</f>
        <v>9000</v>
      </c>
      <c r="K407" s="27">
        <f>K408</f>
        <v>9000</v>
      </c>
      <c r="L407" s="27">
        <f>L408</f>
        <v>9000</v>
      </c>
      <c r="M407" s="27">
        <f t="shared" si="106"/>
        <v>3138873</v>
      </c>
      <c r="N407" s="58"/>
    </row>
    <row r="408" spans="1:14" s="1" customFormat="1" ht="15.75" customHeight="1">
      <c r="A408" s="8" t="s">
        <v>21</v>
      </c>
      <c r="B408" s="10" t="s">
        <v>22</v>
      </c>
      <c r="C408" s="27">
        <f>2819490+12000+64990+233393+1500-1500</f>
        <v>3129873</v>
      </c>
      <c r="D408" s="27">
        <f>1653690+171235</f>
        <v>1824925</v>
      </c>
      <c r="E408" s="27">
        <v>340120</v>
      </c>
      <c r="F408" s="27">
        <f>G408+J408</f>
        <v>9000</v>
      </c>
      <c r="G408" s="27"/>
      <c r="H408" s="27"/>
      <c r="I408" s="27"/>
      <c r="J408" s="27">
        <f>36015-28515+1500</f>
        <v>9000</v>
      </c>
      <c r="K408" s="29">
        <f>J408</f>
        <v>9000</v>
      </c>
      <c r="L408" s="29">
        <f>K408</f>
        <v>9000</v>
      </c>
      <c r="M408" s="27">
        <f t="shared" si="106"/>
        <v>3138873</v>
      </c>
      <c r="N408" s="58"/>
    </row>
    <row r="409" spans="1:14" s="3" customFormat="1" ht="12.75">
      <c r="A409" s="9" t="s">
        <v>162</v>
      </c>
      <c r="B409" s="4" t="s">
        <v>164</v>
      </c>
      <c r="C409" s="27">
        <f>C410</f>
        <v>399713</v>
      </c>
      <c r="D409" s="27">
        <f aca="true" t="shared" si="107" ref="D409:L409">D410</f>
        <v>0</v>
      </c>
      <c r="E409" s="27">
        <f t="shared" si="107"/>
        <v>180082</v>
      </c>
      <c r="F409" s="27">
        <f t="shared" si="107"/>
        <v>21229</v>
      </c>
      <c r="G409" s="27">
        <f t="shared" si="107"/>
        <v>8229</v>
      </c>
      <c r="H409" s="27">
        <f t="shared" si="107"/>
        <v>0</v>
      </c>
      <c r="I409" s="27">
        <f t="shared" si="107"/>
        <v>0</v>
      </c>
      <c r="J409" s="27">
        <f t="shared" si="107"/>
        <v>13000</v>
      </c>
      <c r="K409" s="27">
        <f t="shared" si="107"/>
        <v>13000</v>
      </c>
      <c r="L409" s="27">
        <f t="shared" si="107"/>
        <v>13000</v>
      </c>
      <c r="M409" s="27">
        <f t="shared" si="106"/>
        <v>420942</v>
      </c>
      <c r="N409" s="58"/>
    </row>
    <row r="410" spans="1:14" s="3" customFormat="1" ht="12.75">
      <c r="A410" s="9" t="s">
        <v>239</v>
      </c>
      <c r="B410" s="4" t="s">
        <v>246</v>
      </c>
      <c r="C410" s="27">
        <f>200000+157713+(2000)+(40000)</f>
        <v>399713</v>
      </c>
      <c r="D410" s="27"/>
      <c r="E410" s="27">
        <f>107006+73076</f>
        <v>180082</v>
      </c>
      <c r="F410" s="27">
        <f>G410+J410</f>
        <v>21229</v>
      </c>
      <c r="G410" s="27">
        <v>8229</v>
      </c>
      <c r="H410" s="27"/>
      <c r="I410" s="27"/>
      <c r="J410" s="27">
        <f>(13000)</f>
        <v>13000</v>
      </c>
      <c r="K410" s="27">
        <f>J410</f>
        <v>13000</v>
      </c>
      <c r="L410" s="27">
        <f>K410</f>
        <v>13000</v>
      </c>
      <c r="M410" s="27">
        <f t="shared" si="106"/>
        <v>420942</v>
      </c>
      <c r="N410" s="58"/>
    </row>
    <row r="411" spans="1:14" s="3" customFormat="1" ht="12.75">
      <c r="A411" s="41" t="s">
        <v>154</v>
      </c>
      <c r="B411" s="65" t="s">
        <v>55</v>
      </c>
      <c r="C411" s="39"/>
      <c r="D411" s="39"/>
      <c r="E411" s="39"/>
      <c r="F411" s="39">
        <f>G411+J411</f>
        <v>8424758</v>
      </c>
      <c r="G411" s="39"/>
      <c r="H411" s="39"/>
      <c r="I411" s="39"/>
      <c r="J411" s="39">
        <f>J412</f>
        <v>8424758</v>
      </c>
      <c r="K411" s="39">
        <f>K412</f>
        <v>8424758</v>
      </c>
      <c r="L411" s="39"/>
      <c r="M411" s="60">
        <f t="shared" si="106"/>
        <v>8424758</v>
      </c>
      <c r="N411" s="58"/>
    </row>
    <row r="412" spans="1:14" s="3" customFormat="1" ht="12.75">
      <c r="A412" s="41" t="s">
        <v>121</v>
      </c>
      <c r="B412" s="63" t="s">
        <v>122</v>
      </c>
      <c r="C412" s="39"/>
      <c r="D412" s="39"/>
      <c r="E412" s="39"/>
      <c r="F412" s="39">
        <f>G412+J412</f>
        <v>8424758</v>
      </c>
      <c r="G412" s="39"/>
      <c r="H412" s="39"/>
      <c r="I412" s="39"/>
      <c r="J412" s="39">
        <f>K412</f>
        <v>8424758</v>
      </c>
      <c r="K412" s="39">
        <v>8424758</v>
      </c>
      <c r="L412" s="39"/>
      <c r="M412" s="60">
        <f t="shared" si="106"/>
        <v>8424758</v>
      </c>
      <c r="N412" s="58"/>
    </row>
    <row r="413" spans="1:14" s="3" customFormat="1" ht="15" customHeight="1">
      <c r="A413" s="9" t="s">
        <v>157</v>
      </c>
      <c r="B413" s="4" t="s">
        <v>161</v>
      </c>
      <c r="C413" s="27">
        <f>C414</f>
        <v>0</v>
      </c>
      <c r="D413" s="27">
        <f aca="true" t="shared" si="108" ref="D413:L413">D414</f>
        <v>0</v>
      </c>
      <c r="E413" s="27">
        <f t="shared" si="108"/>
        <v>0</v>
      </c>
      <c r="F413" s="39">
        <f>G413+J413</f>
        <v>6500</v>
      </c>
      <c r="G413" s="27">
        <f t="shared" si="108"/>
        <v>6500</v>
      </c>
      <c r="H413" s="27">
        <f t="shared" si="108"/>
        <v>0</v>
      </c>
      <c r="I413" s="27">
        <f t="shared" si="108"/>
        <v>0</v>
      </c>
      <c r="J413" s="27">
        <f t="shared" si="108"/>
        <v>0</v>
      </c>
      <c r="K413" s="27">
        <f t="shared" si="108"/>
        <v>0</v>
      </c>
      <c r="L413" s="27">
        <f t="shared" si="108"/>
        <v>0</v>
      </c>
      <c r="M413" s="27">
        <f t="shared" si="106"/>
        <v>6500</v>
      </c>
      <c r="N413" s="58"/>
    </row>
    <row r="414" spans="1:14" s="3" customFormat="1" ht="26.25" customHeight="1">
      <c r="A414" s="9" t="s">
        <v>59</v>
      </c>
      <c r="B414" s="4" t="s">
        <v>116</v>
      </c>
      <c r="C414" s="27"/>
      <c r="D414" s="27"/>
      <c r="E414" s="27"/>
      <c r="F414" s="39">
        <f>G414+J414</f>
        <v>6500</v>
      </c>
      <c r="G414" s="27">
        <v>6500</v>
      </c>
      <c r="H414" s="27"/>
      <c r="I414" s="27"/>
      <c r="J414" s="27"/>
      <c r="K414" s="27"/>
      <c r="L414" s="27"/>
      <c r="M414" s="27">
        <f t="shared" si="106"/>
        <v>6500</v>
      </c>
      <c r="N414" s="58"/>
    </row>
    <row r="415" spans="1:14" s="3" customFormat="1" ht="25.5" customHeight="1">
      <c r="A415" s="9" t="s">
        <v>159</v>
      </c>
      <c r="B415" s="65" t="s">
        <v>160</v>
      </c>
      <c r="C415" s="27">
        <f>C416</f>
        <v>32842</v>
      </c>
      <c r="D415" s="27"/>
      <c r="E415" s="27"/>
      <c r="F415" s="27"/>
      <c r="G415" s="27"/>
      <c r="H415" s="27"/>
      <c r="I415" s="27"/>
      <c r="J415" s="27"/>
      <c r="K415" s="27"/>
      <c r="L415" s="27"/>
      <c r="M415" s="27">
        <f t="shared" si="106"/>
        <v>32842</v>
      </c>
      <c r="N415" s="58"/>
    </row>
    <row r="416" spans="1:14" s="3" customFormat="1" ht="12.75">
      <c r="A416" s="9" t="s">
        <v>60</v>
      </c>
      <c r="B416" s="4" t="s">
        <v>98</v>
      </c>
      <c r="C416" s="27">
        <f>C417+C418</f>
        <v>32842</v>
      </c>
      <c r="D416" s="27"/>
      <c r="E416" s="27"/>
      <c r="F416" s="27"/>
      <c r="G416" s="27"/>
      <c r="H416" s="27"/>
      <c r="I416" s="27"/>
      <c r="J416" s="27"/>
      <c r="K416" s="27"/>
      <c r="L416" s="27"/>
      <c r="M416" s="27">
        <f t="shared" si="106"/>
        <v>32842</v>
      </c>
      <c r="N416" s="58"/>
    </row>
    <row r="417" spans="1:14" s="3" customFormat="1" ht="38.25" hidden="1">
      <c r="A417" s="9"/>
      <c r="B417" s="4" t="s">
        <v>342</v>
      </c>
      <c r="C417" s="27">
        <f>25166+1202</f>
        <v>26368</v>
      </c>
      <c r="D417" s="27"/>
      <c r="E417" s="27"/>
      <c r="F417" s="27"/>
      <c r="G417" s="27"/>
      <c r="H417" s="27"/>
      <c r="I417" s="27"/>
      <c r="J417" s="27"/>
      <c r="K417" s="27"/>
      <c r="L417" s="27"/>
      <c r="M417" s="27">
        <f t="shared" si="106"/>
        <v>26368</v>
      </c>
      <c r="N417" s="58"/>
    </row>
    <row r="418" spans="1:14" s="3" customFormat="1" ht="12.75" hidden="1">
      <c r="A418" s="9"/>
      <c r="B418" s="4" t="s">
        <v>293</v>
      </c>
      <c r="C418" s="27">
        <v>6474</v>
      </c>
      <c r="D418" s="27"/>
      <c r="E418" s="27"/>
      <c r="F418" s="27"/>
      <c r="G418" s="27"/>
      <c r="H418" s="27"/>
      <c r="I418" s="27"/>
      <c r="J418" s="27"/>
      <c r="K418" s="27"/>
      <c r="L418" s="27"/>
      <c r="M418" s="27">
        <f t="shared" si="106"/>
        <v>6474</v>
      </c>
      <c r="N418" s="58"/>
    </row>
    <row r="419" spans="1:14" s="19" customFormat="1" ht="38.25">
      <c r="A419" s="18" t="s">
        <v>319</v>
      </c>
      <c r="B419" s="20" t="s">
        <v>286</v>
      </c>
      <c r="C419" s="30">
        <f>C420+C422+C424+C426</f>
        <v>4331187</v>
      </c>
      <c r="D419" s="30">
        <f aca="true" t="shared" si="109" ref="D419:L419">D420+D422+D424+D426</f>
        <v>2024320</v>
      </c>
      <c r="E419" s="30">
        <f t="shared" si="109"/>
        <v>635840</v>
      </c>
      <c r="F419" s="30">
        <f>G419+J419</f>
        <v>509323</v>
      </c>
      <c r="G419" s="30">
        <f>G420+G422+G424+G426</f>
        <v>450808</v>
      </c>
      <c r="H419" s="30">
        <f t="shared" si="109"/>
        <v>0</v>
      </c>
      <c r="I419" s="30">
        <f t="shared" si="109"/>
        <v>0</v>
      </c>
      <c r="J419" s="30">
        <f t="shared" si="109"/>
        <v>58515</v>
      </c>
      <c r="K419" s="30">
        <f t="shared" si="109"/>
        <v>28515</v>
      </c>
      <c r="L419" s="30">
        <f t="shared" si="109"/>
        <v>28515</v>
      </c>
      <c r="M419" s="30">
        <f t="shared" si="106"/>
        <v>4840510</v>
      </c>
      <c r="N419" s="58"/>
    </row>
    <row r="420" spans="1:14" s="3" customFormat="1" ht="12.75">
      <c r="A420" s="9" t="s">
        <v>150</v>
      </c>
      <c r="B420" s="12" t="s">
        <v>151</v>
      </c>
      <c r="C420" s="26">
        <f>C421</f>
        <v>3400035</v>
      </c>
      <c r="D420" s="26">
        <f>D421</f>
        <v>2024320</v>
      </c>
      <c r="E420" s="26">
        <f>E421</f>
        <v>344840</v>
      </c>
      <c r="F420" s="26">
        <f>G420+J420</f>
        <v>165903</v>
      </c>
      <c r="G420" s="26">
        <f aca="true" t="shared" si="110" ref="G420:L420">G421</f>
        <v>137388</v>
      </c>
      <c r="H420" s="26">
        <f t="shared" si="110"/>
        <v>0</v>
      </c>
      <c r="I420" s="26">
        <f t="shared" si="110"/>
        <v>0</v>
      </c>
      <c r="J420" s="26">
        <f t="shared" si="110"/>
        <v>28515</v>
      </c>
      <c r="K420" s="26">
        <f t="shared" si="110"/>
        <v>28515</v>
      </c>
      <c r="L420" s="26">
        <f t="shared" si="110"/>
        <v>28515</v>
      </c>
      <c r="M420" s="26">
        <f t="shared" si="106"/>
        <v>3565938</v>
      </c>
      <c r="N420" s="58"/>
    </row>
    <row r="421" spans="1:14" s="5" customFormat="1" ht="12.75">
      <c r="A421" s="8" t="s">
        <v>21</v>
      </c>
      <c r="B421" s="2" t="s">
        <v>22</v>
      </c>
      <c r="C421" s="24">
        <f>3027800+46312-16460+342383</f>
        <v>3400035</v>
      </c>
      <c r="D421" s="24">
        <f>1787540-16460+253240</f>
        <v>2024320</v>
      </c>
      <c r="E421" s="24">
        <v>344840</v>
      </c>
      <c r="F421" s="26">
        <f>G421+J421</f>
        <v>165903</v>
      </c>
      <c r="G421" s="24">
        <v>137388</v>
      </c>
      <c r="H421" s="24"/>
      <c r="I421" s="24"/>
      <c r="J421" s="24">
        <v>28515</v>
      </c>
      <c r="K421" s="24">
        <f>J421</f>
        <v>28515</v>
      </c>
      <c r="L421" s="24">
        <f>K421</f>
        <v>28515</v>
      </c>
      <c r="M421" s="26">
        <f t="shared" si="106"/>
        <v>3565938</v>
      </c>
      <c r="N421" s="58"/>
    </row>
    <row r="422" spans="1:14" s="3" customFormat="1" ht="12.75">
      <c r="A422" s="9" t="s">
        <v>162</v>
      </c>
      <c r="B422" s="4" t="s">
        <v>164</v>
      </c>
      <c r="C422" s="27">
        <f>C423</f>
        <v>746613</v>
      </c>
      <c r="D422" s="27">
        <f aca="true" t="shared" si="111" ref="D422:L422">D423</f>
        <v>0</v>
      </c>
      <c r="E422" s="27">
        <f t="shared" si="111"/>
        <v>291000</v>
      </c>
      <c r="F422" s="27">
        <f t="shared" si="111"/>
        <v>0</v>
      </c>
      <c r="G422" s="27">
        <f t="shared" si="111"/>
        <v>0</v>
      </c>
      <c r="H422" s="27">
        <f t="shared" si="111"/>
        <v>0</v>
      </c>
      <c r="I422" s="27">
        <f t="shared" si="111"/>
        <v>0</v>
      </c>
      <c r="J422" s="27">
        <f t="shared" si="111"/>
        <v>0</v>
      </c>
      <c r="K422" s="27">
        <f t="shared" si="111"/>
        <v>0</v>
      </c>
      <c r="L422" s="27">
        <f t="shared" si="111"/>
        <v>0</v>
      </c>
      <c r="M422" s="26">
        <f t="shared" si="106"/>
        <v>746613</v>
      </c>
      <c r="N422" s="58"/>
    </row>
    <row r="423" spans="1:14" s="3" customFormat="1" ht="12.75">
      <c r="A423" s="9" t="s">
        <v>239</v>
      </c>
      <c r="B423" s="4" t="s">
        <v>246</v>
      </c>
      <c r="C423" s="27">
        <f>706391+40222</f>
        <v>746613</v>
      </c>
      <c r="D423" s="27"/>
      <c r="E423" s="27">
        <f>297000-6000</f>
        <v>291000</v>
      </c>
      <c r="F423" s="27"/>
      <c r="G423" s="27"/>
      <c r="H423" s="27"/>
      <c r="I423" s="27"/>
      <c r="J423" s="27"/>
      <c r="K423" s="27"/>
      <c r="L423" s="27"/>
      <c r="M423" s="26">
        <f t="shared" si="106"/>
        <v>746613</v>
      </c>
      <c r="N423" s="58"/>
    </row>
    <row r="424" spans="1:14" s="3" customFormat="1" ht="12.75">
      <c r="A424" s="9" t="s">
        <v>157</v>
      </c>
      <c r="B424" s="4" t="s">
        <v>161</v>
      </c>
      <c r="C424" s="27">
        <f>C425</f>
        <v>0</v>
      </c>
      <c r="D424" s="27">
        <f aca="true" t="shared" si="112" ref="D424:L424">D425</f>
        <v>0</v>
      </c>
      <c r="E424" s="27">
        <f t="shared" si="112"/>
        <v>0</v>
      </c>
      <c r="F424" s="27">
        <f t="shared" si="112"/>
        <v>343420</v>
      </c>
      <c r="G424" s="27">
        <f t="shared" si="112"/>
        <v>313420</v>
      </c>
      <c r="H424" s="27">
        <f t="shared" si="112"/>
        <v>0</v>
      </c>
      <c r="I424" s="27">
        <f t="shared" si="112"/>
        <v>0</v>
      </c>
      <c r="J424" s="27">
        <f t="shared" si="112"/>
        <v>30000</v>
      </c>
      <c r="K424" s="27">
        <f t="shared" si="112"/>
        <v>0</v>
      </c>
      <c r="L424" s="27">
        <f t="shared" si="112"/>
        <v>0</v>
      </c>
      <c r="M424" s="26">
        <f t="shared" si="106"/>
        <v>343420</v>
      </c>
      <c r="N424" s="58"/>
    </row>
    <row r="425" spans="1:14" s="3" customFormat="1" ht="78" customHeight="1">
      <c r="A425" s="9" t="s">
        <v>59</v>
      </c>
      <c r="B425" s="84" t="s">
        <v>249</v>
      </c>
      <c r="C425" s="27"/>
      <c r="D425" s="27"/>
      <c r="E425" s="27"/>
      <c r="F425" s="27">
        <f>G425+J425</f>
        <v>343420</v>
      </c>
      <c r="G425" s="27">
        <f>430000+26920-10000-160000+26500</f>
        <v>313420</v>
      </c>
      <c r="H425" s="27"/>
      <c r="I425" s="27"/>
      <c r="J425" s="27">
        <f>70000-40000</f>
        <v>30000</v>
      </c>
      <c r="K425" s="27"/>
      <c r="L425" s="27"/>
      <c r="M425" s="26">
        <f t="shared" si="106"/>
        <v>343420</v>
      </c>
      <c r="N425" s="58"/>
    </row>
    <row r="426" spans="1:14" s="3" customFormat="1" ht="25.5" customHeight="1">
      <c r="A426" s="9" t="s">
        <v>159</v>
      </c>
      <c r="B426" s="65" t="s">
        <v>160</v>
      </c>
      <c r="C426" s="27">
        <f>C427</f>
        <v>184539</v>
      </c>
      <c r="D426" s="27">
        <f aca="true" t="shared" si="113" ref="D426:L426">D427</f>
        <v>0</v>
      </c>
      <c r="E426" s="27">
        <f t="shared" si="113"/>
        <v>0</v>
      </c>
      <c r="F426" s="27">
        <f t="shared" si="113"/>
        <v>0</v>
      </c>
      <c r="G426" s="27">
        <f t="shared" si="113"/>
        <v>0</v>
      </c>
      <c r="H426" s="27">
        <f t="shared" si="113"/>
        <v>0</v>
      </c>
      <c r="I426" s="27">
        <f t="shared" si="113"/>
        <v>0</v>
      </c>
      <c r="J426" s="27">
        <f t="shared" si="113"/>
        <v>0</v>
      </c>
      <c r="K426" s="27">
        <f t="shared" si="113"/>
        <v>0</v>
      </c>
      <c r="L426" s="27">
        <f t="shared" si="113"/>
        <v>0</v>
      </c>
      <c r="M426" s="26">
        <f t="shared" si="106"/>
        <v>184539</v>
      </c>
      <c r="N426" s="58"/>
    </row>
    <row r="427" spans="1:14" s="3" customFormat="1" ht="12.75">
      <c r="A427" s="9" t="s">
        <v>60</v>
      </c>
      <c r="B427" s="4" t="s">
        <v>98</v>
      </c>
      <c r="C427" s="27">
        <f>C428+C429+C430</f>
        <v>184539</v>
      </c>
      <c r="D427" s="27"/>
      <c r="E427" s="27"/>
      <c r="F427" s="27"/>
      <c r="G427" s="27"/>
      <c r="H427" s="27"/>
      <c r="I427" s="27"/>
      <c r="J427" s="27"/>
      <c r="K427" s="27"/>
      <c r="L427" s="27"/>
      <c r="M427" s="26">
        <f t="shared" si="106"/>
        <v>184539</v>
      </c>
      <c r="N427" s="58"/>
    </row>
    <row r="428" spans="1:14" s="3" customFormat="1" ht="38.25" hidden="1">
      <c r="A428" s="9"/>
      <c r="B428" s="4" t="s">
        <v>342</v>
      </c>
      <c r="C428" s="27">
        <f>167742+5007</f>
        <v>172749</v>
      </c>
      <c r="D428" s="27"/>
      <c r="E428" s="27"/>
      <c r="F428" s="27"/>
      <c r="G428" s="27"/>
      <c r="H428" s="27"/>
      <c r="I428" s="27"/>
      <c r="J428" s="27"/>
      <c r="K428" s="27"/>
      <c r="L428" s="27"/>
      <c r="M428" s="26">
        <f>C428+F428</f>
        <v>172749</v>
      </c>
      <c r="N428" s="58"/>
    </row>
    <row r="429" spans="1:14" s="3" customFormat="1" ht="38.25" hidden="1">
      <c r="A429" s="9"/>
      <c r="B429" s="4" t="s">
        <v>345</v>
      </c>
      <c r="C429" s="27">
        <f>(1000)</f>
        <v>1000</v>
      </c>
      <c r="D429" s="27"/>
      <c r="E429" s="27"/>
      <c r="F429" s="27"/>
      <c r="G429" s="27"/>
      <c r="H429" s="27"/>
      <c r="I429" s="27"/>
      <c r="J429" s="27"/>
      <c r="K429" s="27"/>
      <c r="L429" s="27"/>
      <c r="M429" s="26">
        <f>C429+F429</f>
        <v>1000</v>
      </c>
      <c r="N429" s="58"/>
    </row>
    <row r="430" spans="1:14" s="3" customFormat="1" ht="23.25" customHeight="1" hidden="1">
      <c r="A430" s="9"/>
      <c r="B430" s="4" t="s">
        <v>293</v>
      </c>
      <c r="C430" s="27">
        <v>10790</v>
      </c>
      <c r="D430" s="27"/>
      <c r="E430" s="27"/>
      <c r="F430" s="27"/>
      <c r="G430" s="27"/>
      <c r="H430" s="27"/>
      <c r="I430" s="27"/>
      <c r="J430" s="27"/>
      <c r="K430" s="27"/>
      <c r="L430" s="27"/>
      <c r="M430" s="26">
        <f t="shared" si="106"/>
        <v>10790</v>
      </c>
      <c r="N430" s="58"/>
    </row>
    <row r="431" spans="1:14" s="19" customFormat="1" ht="37.5" customHeight="1">
      <c r="A431" s="23" t="s">
        <v>320</v>
      </c>
      <c r="B431" s="20" t="s">
        <v>284</v>
      </c>
      <c r="C431" s="31">
        <f>C432+C434+C438+C440</f>
        <v>3689684</v>
      </c>
      <c r="D431" s="31">
        <f aca="true" t="shared" si="114" ref="D431:I431">D432+D434+D438+D440</f>
        <v>1873129</v>
      </c>
      <c r="E431" s="31">
        <f t="shared" si="114"/>
        <v>615131</v>
      </c>
      <c r="F431" s="31">
        <f aca="true" t="shared" si="115" ref="F431:F437">G431+J431</f>
        <v>174211</v>
      </c>
      <c r="G431" s="31">
        <f>G432+G434+G438+G440</f>
        <v>64211</v>
      </c>
      <c r="H431" s="31">
        <f t="shared" si="114"/>
        <v>0</v>
      </c>
      <c r="I431" s="31">
        <f t="shared" si="114"/>
        <v>0</v>
      </c>
      <c r="J431" s="31">
        <f>J432+J434+J438+J440+J436</f>
        <v>110000</v>
      </c>
      <c r="K431" s="31">
        <f>K432+K434+K438+K440+K436</f>
        <v>110000</v>
      </c>
      <c r="L431" s="31">
        <f>L432+L434+L438+L440+L436</f>
        <v>110000</v>
      </c>
      <c r="M431" s="31">
        <f t="shared" si="106"/>
        <v>3863895</v>
      </c>
      <c r="N431" s="58"/>
    </row>
    <row r="432" spans="1:14" s="3" customFormat="1" ht="12.75">
      <c r="A432" s="14" t="s">
        <v>150</v>
      </c>
      <c r="B432" s="12" t="s">
        <v>151</v>
      </c>
      <c r="C432" s="27">
        <f>C433</f>
        <v>3218547</v>
      </c>
      <c r="D432" s="27">
        <f>D433</f>
        <v>1873129</v>
      </c>
      <c r="E432" s="27">
        <f>E433</f>
        <v>420930</v>
      </c>
      <c r="F432" s="27">
        <f t="shared" si="115"/>
        <v>44930</v>
      </c>
      <c r="G432" s="27">
        <f aca="true" t="shared" si="116" ref="G432:L432">G433</f>
        <v>39930</v>
      </c>
      <c r="H432" s="27">
        <f t="shared" si="116"/>
        <v>0</v>
      </c>
      <c r="I432" s="27">
        <f t="shared" si="116"/>
        <v>0</v>
      </c>
      <c r="J432" s="27">
        <f t="shared" si="116"/>
        <v>5000</v>
      </c>
      <c r="K432" s="27">
        <f t="shared" si="116"/>
        <v>5000</v>
      </c>
      <c r="L432" s="27">
        <f t="shared" si="116"/>
        <v>5000</v>
      </c>
      <c r="M432" s="27">
        <f t="shared" si="106"/>
        <v>3263477</v>
      </c>
      <c r="N432" s="58"/>
    </row>
    <row r="433" spans="1:14" s="5" customFormat="1" ht="12.75">
      <c r="A433" s="16" t="s">
        <v>21</v>
      </c>
      <c r="B433" s="2" t="s">
        <v>22</v>
      </c>
      <c r="C433" s="27">
        <f>2943550+13000+54804+1046-10730+215477+1400</f>
        <v>3218547</v>
      </c>
      <c r="D433" s="27">
        <f>1714880-10730+168979</f>
        <v>1873129</v>
      </c>
      <c r="E433" s="27">
        <v>420930</v>
      </c>
      <c r="F433" s="27">
        <f t="shared" si="115"/>
        <v>44930</v>
      </c>
      <c r="G433" s="27">
        <v>39930</v>
      </c>
      <c r="H433" s="27"/>
      <c r="I433" s="27"/>
      <c r="J433" s="27">
        <f>33515-28515</f>
        <v>5000</v>
      </c>
      <c r="K433" s="27">
        <f>J433</f>
        <v>5000</v>
      </c>
      <c r="L433" s="27">
        <f>K433</f>
        <v>5000</v>
      </c>
      <c r="M433" s="27">
        <f t="shared" si="106"/>
        <v>3263477</v>
      </c>
      <c r="N433" s="58"/>
    </row>
    <row r="434" spans="1:14" s="3" customFormat="1" ht="12.75">
      <c r="A434" s="9" t="s">
        <v>162</v>
      </c>
      <c r="B434" s="4" t="s">
        <v>164</v>
      </c>
      <c r="C434" s="27">
        <f>C435</f>
        <v>422567</v>
      </c>
      <c r="D434" s="27">
        <f aca="true" t="shared" si="117" ref="D434:L434">D435</f>
        <v>0</v>
      </c>
      <c r="E434" s="27">
        <f t="shared" si="117"/>
        <v>194201</v>
      </c>
      <c r="F434" s="27">
        <f t="shared" si="115"/>
        <v>23000</v>
      </c>
      <c r="G434" s="27">
        <f t="shared" si="117"/>
        <v>0</v>
      </c>
      <c r="H434" s="27">
        <f t="shared" si="117"/>
        <v>0</v>
      </c>
      <c r="I434" s="27">
        <f t="shared" si="117"/>
        <v>0</v>
      </c>
      <c r="J434" s="27">
        <f t="shared" si="117"/>
        <v>23000</v>
      </c>
      <c r="K434" s="27">
        <f t="shared" si="117"/>
        <v>23000</v>
      </c>
      <c r="L434" s="27">
        <f t="shared" si="117"/>
        <v>23000</v>
      </c>
      <c r="M434" s="27">
        <f t="shared" si="106"/>
        <v>445567</v>
      </c>
      <c r="N434" s="58"/>
    </row>
    <row r="435" spans="1:14" s="3" customFormat="1" ht="12.75">
      <c r="A435" s="9" t="s">
        <v>239</v>
      </c>
      <c r="B435" s="4" t="s">
        <v>246</v>
      </c>
      <c r="C435" s="27">
        <f>370000+52567</f>
        <v>422567</v>
      </c>
      <c r="D435" s="27"/>
      <c r="E435" s="27">
        <v>194201</v>
      </c>
      <c r="F435" s="27">
        <f t="shared" si="115"/>
        <v>23000</v>
      </c>
      <c r="G435" s="27"/>
      <c r="H435" s="27"/>
      <c r="I435" s="27"/>
      <c r="J435" s="27">
        <f>(3000)+(20000)</f>
        <v>23000</v>
      </c>
      <c r="K435" s="27">
        <f>J435</f>
        <v>23000</v>
      </c>
      <c r="L435" s="27">
        <f>K435</f>
        <v>23000</v>
      </c>
      <c r="M435" s="27">
        <f t="shared" si="106"/>
        <v>445567</v>
      </c>
      <c r="N435" s="58"/>
    </row>
    <row r="436" spans="1:14" s="3" customFormat="1" ht="12.75">
      <c r="A436" s="9" t="s">
        <v>154</v>
      </c>
      <c r="B436" s="4" t="s">
        <v>55</v>
      </c>
      <c r="C436" s="27"/>
      <c r="D436" s="27"/>
      <c r="E436" s="27"/>
      <c r="F436" s="27">
        <f t="shared" si="115"/>
        <v>82000</v>
      </c>
      <c r="G436" s="27"/>
      <c r="H436" s="27"/>
      <c r="I436" s="27"/>
      <c r="J436" s="27">
        <f>J437</f>
        <v>82000</v>
      </c>
      <c r="K436" s="27">
        <f>K437</f>
        <v>82000</v>
      </c>
      <c r="L436" s="27">
        <f>L437</f>
        <v>82000</v>
      </c>
      <c r="M436" s="27">
        <f t="shared" si="106"/>
        <v>82000</v>
      </c>
      <c r="N436" s="58"/>
    </row>
    <row r="437" spans="1:14" s="3" customFormat="1" ht="12.75">
      <c r="A437" s="9" t="s">
        <v>121</v>
      </c>
      <c r="B437" s="4" t="s">
        <v>122</v>
      </c>
      <c r="C437" s="27"/>
      <c r="D437" s="27"/>
      <c r="E437" s="27"/>
      <c r="F437" s="27">
        <f t="shared" si="115"/>
        <v>82000</v>
      </c>
      <c r="G437" s="27"/>
      <c r="H437" s="27"/>
      <c r="I437" s="27"/>
      <c r="J437" s="27">
        <f>K437</f>
        <v>82000</v>
      </c>
      <c r="K437" s="27">
        <f>L437</f>
        <v>82000</v>
      </c>
      <c r="L437" s="27">
        <v>82000</v>
      </c>
      <c r="M437" s="27">
        <f t="shared" si="106"/>
        <v>82000</v>
      </c>
      <c r="N437" s="58"/>
    </row>
    <row r="438" spans="1:14" s="3" customFormat="1" ht="12.75">
      <c r="A438" s="9" t="s">
        <v>157</v>
      </c>
      <c r="B438" s="4" t="s">
        <v>161</v>
      </c>
      <c r="C438" s="27">
        <f>C439</f>
        <v>0</v>
      </c>
      <c r="D438" s="27">
        <f aca="true" t="shared" si="118" ref="D438:L438">D439</f>
        <v>0</v>
      </c>
      <c r="E438" s="27">
        <f t="shared" si="118"/>
        <v>0</v>
      </c>
      <c r="F438" s="27">
        <f t="shared" si="118"/>
        <v>24281</v>
      </c>
      <c r="G438" s="27">
        <f t="shared" si="118"/>
        <v>24281</v>
      </c>
      <c r="H438" s="27">
        <f t="shared" si="118"/>
        <v>0</v>
      </c>
      <c r="I438" s="27">
        <f t="shared" si="118"/>
        <v>0</v>
      </c>
      <c r="J438" s="27">
        <f t="shared" si="118"/>
        <v>0</v>
      </c>
      <c r="K438" s="27">
        <f t="shared" si="118"/>
        <v>0</v>
      </c>
      <c r="L438" s="27">
        <f t="shared" si="118"/>
        <v>0</v>
      </c>
      <c r="M438" s="27">
        <f t="shared" si="106"/>
        <v>24281</v>
      </c>
      <c r="N438" s="58"/>
    </row>
    <row r="439" spans="1:14" s="3" customFormat="1" ht="79.5" customHeight="1">
      <c r="A439" s="9" t="s">
        <v>59</v>
      </c>
      <c r="B439" s="84" t="s">
        <v>249</v>
      </c>
      <c r="C439" s="27"/>
      <c r="D439" s="27"/>
      <c r="E439" s="27"/>
      <c r="F439" s="27">
        <f>G439+J439</f>
        <v>24281</v>
      </c>
      <c r="G439" s="27">
        <f>3281+10000+11000</f>
        <v>24281</v>
      </c>
      <c r="H439" s="27"/>
      <c r="I439" s="27"/>
      <c r="J439" s="27"/>
      <c r="K439" s="27"/>
      <c r="L439" s="27"/>
      <c r="M439" s="27">
        <f t="shared" si="106"/>
        <v>24281</v>
      </c>
      <c r="N439" s="58"/>
    </row>
    <row r="440" spans="1:14" s="3" customFormat="1" ht="26.25" customHeight="1">
      <c r="A440" s="9" t="s">
        <v>159</v>
      </c>
      <c r="B440" s="65" t="s">
        <v>160</v>
      </c>
      <c r="C440" s="27">
        <f>C441</f>
        <v>48570</v>
      </c>
      <c r="D440" s="27">
        <f aca="true" t="shared" si="119" ref="D440:L440">D441</f>
        <v>0</v>
      </c>
      <c r="E440" s="27">
        <f t="shared" si="119"/>
        <v>0</v>
      </c>
      <c r="F440" s="27">
        <f t="shared" si="119"/>
        <v>0</v>
      </c>
      <c r="G440" s="27">
        <f t="shared" si="119"/>
        <v>0</v>
      </c>
      <c r="H440" s="27">
        <f t="shared" si="119"/>
        <v>0</v>
      </c>
      <c r="I440" s="27">
        <f t="shared" si="119"/>
        <v>0</v>
      </c>
      <c r="J440" s="27">
        <f t="shared" si="119"/>
        <v>0</v>
      </c>
      <c r="K440" s="27">
        <f t="shared" si="119"/>
        <v>0</v>
      </c>
      <c r="L440" s="27">
        <f t="shared" si="119"/>
        <v>0</v>
      </c>
      <c r="M440" s="27">
        <f t="shared" si="106"/>
        <v>48570</v>
      </c>
      <c r="N440" s="58"/>
    </row>
    <row r="441" spans="1:14" s="3" customFormat="1" ht="12.75">
      <c r="A441" s="9" t="s">
        <v>60</v>
      </c>
      <c r="B441" s="4" t="s">
        <v>98</v>
      </c>
      <c r="C441" s="27">
        <f>C442+C443+C444</f>
        <v>48570</v>
      </c>
      <c r="D441" s="27"/>
      <c r="E441" s="27"/>
      <c r="F441" s="27"/>
      <c r="G441" s="27"/>
      <c r="H441" s="27"/>
      <c r="I441" s="27"/>
      <c r="J441" s="27"/>
      <c r="K441" s="27"/>
      <c r="L441" s="27"/>
      <c r="M441" s="27">
        <f t="shared" si="106"/>
        <v>48570</v>
      </c>
      <c r="N441" s="58"/>
    </row>
    <row r="442" spans="1:14" s="3" customFormat="1" ht="38.25" hidden="1">
      <c r="A442" s="9"/>
      <c r="B442" s="4" t="s">
        <v>342</v>
      </c>
      <c r="C442" s="27">
        <f>37595+1501</f>
        <v>39096</v>
      </c>
      <c r="D442" s="27"/>
      <c r="E442" s="27"/>
      <c r="F442" s="27"/>
      <c r="G442" s="27"/>
      <c r="H442" s="27"/>
      <c r="I442" s="27"/>
      <c r="J442" s="27"/>
      <c r="K442" s="27"/>
      <c r="L442" s="27"/>
      <c r="M442" s="27">
        <f t="shared" si="106"/>
        <v>39096</v>
      </c>
      <c r="N442" s="58"/>
    </row>
    <row r="443" spans="1:14" s="3" customFormat="1" ht="57" customHeight="1" hidden="1">
      <c r="A443" s="93"/>
      <c r="B443" s="4" t="s">
        <v>345</v>
      </c>
      <c r="C443" s="95">
        <v>3000</v>
      </c>
      <c r="D443" s="95"/>
      <c r="E443" s="95"/>
      <c r="F443" s="95"/>
      <c r="G443" s="95"/>
      <c r="H443" s="95"/>
      <c r="I443" s="95"/>
      <c r="J443" s="95"/>
      <c r="K443" s="95"/>
      <c r="L443" s="95"/>
      <c r="M443" s="27">
        <f t="shared" si="106"/>
        <v>3000</v>
      </c>
      <c r="N443" s="58"/>
    </row>
    <row r="444" spans="1:14" s="3" customFormat="1" ht="24" customHeight="1" hidden="1">
      <c r="A444" s="93"/>
      <c r="B444" s="129" t="s">
        <v>293</v>
      </c>
      <c r="C444" s="95">
        <v>6474</v>
      </c>
      <c r="D444" s="95"/>
      <c r="E444" s="95"/>
      <c r="F444" s="95"/>
      <c r="G444" s="95"/>
      <c r="H444" s="95"/>
      <c r="I444" s="95"/>
      <c r="J444" s="95"/>
      <c r="K444" s="95"/>
      <c r="L444" s="95"/>
      <c r="M444" s="95">
        <f aca="true" t="shared" si="120" ref="M444:M456">C444+F444</f>
        <v>6474</v>
      </c>
      <c r="N444" s="58"/>
    </row>
    <row r="445" spans="1:14" s="19" customFormat="1" ht="39" customHeight="1">
      <c r="A445" s="23" t="s">
        <v>321</v>
      </c>
      <c r="B445" s="20" t="s">
        <v>285</v>
      </c>
      <c r="C445" s="31">
        <f>C446+C448+C450+C452</f>
        <v>4308292</v>
      </c>
      <c r="D445" s="31">
        <f aca="true" t="shared" si="121" ref="D445:L445">D446+D448+D450+D452</f>
        <v>2038016</v>
      </c>
      <c r="E445" s="31">
        <f t="shared" si="121"/>
        <v>789283</v>
      </c>
      <c r="F445" s="31">
        <f>G445+J445</f>
        <v>99864</v>
      </c>
      <c r="G445" s="31">
        <f t="shared" si="121"/>
        <v>31349</v>
      </c>
      <c r="H445" s="31">
        <f t="shared" si="121"/>
        <v>0</v>
      </c>
      <c r="I445" s="31">
        <f t="shared" si="121"/>
        <v>0</v>
      </c>
      <c r="J445" s="31">
        <f t="shared" si="121"/>
        <v>68515</v>
      </c>
      <c r="K445" s="31">
        <f t="shared" si="121"/>
        <v>68515</v>
      </c>
      <c r="L445" s="31">
        <f t="shared" si="121"/>
        <v>28515</v>
      </c>
      <c r="M445" s="31">
        <f t="shared" si="120"/>
        <v>4408156</v>
      </c>
      <c r="N445" s="58"/>
    </row>
    <row r="446" spans="1:14" s="3" customFormat="1" ht="12.75">
      <c r="A446" s="80" t="s">
        <v>150</v>
      </c>
      <c r="B446" s="81" t="s">
        <v>151</v>
      </c>
      <c r="C446" s="27">
        <f>C447</f>
        <v>3670839</v>
      </c>
      <c r="D446" s="27">
        <f>D447</f>
        <v>2038016</v>
      </c>
      <c r="E446" s="27">
        <f>E447</f>
        <v>470725</v>
      </c>
      <c r="F446" s="27">
        <f>G446+J446</f>
        <v>29864</v>
      </c>
      <c r="G446" s="27">
        <f aca="true" t="shared" si="122" ref="G446:L446">G447</f>
        <v>1349</v>
      </c>
      <c r="H446" s="27">
        <f t="shared" si="122"/>
        <v>0</v>
      </c>
      <c r="I446" s="27">
        <f t="shared" si="122"/>
        <v>0</v>
      </c>
      <c r="J446" s="27">
        <f t="shared" si="122"/>
        <v>28515</v>
      </c>
      <c r="K446" s="27">
        <f t="shared" si="122"/>
        <v>28515</v>
      </c>
      <c r="L446" s="27">
        <f t="shared" si="122"/>
        <v>28515</v>
      </c>
      <c r="M446" s="27">
        <f t="shared" si="120"/>
        <v>3700703</v>
      </c>
      <c r="N446" s="58"/>
    </row>
    <row r="447" spans="1:14" s="5" customFormat="1" ht="12.75">
      <c r="A447" s="7" t="s">
        <v>21</v>
      </c>
      <c r="B447" s="82" t="s">
        <v>22</v>
      </c>
      <c r="C447" s="25">
        <f>3177431+175450+14060+308048-4150</f>
        <v>3670839</v>
      </c>
      <c r="D447" s="25">
        <f>1803130+6763+228123</f>
        <v>2038016</v>
      </c>
      <c r="E447" s="25">
        <f>470725</f>
        <v>470725</v>
      </c>
      <c r="F447" s="27">
        <f>G447+J447</f>
        <v>29864</v>
      </c>
      <c r="G447" s="25">
        <v>1349</v>
      </c>
      <c r="H447" s="25"/>
      <c r="I447" s="25"/>
      <c r="J447" s="25">
        <v>28515</v>
      </c>
      <c r="K447" s="25">
        <f>J447</f>
        <v>28515</v>
      </c>
      <c r="L447" s="25">
        <f>K447</f>
        <v>28515</v>
      </c>
      <c r="M447" s="27">
        <f t="shared" si="120"/>
        <v>3700703</v>
      </c>
      <c r="N447" s="58"/>
    </row>
    <row r="448" spans="1:14" s="3" customFormat="1" ht="12.75">
      <c r="A448" s="9" t="s">
        <v>162</v>
      </c>
      <c r="B448" s="4" t="s">
        <v>164</v>
      </c>
      <c r="C448" s="27">
        <f>C449</f>
        <v>562469</v>
      </c>
      <c r="D448" s="27">
        <f aca="true" t="shared" si="123" ref="D448:L448">D449</f>
        <v>0</v>
      </c>
      <c r="E448" s="27">
        <f t="shared" si="123"/>
        <v>318558</v>
      </c>
      <c r="F448" s="27">
        <f t="shared" si="123"/>
        <v>0</v>
      </c>
      <c r="G448" s="27">
        <f t="shared" si="123"/>
        <v>0</v>
      </c>
      <c r="H448" s="27">
        <f t="shared" si="123"/>
        <v>0</v>
      </c>
      <c r="I448" s="27">
        <f t="shared" si="123"/>
        <v>0</v>
      </c>
      <c r="J448" s="27">
        <f t="shared" si="123"/>
        <v>0</v>
      </c>
      <c r="K448" s="27">
        <f t="shared" si="123"/>
        <v>0</v>
      </c>
      <c r="L448" s="27">
        <f t="shared" si="123"/>
        <v>0</v>
      </c>
      <c r="M448" s="27">
        <f t="shared" si="120"/>
        <v>562469</v>
      </c>
      <c r="N448" s="58"/>
    </row>
    <row r="449" spans="1:14" s="3" customFormat="1" ht="12.75">
      <c r="A449" s="9" t="s">
        <v>239</v>
      </c>
      <c r="B449" s="4" t="s">
        <v>246</v>
      </c>
      <c r="C449" s="27">
        <f>527454+35015</f>
        <v>562469</v>
      </c>
      <c r="D449" s="27"/>
      <c r="E449" s="27">
        <f>297000+25558-4000</f>
        <v>318558</v>
      </c>
      <c r="F449" s="27"/>
      <c r="G449" s="27"/>
      <c r="H449" s="27"/>
      <c r="I449" s="27"/>
      <c r="J449" s="27"/>
      <c r="K449" s="27"/>
      <c r="L449" s="27"/>
      <c r="M449" s="27">
        <f t="shared" si="120"/>
        <v>562469</v>
      </c>
      <c r="N449" s="58"/>
    </row>
    <row r="450" spans="1:14" s="3" customFormat="1" ht="14.25" customHeight="1">
      <c r="A450" s="9" t="s">
        <v>157</v>
      </c>
      <c r="B450" s="4" t="s">
        <v>161</v>
      </c>
      <c r="C450" s="27">
        <f>C451</f>
        <v>0</v>
      </c>
      <c r="D450" s="27">
        <f aca="true" t="shared" si="124" ref="D450:L450">D451</f>
        <v>0</v>
      </c>
      <c r="E450" s="27">
        <f t="shared" si="124"/>
        <v>0</v>
      </c>
      <c r="F450" s="27">
        <f t="shared" si="124"/>
        <v>30000</v>
      </c>
      <c r="G450" s="27">
        <f t="shared" si="124"/>
        <v>30000</v>
      </c>
      <c r="H450" s="27">
        <f t="shared" si="124"/>
        <v>0</v>
      </c>
      <c r="I450" s="27">
        <f t="shared" si="124"/>
        <v>0</v>
      </c>
      <c r="J450" s="27">
        <f t="shared" si="124"/>
        <v>0</v>
      </c>
      <c r="K450" s="27">
        <f t="shared" si="124"/>
        <v>0</v>
      </c>
      <c r="L450" s="27">
        <f t="shared" si="124"/>
        <v>0</v>
      </c>
      <c r="M450" s="27">
        <f t="shared" si="120"/>
        <v>30000</v>
      </c>
      <c r="N450" s="58"/>
    </row>
    <row r="451" spans="1:14" s="3" customFormat="1" ht="25.5" customHeight="1">
      <c r="A451" s="9" t="s">
        <v>59</v>
      </c>
      <c r="B451" s="140" t="s">
        <v>249</v>
      </c>
      <c r="C451" s="27"/>
      <c r="D451" s="27"/>
      <c r="E451" s="27"/>
      <c r="F451" s="27">
        <f>G451+J451</f>
        <v>30000</v>
      </c>
      <c r="G451" s="27">
        <v>30000</v>
      </c>
      <c r="H451" s="27"/>
      <c r="I451" s="27"/>
      <c r="J451" s="27"/>
      <c r="K451" s="27"/>
      <c r="L451" s="27"/>
      <c r="M451" s="27">
        <f t="shared" si="120"/>
        <v>30000</v>
      </c>
      <c r="N451" s="58"/>
    </row>
    <row r="452" spans="1:14" s="3" customFormat="1" ht="26.25" customHeight="1">
      <c r="A452" s="9" t="s">
        <v>159</v>
      </c>
      <c r="B452" s="140" t="s">
        <v>160</v>
      </c>
      <c r="C452" s="27">
        <f aca="true" t="shared" si="125" ref="C452:L452">C453</f>
        <v>74984</v>
      </c>
      <c r="D452" s="27">
        <f t="shared" si="125"/>
        <v>0</v>
      </c>
      <c r="E452" s="27">
        <f t="shared" si="125"/>
        <v>0</v>
      </c>
      <c r="F452" s="27">
        <f t="shared" si="125"/>
        <v>40000</v>
      </c>
      <c r="G452" s="27">
        <f t="shared" si="125"/>
        <v>0</v>
      </c>
      <c r="H452" s="27">
        <f t="shared" si="125"/>
        <v>0</v>
      </c>
      <c r="I452" s="27">
        <f t="shared" si="125"/>
        <v>0</v>
      </c>
      <c r="J452" s="27">
        <f t="shared" si="125"/>
        <v>40000</v>
      </c>
      <c r="K452" s="27">
        <f t="shared" si="125"/>
        <v>40000</v>
      </c>
      <c r="L452" s="27">
        <f t="shared" si="125"/>
        <v>0</v>
      </c>
      <c r="M452" s="27">
        <f t="shared" si="120"/>
        <v>114984</v>
      </c>
      <c r="N452" s="58"/>
    </row>
    <row r="453" spans="1:14" s="3" customFormat="1" ht="12.75">
      <c r="A453" s="9" t="s">
        <v>60</v>
      </c>
      <c r="B453" s="4" t="s">
        <v>98</v>
      </c>
      <c r="C453" s="27">
        <f>C454+C455</f>
        <v>74984</v>
      </c>
      <c r="D453" s="27"/>
      <c r="E453" s="27"/>
      <c r="F453" s="27">
        <f>F454+F455+F456</f>
        <v>40000</v>
      </c>
      <c r="G453" s="27">
        <f aca="true" t="shared" si="126" ref="G453:L453">G454+G455+G456</f>
        <v>0</v>
      </c>
      <c r="H453" s="27">
        <f t="shared" si="126"/>
        <v>0</v>
      </c>
      <c r="I453" s="27">
        <f t="shared" si="126"/>
        <v>0</v>
      </c>
      <c r="J453" s="27">
        <f t="shared" si="126"/>
        <v>40000</v>
      </c>
      <c r="K453" s="27">
        <f t="shared" si="126"/>
        <v>40000</v>
      </c>
      <c r="L453" s="27">
        <f t="shared" si="126"/>
        <v>0</v>
      </c>
      <c r="M453" s="27">
        <f t="shared" si="120"/>
        <v>114984</v>
      </c>
      <c r="N453" s="58"/>
    </row>
    <row r="454" spans="1:14" s="3" customFormat="1" ht="38.25" hidden="1">
      <c r="A454" s="9"/>
      <c r="B454" s="4" t="s">
        <v>342</v>
      </c>
      <c r="C454" s="27">
        <f>61290+2904</f>
        <v>64194</v>
      </c>
      <c r="D454" s="27"/>
      <c r="E454" s="27"/>
      <c r="F454" s="27"/>
      <c r="G454" s="27"/>
      <c r="H454" s="27"/>
      <c r="I454" s="27"/>
      <c r="J454" s="27"/>
      <c r="K454" s="27"/>
      <c r="L454" s="27"/>
      <c r="M454" s="27">
        <f t="shared" si="120"/>
        <v>64194</v>
      </c>
      <c r="N454" s="58"/>
    </row>
    <row r="455" spans="1:14" s="3" customFormat="1" ht="12.75" hidden="1">
      <c r="A455" s="9"/>
      <c r="B455" s="4" t="s">
        <v>293</v>
      </c>
      <c r="C455" s="27">
        <v>10790</v>
      </c>
      <c r="D455" s="27"/>
      <c r="E455" s="27"/>
      <c r="F455" s="27"/>
      <c r="G455" s="27"/>
      <c r="H455" s="27"/>
      <c r="I455" s="27"/>
      <c r="J455" s="27"/>
      <c r="K455" s="27"/>
      <c r="L455" s="27"/>
      <c r="M455" s="27">
        <f t="shared" si="120"/>
        <v>10790</v>
      </c>
      <c r="N455" s="58"/>
    </row>
    <row r="456" spans="1:14" s="3" customFormat="1" ht="12.75" hidden="1">
      <c r="A456" s="9"/>
      <c r="B456" s="4" t="s">
        <v>357</v>
      </c>
      <c r="C456" s="27"/>
      <c r="D456" s="27"/>
      <c r="E456" s="27"/>
      <c r="F456" s="27">
        <f>G456+J456</f>
        <v>40000</v>
      </c>
      <c r="G456" s="27"/>
      <c r="H456" s="27"/>
      <c r="I456" s="27"/>
      <c r="J456" s="27">
        <v>40000</v>
      </c>
      <c r="K456" s="27">
        <f>J456</f>
        <v>40000</v>
      </c>
      <c r="L456" s="27"/>
      <c r="M456" s="27">
        <f t="shared" si="120"/>
        <v>40000</v>
      </c>
      <c r="N456" s="58"/>
    </row>
    <row r="457" spans="1:16" ht="18.75" customHeight="1">
      <c r="A457" s="18"/>
      <c r="B457" s="141" t="s">
        <v>65</v>
      </c>
      <c r="C457" s="31">
        <f aca="true" t="shared" si="127" ref="C457:L457">C11+C38+C369+C382+C393+C406+C419+C431+C445+C190+C41+C80+C101+C185+C334+C226+C285+C257+C212+C193+C322+C295+C312+C304+C355+C365+C342+C223+C307</f>
        <v>2363905476</v>
      </c>
      <c r="D457" s="31">
        <f t="shared" si="127"/>
        <v>874971185</v>
      </c>
      <c r="E457" s="31">
        <f t="shared" si="127"/>
        <v>214898711</v>
      </c>
      <c r="F457" s="31">
        <f t="shared" si="127"/>
        <v>321881465</v>
      </c>
      <c r="G457" s="31">
        <f t="shared" si="127"/>
        <v>62650230</v>
      </c>
      <c r="H457" s="31">
        <f t="shared" si="127"/>
        <v>15027603</v>
      </c>
      <c r="I457" s="31">
        <f t="shared" si="127"/>
        <v>2006578</v>
      </c>
      <c r="J457" s="31">
        <f>J11+J38+J369+J382+J393+J406+J419+J431+J445+J190+J41+J80+J101+J185+J334+J226+J285+J257+J212+J193+J322+J295+J312+J304+J355+J365+J342+J223+J307</f>
        <v>259231235</v>
      </c>
      <c r="K457" s="31">
        <f t="shared" si="127"/>
        <v>190465880</v>
      </c>
      <c r="L457" s="31">
        <f t="shared" si="127"/>
        <v>42074956</v>
      </c>
      <c r="M457" s="30">
        <f>C457+F457</f>
        <v>2685786941</v>
      </c>
      <c r="N457" s="58"/>
      <c r="P457" s="64"/>
    </row>
    <row r="458" spans="1:13" ht="15">
      <c r="A458" s="130"/>
      <c r="B458" s="131"/>
      <c r="C458" s="132"/>
      <c r="D458" s="132"/>
      <c r="E458" s="132"/>
      <c r="F458" s="132"/>
      <c r="G458" s="132"/>
      <c r="H458" s="132"/>
      <c r="I458" s="132"/>
      <c r="J458" s="132"/>
      <c r="K458" s="132"/>
      <c r="L458" s="132"/>
      <c r="M458" s="133"/>
    </row>
    <row r="459" spans="1:13" ht="12.75" hidden="1">
      <c r="A459" s="134"/>
      <c r="B459" s="135"/>
      <c r="C459" s="136"/>
      <c r="D459" s="137"/>
      <c r="E459" s="137"/>
      <c r="F459" s="137"/>
      <c r="G459" s="137"/>
      <c r="H459" s="137"/>
      <c r="I459" s="137"/>
      <c r="J459" s="137"/>
      <c r="K459" s="137"/>
      <c r="L459" s="137"/>
      <c r="M459" s="5"/>
    </row>
    <row r="460" spans="1:13" ht="12.75" hidden="1">
      <c r="A460" s="138"/>
      <c r="B460" s="5"/>
      <c r="C460" s="5"/>
      <c r="D460" s="5"/>
      <c r="E460" s="5"/>
      <c r="F460" s="5"/>
      <c r="G460" s="5"/>
      <c r="H460" s="5"/>
      <c r="I460" s="5"/>
      <c r="J460" s="5"/>
      <c r="K460" s="5"/>
      <c r="L460" s="5"/>
      <c r="M460" s="5"/>
    </row>
    <row r="461" spans="1:13" ht="26.25" customHeight="1">
      <c r="A461" s="172" t="s">
        <v>360</v>
      </c>
      <c r="B461" s="172"/>
      <c r="C461" s="146"/>
      <c r="D461" s="147"/>
      <c r="E461" s="148"/>
      <c r="G461" s="139"/>
      <c r="H461" s="145"/>
      <c r="I461" s="145" t="s">
        <v>361</v>
      </c>
      <c r="J461" s="139"/>
      <c r="K461" s="139"/>
      <c r="L461" s="139"/>
      <c r="M461" s="139"/>
    </row>
    <row r="462" ht="12.75">
      <c r="K462" s="64"/>
    </row>
    <row r="463" spans="1:13" ht="12.75">
      <c r="A463" s="120" t="s">
        <v>21</v>
      </c>
      <c r="C463" s="64">
        <f aca="true" t="shared" si="128" ref="C463:M463">C13+C43+C82+C103+C187+C192+C214+C225+C228+C259+C287+C297+C306+C309+C314+C324+C336+C344+C357+C371+C384+C395+C408+C421+C433+C447+C195</f>
        <v>85278447</v>
      </c>
      <c r="D463" s="64">
        <f t="shared" si="128"/>
        <v>52419984</v>
      </c>
      <c r="E463" s="64">
        <f t="shared" si="128"/>
        <v>5958417</v>
      </c>
      <c r="F463" s="64">
        <f t="shared" si="128"/>
        <v>1120361</v>
      </c>
      <c r="G463" s="64">
        <f t="shared" si="128"/>
        <v>409622</v>
      </c>
      <c r="H463" s="64">
        <f t="shared" si="128"/>
        <v>0</v>
      </c>
      <c r="I463" s="64">
        <f t="shared" si="128"/>
        <v>0</v>
      </c>
      <c r="J463" s="64">
        <f t="shared" si="128"/>
        <v>710739</v>
      </c>
      <c r="K463" s="64">
        <f t="shared" si="128"/>
        <v>710739</v>
      </c>
      <c r="L463" s="64">
        <f>L13+L43+L82+L103+L187+L192+L214+L225+L228+L259+L287+L297+L306+L309+L314+L324+L336+L344+L357+L371+L384+L395+L408+L421+L433+L447+L195</f>
        <v>710739</v>
      </c>
      <c r="M463" s="64">
        <f t="shared" si="128"/>
        <v>86390568</v>
      </c>
    </row>
    <row r="464" spans="1:13" ht="12.75">
      <c r="A464" s="120" t="s">
        <v>59</v>
      </c>
      <c r="C464" s="64"/>
      <c r="F464" s="64">
        <f>F26+F100+F174+F208+F377+F388+F401+F425+F439+F451+F414+F277</f>
        <v>1057900</v>
      </c>
      <c r="G464" s="64">
        <f>G26+G100+G174+G208+G377+G388+G401+G425+G439+G451+G414+G277</f>
        <v>897900</v>
      </c>
      <c r="H464" s="64">
        <f aca="true" t="shared" si="129" ref="H464:M464">H26+H100+H174+H208+H377+H388+H401+H425+H439+H451+H414+H277</f>
        <v>0</v>
      </c>
      <c r="I464" s="64">
        <f t="shared" si="129"/>
        <v>0</v>
      </c>
      <c r="J464" s="64">
        <f t="shared" si="129"/>
        <v>160000</v>
      </c>
      <c r="K464" s="64">
        <f t="shared" si="129"/>
        <v>0</v>
      </c>
      <c r="L464" s="64">
        <f t="shared" si="129"/>
        <v>0</v>
      </c>
      <c r="M464" s="64">
        <f t="shared" si="129"/>
        <v>1057900</v>
      </c>
    </row>
    <row r="465" spans="1:13" ht="12.75">
      <c r="A465" s="120" t="s">
        <v>60</v>
      </c>
      <c r="C465" s="64">
        <f>C30+C210+C221+C246+C279+C293+C301+C363+C379+C390+C403+C416+C427+C441+C453+C332</f>
        <v>21645888</v>
      </c>
      <c r="D465" s="64">
        <f>D30+D210+D221+D246+D279+D293+D301+D363+D379+D390+D403+D416+D427+D441+D453+D332</f>
        <v>1398736</v>
      </c>
      <c r="E465" s="64">
        <f>E30+E210+E221+E246+E279+E293+E301+E363+E379+E390+E403+E416+E427+E441+E453+E332</f>
        <v>5546</v>
      </c>
      <c r="F465" s="64">
        <f>F30+F210+F221+F246+F279+F293+F301+F363+F379+F390+F403+F416+F427+F441+F453+F332</f>
        <v>1702499</v>
      </c>
      <c r="G465" s="64">
        <f>G30+G210+G221+G246+G279+G293+G301+G363+G379+G390+G403+G416+G427+G441+G453</f>
        <v>0</v>
      </c>
      <c r="H465" s="64">
        <f>H30+H210+H221+H246+H279+H293+H301+H363+H379+H390+H403+H416+H427+H441+H453</f>
        <v>0</v>
      </c>
      <c r="I465" s="64">
        <f>I30+I210+I221+I246+I279+I293+I301+I363+I379+I390+I403+I416+I427+I441+I453</f>
        <v>0</v>
      </c>
      <c r="J465" s="64">
        <f>J30+J210+J221+J246+J279+J293+J301+J363+J379+J390+J403+J416+J427+J441+J453+J332</f>
        <v>1702499</v>
      </c>
      <c r="K465" s="64">
        <f>K30+K210+K221+K246+K279+K293+K301+K363+K379+K390+K403+K416+K427+K441+K453+K332</f>
        <v>1702499</v>
      </c>
      <c r="L465" s="64">
        <f>L30+L210+L221+L246+L279+L293+L301+L363+L379+L390+L403+L416+L427+L441+L453+L332</f>
        <v>664499</v>
      </c>
      <c r="M465" s="64">
        <f>M30+M210+M221+M246+M279+M293+M301+M363+M379+M390+M403+M416+M427+M441+M453+M332</f>
        <v>23348387</v>
      </c>
    </row>
    <row r="466" spans="3:6" ht="12.75">
      <c r="C466" s="64"/>
      <c r="F466" s="76"/>
    </row>
    <row r="467" spans="3:11" ht="12.75">
      <c r="C467" s="76"/>
      <c r="J467"/>
      <c r="K467" s="64"/>
    </row>
  </sheetData>
  <sheetProtection/>
  <mergeCells count="26">
    <mergeCell ref="D8:D9"/>
    <mergeCell ref="I8:I9"/>
    <mergeCell ref="H8:H9"/>
    <mergeCell ref="A461:B461"/>
    <mergeCell ref="E8:E9"/>
    <mergeCell ref="J7:J9"/>
    <mergeCell ref="C7:C9"/>
    <mergeCell ref="B7:B9"/>
    <mergeCell ref="F1:G1"/>
    <mergeCell ref="J1:M1"/>
    <mergeCell ref="J2:M2"/>
    <mergeCell ref="F2:G2"/>
    <mergeCell ref="M6:M9"/>
    <mergeCell ref="G7:G9"/>
    <mergeCell ref="F7:F9"/>
    <mergeCell ref="F6:L6"/>
    <mergeCell ref="F3:G3"/>
    <mergeCell ref="J3:M3"/>
    <mergeCell ref="A4:M4"/>
    <mergeCell ref="A7:A9"/>
    <mergeCell ref="C6:E6"/>
    <mergeCell ref="D7:E7"/>
    <mergeCell ref="K5:M5"/>
    <mergeCell ref="H7:I7"/>
    <mergeCell ref="K7:L7"/>
    <mergeCell ref="K8:K9"/>
  </mergeCells>
  <printOptions/>
  <pageMargins left="0.9055118110236221" right="0.35433070866141736" top="0.52" bottom="0.26" header="0.3937007874015748" footer="0.24"/>
  <pageSetup fitToHeight="53" fitToWidth="1" horizontalDpi="600" verticalDpi="600" orientation="landscape" paperSize="9" scale="71" r:id="rId1"/>
  <headerFooter alignWithMargins="0">
    <oddHeader>&amp;C&amp;P</oddHeader>
  </headerFooter>
  <rowBreaks count="1" manualBreakCount="1">
    <brk id="377" max="12" man="1"/>
  </rowBreaks>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fin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dc:creator>
  <cp:keywords/>
  <dc:description/>
  <cp:lastModifiedBy>Совет</cp:lastModifiedBy>
  <cp:lastPrinted>2012-06-05T13:59:13Z</cp:lastPrinted>
  <dcterms:created xsi:type="dcterms:W3CDTF">2002-01-02T08:54:19Z</dcterms:created>
  <dcterms:modified xsi:type="dcterms:W3CDTF">2012-06-19T12:22:53Z</dcterms:modified>
  <cp:category/>
  <cp:version/>
  <cp:contentType/>
  <cp:contentStatus/>
</cp:coreProperties>
</file>