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22.02.2012" sheetId="1" r:id="rId1"/>
  </sheets>
  <externalReferences>
    <externalReference r:id="rId4"/>
  </externalReferences>
  <definedNames>
    <definedName name="_xlnm.Print_Area" localSheetId="0">'22.02.2012'!$A$1:$G$227</definedName>
  </definedNames>
  <calcPr fullCalcOnLoad="1"/>
</workbook>
</file>

<file path=xl/sharedStrings.xml><?xml version="1.0" encoding="utf-8"?>
<sst xmlns="http://schemas.openxmlformats.org/spreadsheetml/2006/main" count="458" uniqueCount="244">
  <si>
    <t>Назва об'єктів відповідно до проектно-кошторисної документації, тощо</t>
  </si>
  <si>
    <t>Капітальні вкладення</t>
  </si>
  <si>
    <t>Будівля поліклініки комунальної установи «Запорізька міська багатопрофільна клінічна лікарня №9», м.Запоріжжя - реконструкція</t>
  </si>
  <si>
    <t>Загальний обсяг фінансування будівництва</t>
  </si>
  <si>
    <t>Відсоток завершеності будівництва на майбутні роки</t>
  </si>
  <si>
    <t>Всього видатків на завершення будівництва об'єктів на майбутні роки</t>
  </si>
  <si>
    <t>Разом видатків на поточний рік</t>
  </si>
  <si>
    <t>Код типової відомчої класифікації видатків місцевих бюджетів</t>
  </si>
  <si>
    <t>Назва головного розпорядника коштів</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</si>
  <si>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</si>
  <si>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бюджетва</t>
  </si>
  <si>
    <t>Реконструкція будівлі міського геріатричного стаціонару по вул. Кузнєцова, 28а (проектні та будівельні роботи)</t>
  </si>
  <si>
    <t>Розширення і реконструкція центральних каналізаційних очисних споруд Лівого берега (ЦОС-1). Технологічні трубопроводи. (Колектор К-28)</t>
  </si>
  <si>
    <t>Ліквідація аварійного стану на дорожній насипі проїзної частини дороги по вул. Перемоги (в р-ні міської лікарні №6) (проектні роботи, будівництво)</t>
  </si>
  <si>
    <t>Ліквідація аварійного стану на в"їзді до 1-го мосту ім.  Преображенського (вул. Тюленіна)</t>
  </si>
  <si>
    <t>Житловий будинок № 2 по вул. Сєдова - реконструкція</t>
  </si>
  <si>
    <t>Внески органів місцевого самоврядування у статутні фонди суб'єктів підприємницької діяльності</t>
  </si>
  <si>
    <t xml:space="preserve">Житловий будинок по бул. Будівельників, 19 - реконструкція  </t>
  </si>
  <si>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</si>
  <si>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</si>
  <si>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Будівництво системи захисту від техногенної загрози стадіону "Славутич Арена" (проектні та будівельні роботи)</t>
  </si>
  <si>
    <t>Департамент освіти і науки, молоді та спорту Запорізької міської ради</t>
  </si>
  <si>
    <t>Управління соціального захисту населення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</si>
  <si>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</si>
  <si>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</si>
  <si>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Департамент економічного розвитку Запорізької міської ради</t>
  </si>
  <si>
    <t xml:space="preserve">Будівництво І черги та введення в експлуатацію Кушугумського кладовища </t>
  </si>
  <si>
    <t>Департамент житлового господарства та розподілу житлової площі Запорізької міської ради</t>
  </si>
  <si>
    <t>Перелік об'єктів, видатки на які у 2012 році будуть проводитися за рахунок коштів бюджету розвитку</t>
  </si>
  <si>
    <t>Реконструкція хлораторної ДВС-2,  м. Запоріжжя (проектні та будівельні роботи)</t>
  </si>
  <si>
    <t xml:space="preserve">Магістральна теплова мережа по вул. Героїв Сталінграду, м. Запоріжжя - реконструкція </t>
  </si>
  <si>
    <t>Будівництво житлового будинку № 25 в кварталі  по вул.Алмазній у сел. Павло-Кічкас м.Запоріжжя (проектні та будівельні роботи)</t>
  </si>
  <si>
    <t>Будівництво позаквартальних інженерних мереж та споруд по вул. Алмазній  (проектні роботи)</t>
  </si>
  <si>
    <t>Програма "Світло 2012-2013" реконструкція мереж зовнішнього освітлення міста</t>
  </si>
  <si>
    <t>Реконструкція вул.Рекордної від вул. Портова до вул. Алюмінева (проектні роботи)</t>
  </si>
  <si>
    <t>Реконструкція автошляхопроводу  по вул. Карпенка-Карого (проектні роботи, експертиза)</t>
  </si>
  <si>
    <t>Ліквідація аварійного стану на ділянці дороги загального користування М-18 траса Харків-Сімферополь-Алушта-Ялта (в районі "М"ясокомбінату") (проектні роботи, ексретриза, будівництво)</t>
  </si>
  <si>
    <t xml:space="preserve">Завершення будівництва по вул. Калнишевського, вул.Дорошенко, вул. Рубана (зовнішньє освітлення та дороги) </t>
  </si>
  <si>
    <t>Будівництво дорожнього полотна провулку Ставропольского (проекні та будівельні роботи)</t>
  </si>
  <si>
    <t>Реконструкція дороги по вул.Нагнибіди в Комунарському районі (проектні роботи, експертиза)</t>
  </si>
  <si>
    <t>Будівництво водогону Д=315 мм по вул.Сапожнікова, м.Запоріжжя</t>
  </si>
  <si>
    <t>Будівництво громадського туалету на Центральному пляжі</t>
  </si>
  <si>
    <t>Житловий будинок по пр. Леніна, 133  м. Запоріжжя - ліквідація  аварійного стану надбудови над аркою</t>
  </si>
  <si>
    <t xml:space="preserve">Житловий будинок по вул. Євпаторійській, 1 - реконструкція  </t>
  </si>
  <si>
    <t xml:space="preserve">Житловий будинок  по вул.Республіканській, 88 - реконструкція  </t>
  </si>
  <si>
    <t>Житловий будинок  по вул. Республіканській, 185 - реконструкція  системи теплопостачання</t>
  </si>
  <si>
    <t xml:space="preserve">Реконструкція гуртожитку по вул. Цегельній, 13 м. Запоріжжя під житловий будинок </t>
  </si>
  <si>
    <t xml:space="preserve">Реконструкція, переобладнання та перепланування гуртожитку під житловий будинок  по вул. Нахімова, 6  </t>
  </si>
  <si>
    <t xml:space="preserve">Реконструкція приміщень будівлі по вул. 40 років Радянської України, 41а </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</si>
  <si>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t>
  </si>
  <si>
    <t>Реконструкція комунального закладу "Амбулаторія сімейного лікаря з вбудованою квартирою у селищі Тепличне в Шевченківському районі м.Запоріжжя" (проектні та будівельні роботи)</t>
  </si>
  <si>
    <t xml:space="preserve">Комунальна установа «Запорізька міська багатопрофільна дитяча лікарня №5»  (відділення недоношених новонароджених)  - реконструкція </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</si>
  <si>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</si>
  <si>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Комунальна установа «6-та міська клінічна лікарня» - реконструкція котельної із заміною котлів (проектні та будівельні роботи)</t>
  </si>
  <si>
    <t>Реконструкція приміщень навчально-виховного оздоровчого комплексу  № 110  по вул.Стешенка,19 Комунарського району під позашкільний підрозділ</t>
  </si>
  <si>
    <t xml:space="preserve">Ліквідація аварійного стану будівлі навчально-виховного комплексу № 19 по вул. Військбуд, 13 Шевченківського району (проектні та будівельні роботи) </t>
  </si>
  <si>
    <t>Реконструкція приміщень для груп дошкільного закладу загально освіт-ньої школи І-ІІІ ступенів№ 109  по вул.Дніпровські пороги,29 м.Запоріжжя</t>
  </si>
  <si>
    <t xml:space="preserve">Реконструкція будівлі загальноосвітньої школи І-ІІІ ступенів № 75 по вул.Історична,92 Заводського району </t>
  </si>
  <si>
    <t>Реконструкція приміщень загальноосвітньої  школи І-ІІІ ступенів № 5 по вул.Тургенєва, 33 Жовтневого району (проектні та будівельні роботи)</t>
  </si>
  <si>
    <t>Попередження створенню аварійного стану прибудови комунального підприємства Палац культури "Орбіта" (проектні та будівельні роботи, експертиза)</t>
  </si>
  <si>
    <t>Будівництво автотранспортної магістралі через р. Дніпро у м.Запоріжжя - погашення заборгованості за минулі роки</t>
  </si>
  <si>
    <t>Магістральна мережа теплопостачання по вул. Новокузнецька житлового масиву "Південний", м.Запоріжжя - реконструкція (другий пусковий комплекс)</t>
  </si>
  <si>
    <t>Магістральна теплова мережа по вул. Артема, м.Запоріжжя - реконструкція - погашення заборгованості за минулі роки</t>
  </si>
  <si>
    <t>Управління комунального господарства та  дорожнього будівництва  Запорізької міської ради</t>
  </si>
  <si>
    <t xml:space="preserve">                                                                                                                                                                                                                                                                                                                                                                                                                                                                                                                                                                                                                                                                                                                                                                                                                                                                                                                                                                                                                                                                                </t>
  </si>
  <si>
    <t>Будівництво  інженерних мереж до льодової арени по вул. Космічній, м.Запоріжжя - погашення заборгованості за минулі роки</t>
  </si>
  <si>
    <t>Реконструкція тротуарів з влаштуванням велодоріжок від парку «Дубовий гай» до Ландшафтного парку вздовж Прибережної магістралі  в м. Запоріжжя (проектні роботи)</t>
  </si>
  <si>
    <t>Реконструкція шляхопроводу через р. Мокра Московка на автошляху Харків-Сімферополь (проектні роботи)</t>
  </si>
  <si>
    <t>Реконструкція дороги по вул. Глісерній з автомобільною стоянкою в районі парку «Дубовий гай»</t>
  </si>
  <si>
    <t>Реконструкція полотна трамвайного переїзду вул.Іванова-просп.Моторобудівників-вул.8 Березня у Шевченківському районі м.Запоріжжя</t>
  </si>
  <si>
    <t xml:space="preserve">Ліквідація аварійного стану автодороги, зливової та побутової каналізації по вул. М.Судця, м. Запоріжжя  </t>
  </si>
  <si>
    <t>Будівництво локальної станції біологічного очищення стічних вод на о. Хортиця (проектні роботи та експертиза)</t>
  </si>
  <si>
    <t>Котельня по вул. Панфьорова, 146а - технічне переоснащення</t>
  </si>
  <si>
    <t>Реконструкція громадського туалету на пл. Фестивальній  (бул. Центральний, 3б) в м. Запоріжжя (проектні роботи)</t>
  </si>
  <si>
    <t>Будівництво світлофорного об"єкту на перехресті вул.Грязнова - вул. Артема  - погашення заборгованості за минулі роки</t>
  </si>
  <si>
    <t>Реконструкція світлофорного об"єкту на перехресті пр.Юбілейний - вул. Лахтинська - погашення заборгованості за минулі роки</t>
  </si>
  <si>
    <t>Внески у статутні фонди комунальних підприємств міста (придбання спеціальної техніки) - погашення заборгованості за минулі роки</t>
  </si>
  <si>
    <t>Житлові будинки  по вул. Нижньодніпровській, 14, 16, 18, по бул. Гвардійському, 145а, 147а, 151, 153  - реконструкція системи холодного та гарячого водопостачання</t>
  </si>
  <si>
    <t>Житловий будинок № 149 по вул. Гоголя ІІ корпус - реконструкція нежитлового приміщення в житлове</t>
  </si>
  <si>
    <t>Реконструкція системи водовідведення від житлого будинку по вул. Узбекистанській,1 м.Запоріжжя</t>
  </si>
  <si>
    <t>Гуртожиток по вул. Шаумяна, 3 - реконструкція</t>
  </si>
  <si>
    <t>Гуртожиток по вул. Жуковського, 68 - реконструкція</t>
  </si>
  <si>
    <t xml:space="preserve">Житловий будинок по бул. Вінтера,50 -реконструкція  </t>
  </si>
  <si>
    <t xml:space="preserve">Житловий будинок по вул.Аваліані,1а -реконструкція  </t>
  </si>
  <si>
    <t xml:space="preserve">Житловий будинок по вул.Нагнибіди,15 – реконструкція системи тепло-. водопостачання </t>
  </si>
  <si>
    <t xml:space="preserve">Житловий будинок по бул. Вінтера, 40 - реконструкція  </t>
  </si>
  <si>
    <t>Житловий будинок по вул. Ленській, 1б – реконструкція системи теплопостачання</t>
  </si>
  <si>
    <t>Внески у статутні фонди комунальних підприємств міста (придбання спеціальної техніки)</t>
  </si>
  <si>
    <t>Реконструкція будівлі дошкільного навчального закладу №285 по пр. 40-річчя Перемоги,15а,  Комунарського району (проектні та будівельні роботи)</t>
  </si>
  <si>
    <t xml:space="preserve">Реконструкція будівлі дошкільного навчального закладу №294 по вул. Лассаля, 52а Заводського району, м.Запоріжжя </t>
  </si>
  <si>
    <t>Реконструкція приміщень для груп дошкільного закладу загальноосвітньої школи І-ІІІ ступенів № 69  по вул.Ладозька,2 м.Запоріжжя (проектні роботи)</t>
  </si>
  <si>
    <t>Управління з питань охорони здоров"я  Запорізької  міської ради</t>
  </si>
  <si>
    <t xml:space="preserve">Реконструкція приміщень під амбулаторії сімейного лікаря по вул. Дорошенко, 3, Воронезька, 10 в Хортицькому районі </t>
  </si>
  <si>
    <t xml:space="preserve">Реконструкція нежитлового приміщення по вул. Новокузнецька, 20-а під амбулаторії сімейного лікаря в мікрорайоні "Південний"  Комунарського району </t>
  </si>
  <si>
    <t xml:space="preserve">Комунальна установа "Пологовий будинок №4" по вул. Дудикіна, м. Запоріжжя - реконструкція електрозабезпечення (проектні та будівельні роботи) </t>
  </si>
  <si>
    <t>Реконструкція госпітального відділення КУ "Міська клінічна лікарня №2" м.Запоріжжя (проектні та будівельні роботи)</t>
  </si>
  <si>
    <t xml:space="preserve">Реконструкція відділення мікрохірургії ока комунальної установи "Запорізька міська багатопрофільна клінічна лікарня №9"  м.Запоріжжя </t>
  </si>
  <si>
    <t>Реконструкція приміщень управління праці та соціального захисту населення Запорізької міської ради по  Хортицькому району за адресою: вул. Лахтинська, 4-Б (проектні та будівельні роботи)</t>
  </si>
  <si>
    <t>Виконачий комітет міської ради</t>
  </si>
  <si>
    <t>Районна адміністрація Запорізької міської ради по Жовтневому району</t>
  </si>
  <si>
    <t>Районна адміністрація Запорізької міської ради по Орджонікідзевському району</t>
  </si>
  <si>
    <t>Системи теплопостачання житлових будинків по вул. Виборзька, Гостинна, Єнісейська в м.Запоріжжя - реконструкція</t>
  </si>
  <si>
    <t xml:space="preserve">Будівництво житлового будинку № 10 в мікрорайоні 5 житлового масиву "Південний", м. Запоріжжя (пілотний проект) </t>
  </si>
  <si>
    <t>Будівництво житлового будинку № 11 в кварталі по вул. Алмазній у сел. Павло-Кічкас, м. Запоріжжя (проектні роботи)</t>
  </si>
  <si>
    <t xml:space="preserve">Реконструкція пр.Леніна на ділянці від вул. Кірова до залізничній станції «Запоріжжя-1» (ділянка від вул. Кірова до вул. Космічної)
</t>
  </si>
  <si>
    <t>Реконструкція дороги по вул.Верхній в районі КНС-38 (проектні та будівельні роботи) - погашення заборгованості за минулі роки</t>
  </si>
  <si>
    <t xml:space="preserve">Реконструкція внутрішньоквартальних доріг, тротуарів в районі житлових будинків по вул. Кремлівській, 63а, 65 та вул. Трегубова, 42 </t>
  </si>
  <si>
    <t>Реконструкція скидного зливового колектору в районі насосної станції № 29 в Хортицькому районі (проектні роботи, експертиза)</t>
  </si>
  <si>
    <t xml:space="preserve">Ліквідація аварійного стану житлового будинку по вул. Ракетній, 38а </t>
  </si>
  <si>
    <t xml:space="preserve">Реконструкція, переобладнання та перепланування гуртожитку по вул. Північнокільцевій, 22а під житловий будинок </t>
  </si>
  <si>
    <t>Реконструкція, переобладнання та перепланування будівлі по вул. Таганська, 8 під соціальне житло (проектно-вишукувальні роботи)</t>
  </si>
  <si>
    <t>Реконструкція будівлі дошкільного навчального закладу № 220 по вул. Давидова, 11 Ленінського району м.Запоріжжя (проектні роботи, експертиза)</t>
  </si>
  <si>
    <t>Комунальна установа «Запорізька міська багатопрофільна дитяча лікарня №5» - реконструкція - погашення заборгованості за минулі роки</t>
  </si>
  <si>
    <t>Будівництво поліклініки в житловому масиві "Південний" м.Запоріжжя (проектні роботи)</t>
  </si>
  <si>
    <t xml:space="preserve">Комунальна установа "Центральна лікарня Орджонікідзеського району" по бул. Шевченко, 25 м. Запоріжжя - реконструкція </t>
  </si>
  <si>
    <t>03</t>
  </si>
  <si>
    <t>Реконструкція системи диспечеризації ліфтового господарства в Комунарському районі м.Запоріжжя</t>
  </si>
  <si>
    <t xml:space="preserve">Будівля навчального комплексу "Запорізька Січ" о. Хортиця, м.Запоріжжя - реконструкція </t>
  </si>
  <si>
    <t>Реконструкція  центральної алеї парку "Дубовий гай" в м. Запоріжжя</t>
  </si>
  <si>
    <t>Реконструція мереж зовнішнього освітлення з влаштуванням святкової ілюмінації по проспекту Леніна в межах вул. Сергія Тюленіна (площа Поляка О.В.) – площа Фестивальна (проектні та будівельні роботи)</t>
  </si>
  <si>
    <t>Внески у статутний фонд Запорізького комунального підприємства міського електротранспорту "Запоріжелектротранс" (проведення капітального ремонту понтонів)</t>
  </si>
  <si>
    <t>Реконструкція  пам'ятника "Металургам"  в м.Запоріжжя (проектні та будівельні роботи)</t>
  </si>
  <si>
    <t>Реконструкція приміщень комунальної установи "Міська клінічна лікарня №2" м.Запоріжжя (проектні та будівельні роботи)</t>
  </si>
  <si>
    <t xml:space="preserve">Внески у статутні фонди комунальних підприємств міста (придбання спеціальної техніки та мобільних туалетних кабін (біотуалетів) </t>
  </si>
  <si>
    <t>до рішення  міської ради</t>
  </si>
  <si>
    <t xml:space="preserve">Додаток 7                        </t>
  </si>
  <si>
    <t>Всього видатків</t>
  </si>
  <si>
    <t>010116</t>
  </si>
  <si>
    <t>капітальні видатки</t>
  </si>
  <si>
    <t>070101</t>
  </si>
  <si>
    <t>070201</t>
  </si>
  <si>
    <t>070202</t>
  </si>
  <si>
    <t>070401</t>
  </si>
  <si>
    <t>070806</t>
  </si>
  <si>
    <t>130107</t>
  </si>
  <si>
    <t>080101</t>
  </si>
  <si>
    <t>080203</t>
  </si>
  <si>
    <t>080300</t>
  </si>
  <si>
    <t>081004</t>
  </si>
  <si>
    <t>090203</t>
  </si>
  <si>
    <t>091204</t>
  </si>
  <si>
    <t>Управління з питань правового забезпечення роботи галузей міського господарства Запорізької міської ради</t>
  </si>
  <si>
    <t>110102</t>
  </si>
  <si>
    <t>110201</t>
  </si>
  <si>
    <t>110204</t>
  </si>
  <si>
    <t>110205</t>
  </si>
  <si>
    <t>110502</t>
  </si>
  <si>
    <t>100102</t>
  </si>
  <si>
    <t>250404</t>
  </si>
  <si>
    <t>100203</t>
  </si>
  <si>
    <t>Районна адміністрація Запорізької міської ради по Заводському району</t>
  </si>
  <si>
    <t>Департамент фінансової та бюджетної політики Запорізької міської ради</t>
  </si>
  <si>
    <t>76</t>
  </si>
  <si>
    <t>Служба (управління) у справах дітей Запорізької міської ради</t>
  </si>
  <si>
    <t>Органи місцевого самоврядування</t>
  </si>
  <si>
    <t>Дошкільні заклади освіти</t>
  </si>
  <si>
    <t>Загальноосвітні школи (в т.ч.школа-дитячий садок, інтернат при школі), спеціалізовані школи, ліцеї, гімназії, колегіуми</t>
  </si>
  <si>
    <t>Вечірні (змінні) школи</t>
  </si>
  <si>
    <t>Позашкільні заклади освіти, заходи із позашкільної роботи з дітьми</t>
  </si>
  <si>
    <t>Інші заклади освіти</t>
  </si>
  <si>
    <t>Утримання та навчально-тренувальна робота дитячо-юнацьких спортивних шкіл</t>
  </si>
  <si>
    <t>Інші видатки</t>
  </si>
  <si>
    <t>Благоустрій міста</t>
  </si>
  <si>
    <t>Телебачення та радіомовлення</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</si>
  <si>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</si>
  <si>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місцевих органів ради</t>
  </si>
  <si>
    <t>Театри</t>
  </si>
  <si>
    <t>Бібліотеки</t>
  </si>
  <si>
    <t>Палаци і будинки культури, клуби та інші заклади клубного типу</t>
  </si>
  <si>
    <t>Школи естетичного виховання дітей</t>
  </si>
  <si>
    <t xml:space="preserve">Інші культурно-освітні заклади та заходи </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</si>
  <si>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</si>
  <si>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Територіальні центри і відділення соціальної допомоги на дому</t>
  </si>
  <si>
    <t>Лікарні</t>
  </si>
  <si>
    <t>Пологові будинки</t>
  </si>
  <si>
    <t>Поліклініки і амбулаторії (крім спеціалізованих поліклінік та загальних і спеціалізованих стоматологічних поліклінік)</t>
  </si>
  <si>
    <t>Централізовані бухгалтерії</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</si>
  <si>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</si>
  <si>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Реконструкція системи пожежної сигналізації АБК стадіону "Славутич Арена" в м.Запоріжжі (проектні та будівельні роботи) - погашення заборгованості за минулі роки</t>
  </si>
  <si>
    <t>Будівництво постаменту "Футбольна бутса" на території прилеглої до головної арени стадіону "Славутич-Арена"</t>
  </si>
  <si>
    <t>Реконструкція Заводської підстанції швидкої медичної допомоги комунальної установи "Міська клінічна лікарня екстреної та швидкої медичної допомоги м. Запоріжжя" по вул.Демократичній, 127 (проектні роботи)</t>
  </si>
  <si>
    <t>Реконструкція парку "Трудової слави" в м.Запоріжжя</t>
  </si>
  <si>
    <t>Реконструкція скверу "Прикордонників" з встановленням стели в м. Запоріжжя</t>
  </si>
  <si>
    <t>Районна адміністрація Запорізької міської ради по Ленінському району</t>
  </si>
  <si>
    <t xml:space="preserve">Реконструкція парку   «Перемоги» в м. Запоріжжя» (ІІ черга)
</t>
  </si>
  <si>
    <t>Реконструкція скверу біля ПК "Заводський" (проектні та будівельні роботи)</t>
  </si>
  <si>
    <t>Будівництво  мереж зовнішнього освітлення по вул.Овочівництва на о.Хортиця (проектні та будівельні роботи)</t>
  </si>
  <si>
    <t>Будівництво мереж зовнішнього освітлення по вул.Горького (від вул.Радянської до вул.Червоногвардійської) (проектні та будівельні роботи)</t>
  </si>
  <si>
    <t>Будівництво мереж зовнішнього освітлення по вул.Свердлова (від вул.Жуковського до вул.Гоголя) (проектні та будівельні роботи)</t>
  </si>
  <si>
    <t>Районна адміністрація Запорізької міської ради по Комунарському району</t>
  </si>
  <si>
    <t>Реконструкція будівлі по вул. Таганська, 8 під соціальний готель (проектні роботи та експертиза)</t>
  </si>
  <si>
    <t>150101</t>
  </si>
  <si>
    <t xml:space="preserve">Реконструкція приміщень під амбулаторії сімейного лікаря по вул. Дорошенко, 3 в Хортицькому районі </t>
  </si>
  <si>
    <t xml:space="preserve">Реконструкція приміщень під амбулаторії сімейного лікаря по вул.Воронезька, 10 в Хортицькому районі </t>
  </si>
  <si>
    <t>Будівництво системи раннього виявлення надзвичайних ситуацій та оповіщення людей у разі їх виникнення на стадіоні "Славутич - Арена" (проектні роботи)</t>
  </si>
  <si>
    <t>Будівництво системи раннього виявлення надзвичайних ситуацій та оповіщення людей у разі їх виникнення на стадіоні "Славутич - Арена" (монтажні та пусконалагоджувальні роботи)</t>
  </si>
  <si>
    <t>Будівництво системи сповіщення надзвичайних ситуацій на стадіоні "Славутич - Арена"</t>
  </si>
  <si>
    <t>Будівництво захисної сітки для безпеки вболівальників на стадіоні "Славутич - Арена"</t>
  </si>
  <si>
    <t>Реконструкція будівлі дошкільного навчального закладу № 144 Комунарського району (проектні та будівельні роботи)</t>
  </si>
  <si>
    <t xml:space="preserve">Реконструкція вул. Рекордної, м. Запоріжжя (проектні та будівельні роботи) </t>
  </si>
  <si>
    <t>Реконструкція автодороги Запоріжжя -Підпорожнянка в районі шлакових відвалів ВАТ "Запоріжсталь" (проектні роботи)</t>
  </si>
  <si>
    <t>Реконструкція Палацу спорту "Юність" в м. Запоріжжя" (проектні роботи)</t>
  </si>
  <si>
    <t xml:space="preserve">Реконструкція бульвару Будівельників в Хортицькому районі м.Запоріжжя </t>
  </si>
  <si>
    <t>Газифікація житлових будинків по вул.Воєнбуд м.Запоріжжя</t>
  </si>
  <si>
    <t>Будівництво водогону технічної води в Хортицькому житловому масиві, м.Запоріжжя (проектні роботи та експертиза)</t>
  </si>
  <si>
    <t xml:space="preserve">Будівництво об'єкту благоустрою (мобільної туалетної кабіни) в парку Металургів м.Запоріжжя </t>
  </si>
  <si>
    <t>в тому числі:</t>
  </si>
  <si>
    <t>комунальне автотранспортне підприємство 082801 "Комунсантрансекологія"</t>
  </si>
  <si>
    <t>в тому числі</t>
  </si>
  <si>
    <t>Комунальне підприємство "Експлуатаційне лінійне управління автомобільних шляхів"</t>
  </si>
  <si>
    <t>Комунальне підприємство "Титан"</t>
  </si>
  <si>
    <t>Комунальне підприємство "Водоканал"</t>
  </si>
  <si>
    <t>Спеціальне комунальне підприємство "Запорізька ритуальна служба"</t>
  </si>
  <si>
    <t>Комунальне підприємство електромереж зовнішнього освітлення "Запоріжміськсвітло"</t>
  </si>
  <si>
    <t>Районна адміністрація Запорізької міської ради по Шевченківському району</t>
  </si>
  <si>
    <t>Районна адміністрація Запорізької міської ради по Хортицькому району</t>
  </si>
  <si>
    <t>091101</t>
  </si>
  <si>
    <t>Утримання центрів соціальних служб для сім'ї, дітей та молоді</t>
  </si>
  <si>
    <t xml:space="preserve">Реконструкція будівель та інженерних мереж комунальної установи «Міська клінічна лікарня екстреної та швидкої медичної допомоги по вул.Перемоги,80 м. Запоріжжя» (проектні роботи та експертиза) </t>
  </si>
  <si>
    <t>070802</t>
  </si>
  <si>
    <t>070804</t>
  </si>
  <si>
    <t>Методична робота, інші заходи у сфері народної освіти</t>
  </si>
  <si>
    <t>Централізовані бухгалтерії обласних, міських, районних відділів освіти</t>
  </si>
  <si>
    <t>Реконструкція нежитлового приміщення по вул. Сталеварів, 19 м.Запоріжжя (проектні роботи та експертиза)</t>
  </si>
  <si>
    <t>32</t>
  </si>
  <si>
    <t>Управління розвитку підприємництва та дозвільних послуг Запорізької міської ради</t>
  </si>
  <si>
    <t>Розробка ескізного проекту реконструкції парку "Дубовий гай"</t>
  </si>
  <si>
    <t>Секретар міської ради</t>
  </si>
  <si>
    <t>Р.О.Таран</t>
  </si>
  <si>
    <t>міське комунальне підприємство "Основаніє"</t>
  </si>
  <si>
    <t>92000</t>
  </si>
  <si>
    <t>Реконструкція вул.Шамотної в межах від вул.Електричної до вул.Шламової (проектні та будіельні роботи)</t>
  </si>
  <si>
    <t>Реконструкція вул.Фінальної в межах від вул.Північне шосе до вул.Історичної (пректні та будівельні роботи)</t>
  </si>
  <si>
    <t>Реконструкція вул.Ніжинської в межах від вул.Олександра Невського до вул.Шмідта (проектні та будівельні роботи)</t>
  </si>
  <si>
    <t>Реконструкція вул.Кияшка в межах від бул.Вінтера до вул.Михайлова (проектні та будівельні роботи)</t>
  </si>
  <si>
    <t>Реконструкція вул.Медичної в межах від вул.Айвазовського до вул.Панаса Мирного (проектні та будівельні роботи)</t>
  </si>
  <si>
    <t>Будівництво мереж внутрішньоквартального зовнішнього освітлення по вулиці Тенісна, 4, 6, 10 (проектні роботи)</t>
  </si>
  <si>
    <t>Будівництво мереж зовнішнього освітлення скверу біля ПК "Заводський" (проектні роботи)</t>
  </si>
  <si>
    <t>Будівництво мереж зовнішнього освітлення вулиць: Байконурівська, Булавіна, Сурікова, Фучика, пров.Вузький, пров.Сріблястий, пров.Якутський (проектні роботи)</t>
  </si>
  <si>
    <t>Будівництво мереж зовнішнього освітлення вулиць: Автодорівська від буд.2 до буд.22, Олеку Дуднича від буд.4 до буд.10., Історична від буд. 1 до буд. 5, Косарєва, Морфлотська, Початкова, Каспійська, Політехнічна, пров.Кедровий, пров.Юр'ївський (проектні роботи)</t>
  </si>
  <si>
    <t>Будівництво зовнішнього освітлення вулиць та провулків: Кам'янсько-Дніпровська, Колонтай, Салавата Юлаєва, Цілинна (пров.Кубинський), пров.Писарєва, пров.Адигейський, вул. Підгірна, вул.Фадєєва (проектні та будівельні роботи)</t>
  </si>
  <si>
    <t>Будівництво дитячого майданчика в сквері біля ПК "Заводський" (проектні та будівельні роботи)</t>
  </si>
  <si>
    <t>Будівництво мереж внутрішньоквартального зовнішнього освітлення вулиць: Історична, 67, 69, 71, Історична, 20, 20а, 20б, Запоріжбудівська, 2, 4 , 6 (проектні роботи)</t>
  </si>
  <si>
    <t xml:space="preserve">  20.06.2012  № 5</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</si>
</sst>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
    <numFmt numFmtId="174" formatCode="#,##0.000"/>
    <numFmt numFmtId="175" formatCode="0.000"/>
  </numFmts>
  <fonts count="56">
    <font>
      <sz val="11"/>
      <color theme="1"/>
      <name val="Calibri"/>
      <family val="2"/>
    </font>
    <font>
      <sz val="11"/>
      <color indexed="8"/>
      <name val="Calibri"/>
      <family val="2"/>
    </font>
    <font>
      <sz val="10"/>
      <name val="Arial Cyr"/>
      <family val="0"/>
    </font>
    <font>
      <b/>
      <sz val="14"/>
      <name val="Arial"/>
      <family val="2"/>
    </font>
    <font>
      <sz val="11"/>
      <name val="Times New Roman"/>
      <family val="1"/>
    </font>
    <font>
      <b/>
      <sz val="14"/>
      <name val="Times New Roman"/>
      <family val="1"/>
    </font>
    <font>
      <sz val="14"/>
      <name val="Times New Roman"/>
      <family val="1"/>
    </font>
    <font>
      <b/>
      <sz val="12"/>
      <name val="Times New Roman"/>
      <family val="1"/>
    </font>
    <font>
      <sz val="10"/>
      <name val="Times New Roman"/>
      <family val="1"/>
    </font>
    <font>
      <sz val="12"/>
      <name val="Times New Roman"/>
      <family val="1"/>
    </font>
    <font>
      <b/>
      <sz val="10"/>
      <name val="Times New Roman"/>
      <family val="1"/>
    </font>
    <font>
      <sz val="17"/>
      <name val="Times New Roman"/>
      <family val="1"/>
    </font>
    <font>
      <sz val="8"/>
      <name val="Calibri"/>
      <family val="2"/>
    </font>
    <font>
      <sz val="12"/>
      <color indexed="8"/>
      <name val="Arial"/>
      <family val="2"/>
    </font>
    <font>
      <b/>
      <sz val="12"/>
      <color indexed="8"/>
      <name val="Arial"/>
      <family val="2"/>
    </font>
    <font>
      <sz val="9"/>
      <name val="Arial Cyr"/>
      <family val="2"/>
    </font>
    <font>
      <sz val="8"/>
      <name val="Arial Cyr"/>
      <family val="2"/>
    </font>
    <font>
      <u val="single"/>
      <sz val="8.25"/>
      <color indexed="12"/>
      <name val="Calibri"/>
      <family val="2"/>
    </font>
    <font>
      <u val="single"/>
      <sz val="8.25"/>
      <color indexed="36"/>
      <name val="Calibri"/>
      <family val="2"/>
    </font>
    <font>
      <sz val="18"/>
      <color indexed="8"/>
      <name val="Times New Roman"/>
      <family val="1"/>
    </font>
    <font>
      <sz val="20"/>
      <name val="Times New Roman"/>
      <family val="1"/>
    </font>
    <font>
      <sz val="12"/>
      <name val="Arial"/>
      <family val="2"/>
    </font>
    <font>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1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style="thin"/>
      <bottom/>
    </border>
    <border>
      <left style="thin"/>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1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2" fillId="0" borderId="0">
      <alignment/>
      <protection/>
    </xf>
    <xf numFmtId="0" fontId="18"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5" fillId="31" borderId="0" applyNumberFormat="0" applyBorder="0" applyAlignment="0" applyProtection="0"/>
  </cellStyleXfs>
  <cellXfs count="81">
    <xf numFmtId="0" fontId="0" fillId="0" borderId="0" xfId="0" applyFont="1" applyAlignment="1">
      <alignment/>
    </xf>
    <xf numFmtId="0" fontId="0" fillId="32" borderId="0" xfId="0" applyFill="1" applyAlignment="1">
      <alignment/>
    </xf>
    <xf numFmtId="0" fontId="0" fillId="32" borderId="0" xfId="0" applyFill="1" applyAlignment="1">
      <alignment horizontal="center" vertical="center"/>
    </xf>
    <xf numFmtId="0" fontId="4" fillId="32" borderId="0" xfId="0" applyFont="1" applyFill="1" applyAlignment="1">
      <alignment wrapText="1"/>
    </xf>
    <xf numFmtId="0" fontId="6" fillId="0" borderId="0" xfId="0" applyFont="1" applyFill="1" applyBorder="1" applyAlignment="1">
      <alignment horizontal="center" vertical="center"/>
    </xf>
    <xf numFmtId="174" fontId="5" fillId="0" borderId="0" xfId="0" applyNumberFormat="1" applyFont="1" applyFill="1" applyBorder="1" applyAlignment="1">
      <alignment horizontal="center" vertical="center" wrapText="1"/>
    </xf>
    <xf numFmtId="174"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textRotation="90"/>
    </xf>
    <xf numFmtId="174" fontId="6" fillId="0" borderId="0" xfId="0" applyNumberFormat="1" applyFont="1" applyFill="1" applyBorder="1" applyAlignment="1">
      <alignment horizontal="center" vertical="center" wrapText="1"/>
    </xf>
    <xf numFmtId="174"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174" fontId="6" fillId="0" borderId="0" xfId="0" applyNumberFormat="1" applyFont="1" applyFill="1" applyBorder="1" applyAlignment="1">
      <alignment horizontal="center" vertical="center"/>
    </xf>
    <xf numFmtId="174" fontId="9" fillId="0" borderId="0" xfId="0" applyNumberFormat="1" applyFont="1" applyFill="1" applyBorder="1" applyAlignment="1">
      <alignment vertical="center" wrapText="1"/>
    </xf>
    <xf numFmtId="0" fontId="9" fillId="0" borderId="0" xfId="0" applyNumberFormat="1" applyFont="1" applyFill="1" applyBorder="1" applyAlignment="1">
      <alignment vertical="center" wrapText="1"/>
    </xf>
    <xf numFmtId="0" fontId="8" fillId="0" borderId="0" xfId="0" applyFont="1" applyFill="1" applyBorder="1" applyAlignment="1">
      <alignment horizontal="center" vertical="center" textRotation="90" wrapText="1"/>
    </xf>
    <xf numFmtId="0" fontId="9"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left" vertical="center" wrapText="1"/>
    </xf>
    <xf numFmtId="0" fontId="10" fillId="0" borderId="0" xfId="0" applyFont="1" applyFill="1" applyBorder="1" applyAlignment="1">
      <alignment horizontal="center" vertical="center" textRotation="90"/>
    </xf>
    <xf numFmtId="0" fontId="5" fillId="0" borderId="0" xfId="0" applyFont="1" applyFill="1" applyBorder="1" applyAlignment="1">
      <alignment horizontal="center" vertical="center"/>
    </xf>
    <xf numFmtId="175" fontId="9"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49" fontId="9" fillId="0" borderId="0" xfId="0" applyNumberFormat="1" applyFont="1" applyFill="1" applyBorder="1" applyAlignment="1">
      <alignment horizontal="center" vertical="center" wrapText="1"/>
    </xf>
    <xf numFmtId="174" fontId="5"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Alignment="1">
      <alignment vertical="center" wrapText="1"/>
    </xf>
    <xf numFmtId="0" fontId="0" fillId="32" borderId="0" xfId="0" applyFill="1" applyAlignment="1">
      <alignment horizontal="left" wrapText="1"/>
    </xf>
    <xf numFmtId="0" fontId="0" fillId="32" borderId="0" xfId="0" applyFill="1" applyAlignment="1">
      <alignment horizontal="right"/>
    </xf>
    <xf numFmtId="0" fontId="0" fillId="32" borderId="0" xfId="0" applyFill="1" applyAlignment="1">
      <alignment horizontal="center"/>
    </xf>
    <xf numFmtId="3" fontId="0" fillId="32" borderId="0" xfId="0" applyNumberFormat="1" applyFill="1" applyAlignment="1">
      <alignment horizontal="right"/>
    </xf>
    <xf numFmtId="0" fontId="0" fillId="32" borderId="0" xfId="0" applyFill="1" applyAlignment="1">
      <alignment wrapText="1"/>
    </xf>
    <xf numFmtId="0" fontId="13" fillId="32" borderId="10" xfId="0" applyFont="1" applyFill="1" applyBorder="1" applyAlignment="1">
      <alignment horizontal="center" vertical="center" wrapText="1"/>
    </xf>
    <xf numFmtId="49" fontId="14" fillId="0" borderId="10" xfId="0" applyNumberFormat="1" applyFont="1" applyFill="1" applyBorder="1" applyAlignment="1">
      <alignment horizontal="center" wrapText="1"/>
    </xf>
    <xf numFmtId="0" fontId="14" fillId="0" borderId="10" xfId="0" applyFont="1" applyFill="1" applyBorder="1" applyAlignment="1">
      <alignment wrapText="1"/>
    </xf>
    <xf numFmtId="3" fontId="14" fillId="0" borderId="10" xfId="0" applyNumberFormat="1" applyFont="1" applyFill="1" applyBorder="1" applyAlignment="1">
      <alignment wrapText="1"/>
    </xf>
    <xf numFmtId="172" fontId="14" fillId="0" borderId="10" xfId="0" applyNumberFormat="1" applyFont="1" applyFill="1" applyBorder="1" applyAlignment="1">
      <alignment wrapText="1"/>
    </xf>
    <xf numFmtId="0" fontId="13" fillId="0" borderId="10" xfId="0" applyFont="1" applyFill="1" applyBorder="1" applyAlignment="1">
      <alignment horizontal="center" wrapText="1"/>
    </xf>
    <xf numFmtId="0" fontId="13" fillId="0" borderId="10" xfId="0" applyFont="1" applyFill="1" applyBorder="1" applyAlignment="1">
      <alignment wrapText="1"/>
    </xf>
    <xf numFmtId="3" fontId="13" fillId="0" borderId="10" xfId="0" applyNumberFormat="1" applyFont="1" applyFill="1" applyBorder="1" applyAlignment="1">
      <alignment wrapText="1"/>
    </xf>
    <xf numFmtId="172" fontId="13" fillId="0" borderId="10" xfId="0" applyNumberFormat="1" applyFont="1" applyFill="1" applyBorder="1" applyAlignment="1">
      <alignment wrapText="1"/>
    </xf>
    <xf numFmtId="0" fontId="14" fillId="0" borderId="10" xfId="0" applyFont="1" applyFill="1" applyBorder="1" applyAlignment="1">
      <alignment horizontal="center" wrapText="1"/>
    </xf>
    <xf numFmtId="0" fontId="13" fillId="0" borderId="11" xfId="0" applyFont="1" applyFill="1" applyBorder="1" applyAlignment="1">
      <alignment horizontal="center" wrapText="1"/>
    </xf>
    <xf numFmtId="0" fontId="13" fillId="0" borderId="11" xfId="0" applyFont="1" applyFill="1" applyBorder="1" applyAlignment="1">
      <alignment wrapText="1"/>
    </xf>
    <xf numFmtId="3" fontId="13" fillId="0" borderId="11" xfId="0" applyNumberFormat="1" applyFont="1" applyFill="1" applyBorder="1" applyAlignment="1">
      <alignment wrapText="1"/>
    </xf>
    <xf numFmtId="172" fontId="13" fillId="0" borderId="11" xfId="0" applyNumberFormat="1" applyFont="1" applyFill="1" applyBorder="1" applyAlignment="1">
      <alignment wrapText="1"/>
    </xf>
    <xf numFmtId="0" fontId="13" fillId="0" borderId="0" xfId="0" applyFont="1" applyFill="1" applyBorder="1" applyAlignment="1">
      <alignment horizontal="center" wrapText="1"/>
    </xf>
    <xf numFmtId="0" fontId="13" fillId="0" borderId="0" xfId="0" applyFont="1" applyFill="1" applyBorder="1" applyAlignment="1">
      <alignment wrapText="1"/>
    </xf>
    <xf numFmtId="3" fontId="13" fillId="0" borderId="0" xfId="0" applyNumberFormat="1" applyFont="1" applyFill="1" applyBorder="1" applyAlignment="1">
      <alignment wrapText="1"/>
    </xf>
    <xf numFmtId="172" fontId="13" fillId="0" borderId="0" xfId="0" applyNumberFormat="1" applyFont="1" applyFill="1" applyBorder="1" applyAlignment="1">
      <alignment wrapText="1"/>
    </xf>
    <xf numFmtId="49" fontId="13" fillId="0" borderId="10" xfId="0" applyNumberFormat="1" applyFont="1" applyFill="1" applyBorder="1" applyAlignment="1">
      <alignment horizontal="center" wrapText="1"/>
    </xf>
    <xf numFmtId="49" fontId="13" fillId="0" borderId="10" xfId="0" applyNumberFormat="1" applyFont="1" applyFill="1" applyBorder="1" applyAlignment="1">
      <alignment wrapText="1"/>
    </xf>
    <xf numFmtId="3" fontId="7" fillId="0" borderId="0" xfId="0" applyNumberFormat="1" applyFont="1" applyFill="1" applyBorder="1" applyAlignment="1">
      <alignment horizontal="center" vertical="center"/>
    </xf>
    <xf numFmtId="3" fontId="7" fillId="0" borderId="0" xfId="0" applyNumberFormat="1" applyFont="1" applyFill="1" applyBorder="1" applyAlignment="1">
      <alignment horizontal="center" vertical="center" wrapText="1"/>
    </xf>
    <xf numFmtId="0" fontId="15" fillId="0" borderId="10" xfId="0" applyFont="1" applyFill="1" applyBorder="1" applyAlignment="1">
      <alignment wrapText="1"/>
    </xf>
    <xf numFmtId="0" fontId="16" fillId="0" borderId="10" xfId="0" applyFont="1" applyFill="1" applyBorder="1" applyAlignment="1">
      <alignment wrapText="1"/>
    </xf>
    <xf numFmtId="0" fontId="19" fillId="32" borderId="0" xfId="0" applyFont="1" applyFill="1" applyAlignment="1">
      <alignment/>
    </xf>
    <xf numFmtId="0" fontId="13" fillId="0" borderId="10" xfId="0" applyFont="1" applyFill="1" applyBorder="1" applyAlignment="1">
      <alignment vertical="center" wrapText="1"/>
    </xf>
    <xf numFmtId="1" fontId="6"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1" fontId="0" fillId="32" borderId="0" xfId="0" applyNumberFormat="1" applyFill="1" applyAlignment="1">
      <alignment/>
    </xf>
    <xf numFmtId="1" fontId="7" fillId="0" borderId="0" xfId="0" applyNumberFormat="1" applyFont="1" applyFill="1" applyBorder="1" applyAlignment="1">
      <alignment horizontal="center" vertical="center" wrapText="1"/>
    </xf>
    <xf numFmtId="3" fontId="0" fillId="32" borderId="0" xfId="0" applyNumberFormat="1" applyFill="1" applyAlignment="1">
      <alignment/>
    </xf>
    <xf numFmtId="3" fontId="6" fillId="0" borderId="0" xfId="0" applyNumberFormat="1" applyFont="1" applyFill="1" applyBorder="1" applyAlignment="1">
      <alignment horizontal="center" vertical="center" wrapText="1"/>
    </xf>
    <xf numFmtId="49" fontId="14" fillId="0" borderId="10" xfId="0" applyNumberFormat="1" applyFont="1" applyFill="1" applyBorder="1" applyAlignment="1">
      <alignment wrapText="1"/>
    </xf>
    <xf numFmtId="49" fontId="13" fillId="0" borderId="10" xfId="0" applyNumberFormat="1" applyFont="1" applyFill="1" applyBorder="1" applyAlignment="1">
      <alignment horizontal="right" wrapText="1"/>
    </xf>
    <xf numFmtId="0" fontId="20" fillId="0" borderId="0" xfId="0" applyFont="1" applyAlignment="1">
      <alignment wrapText="1"/>
    </xf>
    <xf numFmtId="175" fontId="20" fillId="0" borderId="0" xfId="0" applyNumberFormat="1" applyFont="1" applyBorder="1" applyAlignment="1">
      <alignment/>
    </xf>
    <xf numFmtId="0" fontId="20" fillId="0" borderId="0" xfId="0" applyFont="1" applyAlignment="1">
      <alignment/>
    </xf>
    <xf numFmtId="1" fontId="13" fillId="0" borderId="10" xfId="0" applyNumberFormat="1" applyFont="1" applyFill="1" applyBorder="1" applyAlignment="1">
      <alignment horizontal="right" wrapText="1"/>
    </xf>
    <xf numFmtId="0" fontId="21" fillId="0" borderId="10" xfId="0" applyFont="1" applyFill="1" applyBorder="1" applyAlignment="1">
      <alignment horizontal="center" wrapText="1"/>
    </xf>
    <xf numFmtId="0" fontId="21" fillId="0" borderId="10" xfId="0" applyFont="1" applyFill="1" applyBorder="1" applyAlignment="1">
      <alignment wrapText="1"/>
    </xf>
    <xf numFmtId="3" fontId="21" fillId="0" borderId="10" xfId="0" applyNumberFormat="1" applyFont="1" applyFill="1" applyBorder="1" applyAlignment="1">
      <alignment wrapText="1"/>
    </xf>
    <xf numFmtId="3" fontId="22" fillId="32" borderId="0" xfId="0" applyNumberFormat="1" applyFont="1" applyFill="1" applyAlignment="1">
      <alignment/>
    </xf>
    <xf numFmtId="0" fontId="20" fillId="0" borderId="0" xfId="0" applyFont="1" applyAlignment="1">
      <alignment horizontal="left" wrapText="1"/>
    </xf>
    <xf numFmtId="0" fontId="3" fillId="32" borderId="0" xfId="0" applyFont="1" applyFill="1" applyAlignment="1">
      <alignment horizontal="center"/>
    </xf>
    <xf numFmtId="0" fontId="13" fillId="32" borderId="12" xfId="0" applyFont="1" applyFill="1" applyBorder="1" applyAlignment="1">
      <alignment horizontal="center" vertical="center" wrapText="1"/>
    </xf>
    <xf numFmtId="0" fontId="13" fillId="32" borderId="13" xfId="0" applyFont="1" applyFill="1" applyBorder="1" applyAlignment="1">
      <alignment horizontal="center" vertical="center" wrapText="1"/>
    </xf>
    <xf numFmtId="0" fontId="39" fillId="32" borderId="0" xfId="0" applyFont="1" applyFill="1" applyAlignment="1">
      <alignmen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5" xfId="53"/>
    <cellStyle name="Followed Hyperlink" xfId="54"/>
    <cellStyle name="Плохой" xfId="55"/>
    <cellStyle name="Пояснение" xfId="56"/>
    <cellStyle name="Примечание" xfId="57"/>
    <cellStyle name="Percent" xfId="58"/>
    <cellStyle name="Процентный 2" xfId="59"/>
    <cellStyle name="Процентный 2 3" xfId="60"/>
    <cellStyle name="Процентный 5"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істо"/>
    </sheetNames>
    <sheetDataSet>
      <sheetData sheetId="0">
        <row r="13">
          <cell r="K13">
            <v>459625</v>
          </cell>
        </row>
        <row r="18">
          <cell r="K18">
            <v>7065</v>
          </cell>
        </row>
        <row r="30">
          <cell r="K30">
            <v>143656</v>
          </cell>
        </row>
        <row r="45">
          <cell r="K45">
            <v>598086</v>
          </cell>
        </row>
        <row r="47">
          <cell r="K47">
            <v>3616820</v>
          </cell>
        </row>
        <row r="49">
          <cell r="K49">
            <v>9200</v>
          </cell>
        </row>
        <row r="51">
          <cell r="K51">
            <v>460775</v>
          </cell>
        </row>
        <row r="53">
          <cell r="K53">
            <v>24500</v>
          </cell>
        </row>
        <row r="55">
          <cell r="K55">
            <v>73500</v>
          </cell>
        </row>
        <row r="57">
          <cell r="K57">
            <v>0</v>
          </cell>
        </row>
        <row r="62">
          <cell r="K62">
            <v>134400</v>
          </cell>
        </row>
        <row r="68">
          <cell r="K68">
            <v>22000</v>
          </cell>
        </row>
        <row r="73">
          <cell r="K73">
            <v>16915788</v>
          </cell>
        </row>
        <row r="84">
          <cell r="K84">
            <v>3377458</v>
          </cell>
        </row>
        <row r="86">
          <cell r="K86">
            <v>174561</v>
          </cell>
        </row>
        <row r="87">
          <cell r="K87">
            <v>530160</v>
          </cell>
        </row>
        <row r="93">
          <cell r="K93">
            <v>19908</v>
          </cell>
        </row>
        <row r="95">
          <cell r="K95">
            <v>17340917</v>
          </cell>
        </row>
        <row r="103">
          <cell r="K103">
            <v>79642</v>
          </cell>
        </row>
        <row r="112">
          <cell r="K112">
            <v>25582</v>
          </cell>
        </row>
        <row r="157">
          <cell r="K157">
            <v>179691</v>
          </cell>
        </row>
        <row r="162">
          <cell r="K162">
            <v>5341456</v>
          </cell>
        </row>
        <row r="187">
          <cell r="K187">
            <v>16170</v>
          </cell>
        </row>
        <row r="192">
          <cell r="K192">
            <v>5254</v>
          </cell>
        </row>
        <row r="197">
          <cell r="K197">
            <v>1306673</v>
          </cell>
        </row>
        <row r="198">
          <cell r="K198">
            <v>1526681</v>
          </cell>
        </row>
        <row r="199">
          <cell r="K199">
            <v>509116</v>
          </cell>
        </row>
        <row r="200">
          <cell r="K200">
            <v>211788</v>
          </cell>
        </row>
        <row r="204">
          <cell r="K204">
            <v>106723</v>
          </cell>
        </row>
        <row r="205">
          <cell r="K205">
            <v>100000</v>
          </cell>
        </row>
        <row r="214">
          <cell r="K214">
            <v>8240</v>
          </cell>
        </row>
        <row r="230">
          <cell r="K230">
            <v>41020990</v>
          </cell>
        </row>
        <row r="236">
          <cell r="K236">
            <v>14518746</v>
          </cell>
        </row>
        <row r="246">
          <cell r="K246">
            <v>1518843</v>
          </cell>
        </row>
        <row r="264">
          <cell r="K264">
            <v>2733344</v>
          </cell>
        </row>
        <row r="266">
          <cell r="K266">
            <v>28564533</v>
          </cell>
        </row>
        <row r="326">
          <cell r="K326">
            <v>98900</v>
          </cell>
        </row>
        <row r="344">
          <cell r="K344">
            <v>6500</v>
          </cell>
        </row>
        <row r="348">
          <cell r="K348">
            <v>14191754</v>
          </cell>
        </row>
        <row r="368">
          <cell r="K368">
            <v>2766704</v>
          </cell>
        </row>
        <row r="371">
          <cell r="K371">
            <v>28515</v>
          </cell>
        </row>
        <row r="373">
          <cell r="K373">
            <v>30000</v>
          </cell>
        </row>
        <row r="374">
          <cell r="K374">
            <v>95000</v>
          </cell>
        </row>
        <row r="384">
          <cell r="K384">
            <v>0</v>
          </cell>
        </row>
        <row r="395">
          <cell r="K395">
            <v>35763</v>
          </cell>
        </row>
        <row r="397">
          <cell r="K397">
            <v>39000</v>
          </cell>
        </row>
        <row r="398">
          <cell r="K398">
            <v>6712467</v>
          </cell>
        </row>
        <row r="408">
          <cell r="K408">
            <v>9000</v>
          </cell>
        </row>
        <row r="410">
          <cell r="K410">
            <v>13000</v>
          </cell>
        </row>
        <row r="411">
          <cell r="K411">
            <v>8424758</v>
          </cell>
        </row>
        <row r="421">
          <cell r="K421">
            <v>28515</v>
          </cell>
        </row>
        <row r="433">
          <cell r="K433">
            <v>5000</v>
          </cell>
        </row>
        <row r="435">
          <cell r="K435">
            <v>23000</v>
          </cell>
        </row>
        <row r="447">
          <cell r="K447">
            <v>28515</v>
          </cell>
        </row>
        <row r="456">
          <cell r="K456">
            <v>40000</v>
          </cell>
        </row>
        <row r="457">
          <cell r="K457">
            <v>190306160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231"/>
  <sheetViews>
    <sheetView tabSelected="1" view="pageBreakPreview" zoomScale="75" zoomScaleNormal="75" zoomScaleSheetLayoutView="75" zoomScalePageLayoutView="0" workbookViewId="0" topLeftCell="A1">
      <selection activeCell="E3" sqref="E3"/>
    </sheetView>
  </sheetViews>
  <sheetFormatPr defaultColWidth="9.140625" defaultRowHeight="15"/>
  <cols>
    <col min="1" max="1" width="22.421875" style="1" customWidth="1"/>
    <col min="2" max="2" width="33.421875" style="27" bestFit="1" customWidth="1"/>
    <col min="3" max="3" width="40.7109375" style="27" customWidth="1"/>
    <col min="4" max="5" width="16.7109375" style="28" customWidth="1"/>
    <col min="6" max="6" width="16.28125" style="28" customWidth="1"/>
    <col min="7" max="7" width="19.8515625" style="28" customWidth="1"/>
    <col min="8" max="8" width="21.00390625" style="1" bestFit="1" customWidth="1"/>
    <col min="9" max="9" width="19.57421875" style="1" bestFit="1" customWidth="1"/>
    <col min="10" max="10" width="15.28125" style="1" customWidth="1"/>
    <col min="11" max="16384" width="9.140625" style="1" customWidth="1"/>
  </cols>
  <sheetData>
    <row r="1" spans="2:7" ht="63.75" customHeight="1">
      <c r="B1" s="31"/>
      <c r="C1" s="31"/>
      <c r="E1" s="56" t="s">
        <v>125</v>
      </c>
      <c r="F1" s="1"/>
      <c r="G1" s="1"/>
    </row>
    <row r="2" spans="2:7" ht="21.75" customHeight="1">
      <c r="B2" s="31"/>
      <c r="C2" s="31"/>
      <c r="E2" s="56" t="s">
        <v>124</v>
      </c>
      <c r="F2" s="1"/>
      <c r="G2" s="1"/>
    </row>
    <row r="3" spans="2:7" ht="22.5">
      <c r="B3" s="31"/>
      <c r="C3" s="31"/>
      <c r="E3" s="80" t="s">
        <v>243</v>
      </c>
      <c r="F3" s="1"/>
      <c r="G3" s="1"/>
    </row>
    <row r="4" spans="2:7" ht="15">
      <c r="B4" s="31"/>
      <c r="C4" s="31"/>
      <c r="D4" s="1"/>
      <c r="E4" s="1"/>
      <c r="F4" s="1"/>
      <c r="G4" s="1"/>
    </row>
    <row r="5" spans="2:7" ht="15">
      <c r="B5" s="31"/>
      <c r="C5" s="31"/>
      <c r="D5" s="1"/>
      <c r="E5" s="1"/>
      <c r="F5" s="1"/>
      <c r="G5" s="1"/>
    </row>
    <row r="6" spans="1:7" s="3" customFormat="1" ht="18">
      <c r="A6" s="77" t="s">
        <v>28</v>
      </c>
      <c r="B6" s="77"/>
      <c r="C6" s="77"/>
      <c r="D6" s="77"/>
      <c r="E6" s="77"/>
      <c r="F6" s="77"/>
      <c r="G6" s="77"/>
    </row>
    <row r="7" spans="2:7" ht="15">
      <c r="B7" s="31"/>
      <c r="C7" s="31"/>
      <c r="D7" s="1"/>
      <c r="E7" s="1"/>
      <c r="F7" s="1"/>
      <c r="G7" s="1"/>
    </row>
    <row r="8" spans="2:7" ht="15">
      <c r="B8" s="31"/>
      <c r="C8" s="31"/>
      <c r="D8" s="1"/>
      <c r="E8" s="1"/>
      <c r="F8" s="1"/>
      <c r="G8" s="1"/>
    </row>
    <row r="9" spans="1:7" s="2" customFormat="1" ht="79.5" customHeight="1">
      <c r="A9" s="32" t="s">
        <v>7</v>
      </c>
      <c r="B9" s="32" t="s">
        <v>8</v>
      </c>
      <c r="C9" s="78" t="s">
        <v>0</v>
      </c>
      <c r="D9" s="78" t="s">
        <v>3</v>
      </c>
      <c r="E9" s="78" t="s">
        <v>4</v>
      </c>
      <c r="F9" s="78" t="s">
        <v>5</v>
      </c>
      <c r="G9" s="78" t="s">
        <v>6</v>
      </c>
    </row>
    <row r="10" spans="1:8" s="2" customFormat="1" ht="81.75" customHeight="1">
      <c r="A10" s="32" t="s">
        <v>9</v>
      </c>
      <c r="B10" s="32" t="s">
        <v>10</v>
      </c>
      <c r="C10" s="79"/>
      <c r="D10" s="79"/>
      <c r="E10" s="79"/>
      <c r="F10" s="79"/>
      <c r="G10" s="79"/>
      <c r="H10" s="2">
        <v>150000</v>
      </c>
    </row>
    <row r="11" spans="1:7" s="29" customFormat="1" ht="15">
      <c r="A11" s="32">
        <v>1</v>
      </c>
      <c r="B11" s="32">
        <v>2</v>
      </c>
      <c r="C11" s="32">
        <v>3</v>
      </c>
      <c r="D11" s="32">
        <v>4</v>
      </c>
      <c r="E11" s="32">
        <v>5</v>
      </c>
      <c r="F11" s="32">
        <v>6</v>
      </c>
      <c r="G11" s="32">
        <v>7</v>
      </c>
    </row>
    <row r="12" spans="1:15" s="19" customFormat="1" ht="31.5">
      <c r="A12" s="41" t="s">
        <v>115</v>
      </c>
      <c r="B12" s="34" t="s">
        <v>98</v>
      </c>
      <c r="C12" s="34"/>
      <c r="D12" s="35"/>
      <c r="E12" s="36"/>
      <c r="F12" s="35"/>
      <c r="G12" s="35">
        <f>SUM(G13:G15)</f>
        <v>610346</v>
      </c>
      <c r="H12" s="59">
        <f>G15</f>
        <v>7065</v>
      </c>
      <c r="I12" s="59">
        <f>'[1]Місто'!$K$18</f>
        <v>7065</v>
      </c>
      <c r="J12" s="64">
        <f>I12-H12</f>
        <v>0</v>
      </c>
      <c r="K12" s="5"/>
      <c r="L12" s="5"/>
      <c r="M12" s="6"/>
      <c r="N12" s="7"/>
      <c r="O12" s="18"/>
    </row>
    <row r="13" spans="1:15" s="19" customFormat="1" ht="30.75">
      <c r="A13" s="50" t="s">
        <v>127</v>
      </c>
      <c r="B13" s="38" t="s">
        <v>154</v>
      </c>
      <c r="C13" s="38" t="s">
        <v>128</v>
      </c>
      <c r="D13" s="39"/>
      <c r="E13" s="40"/>
      <c r="F13" s="39"/>
      <c r="G13" s="39">
        <f>'[1]Місто'!$K$13</f>
        <v>459625</v>
      </c>
      <c r="H13" s="5"/>
      <c r="I13" s="5"/>
      <c r="J13" s="64"/>
      <c r="K13" s="5"/>
      <c r="L13" s="5"/>
      <c r="M13" s="6"/>
      <c r="N13" s="7"/>
      <c r="O13" s="18"/>
    </row>
    <row r="14" spans="1:15" s="19" customFormat="1" ht="18.75">
      <c r="A14" s="37">
        <v>250404</v>
      </c>
      <c r="B14" s="38" t="s">
        <v>161</v>
      </c>
      <c r="C14" s="38" t="s">
        <v>128</v>
      </c>
      <c r="D14" s="39"/>
      <c r="E14" s="40"/>
      <c r="F14" s="39"/>
      <c r="G14" s="39">
        <f>'[1]Місто'!$K$30</f>
        <v>143656</v>
      </c>
      <c r="H14" s="5"/>
      <c r="I14" s="5"/>
      <c r="J14" s="64"/>
      <c r="K14" s="5"/>
      <c r="L14" s="5"/>
      <c r="M14" s="6"/>
      <c r="N14" s="7"/>
      <c r="O14" s="18"/>
    </row>
    <row r="15" spans="1:15" s="4" customFormat="1" ht="75.75">
      <c r="A15" s="37">
        <v>150101</v>
      </c>
      <c r="B15" s="38" t="s">
        <v>1</v>
      </c>
      <c r="C15" s="38" t="s">
        <v>178</v>
      </c>
      <c r="D15" s="39"/>
      <c r="E15" s="40"/>
      <c r="F15" s="39"/>
      <c r="G15" s="39">
        <v>7065</v>
      </c>
      <c r="H15" s="58"/>
      <c r="I15" s="21"/>
      <c r="J15" s="64"/>
      <c r="K15" s="21"/>
      <c r="L15" s="21"/>
      <c r="M15" s="11"/>
      <c r="N15" s="22"/>
      <c r="O15" s="8"/>
    </row>
    <row r="16" spans="1:15" s="19" customFormat="1" ht="47.25">
      <c r="A16" s="41">
        <v>10</v>
      </c>
      <c r="B16" s="34" t="s">
        <v>21</v>
      </c>
      <c r="C16" s="34"/>
      <c r="D16" s="35">
        <f>SUM(D26:D43)</f>
        <v>59441694</v>
      </c>
      <c r="E16" s="36"/>
      <c r="F16" s="35">
        <f>SUM(F26:F43)</f>
        <v>51259647.239999995</v>
      </c>
      <c r="G16" s="35">
        <f>SUM(G17:G43)</f>
        <v>21855069</v>
      </c>
      <c r="H16" s="59">
        <f>SUM(G26:G42)</f>
        <v>16915788</v>
      </c>
      <c r="I16" s="59">
        <f>'[1]Місто'!$K$73</f>
        <v>16915788</v>
      </c>
      <c r="J16" s="64">
        <f>I16-H16</f>
        <v>0</v>
      </c>
      <c r="K16" s="5"/>
      <c r="L16" s="5"/>
      <c r="M16" s="6"/>
      <c r="N16" s="7"/>
      <c r="O16" s="18"/>
    </row>
    <row r="17" spans="1:15" s="19" customFormat="1" ht="18.75">
      <c r="A17" s="50" t="s">
        <v>129</v>
      </c>
      <c r="B17" s="38" t="s">
        <v>155</v>
      </c>
      <c r="C17" s="38" t="s">
        <v>128</v>
      </c>
      <c r="D17" s="39"/>
      <c r="E17" s="40"/>
      <c r="F17" s="39"/>
      <c r="G17" s="39">
        <f>'[1]Місто'!$K$45</f>
        <v>598086</v>
      </c>
      <c r="H17" s="5"/>
      <c r="I17" s="5"/>
      <c r="J17" s="64"/>
      <c r="K17" s="5"/>
      <c r="L17" s="5"/>
      <c r="M17" s="6"/>
      <c r="N17" s="7"/>
      <c r="O17" s="18"/>
    </row>
    <row r="18" spans="1:15" s="19" customFormat="1" ht="75.75">
      <c r="A18" s="50" t="s">
        <v>130</v>
      </c>
      <c r="B18" s="38" t="s">
        <v>156</v>
      </c>
      <c r="C18" s="38" t="s">
        <v>128</v>
      </c>
      <c r="D18" s="39"/>
      <c r="E18" s="40"/>
      <c r="F18" s="39"/>
      <c r="G18" s="39">
        <f>'[1]Місто'!$K$47</f>
        <v>3616820</v>
      </c>
      <c r="H18" s="5"/>
      <c r="I18" s="5"/>
      <c r="J18" s="64"/>
      <c r="K18" s="5"/>
      <c r="L18" s="5"/>
      <c r="M18" s="6"/>
      <c r="N18" s="7"/>
      <c r="O18" s="18"/>
    </row>
    <row r="19" spans="1:15" s="19" customFormat="1" ht="18.75">
      <c r="A19" s="50" t="s">
        <v>131</v>
      </c>
      <c r="B19" s="38" t="s">
        <v>157</v>
      </c>
      <c r="C19" s="38" t="s">
        <v>128</v>
      </c>
      <c r="D19" s="39"/>
      <c r="E19" s="40"/>
      <c r="F19" s="39"/>
      <c r="G19" s="39">
        <f>'[1]Місто'!$K$49</f>
        <v>9200</v>
      </c>
      <c r="H19" s="5"/>
      <c r="I19" s="5"/>
      <c r="J19" s="64"/>
      <c r="K19" s="5"/>
      <c r="L19" s="5"/>
      <c r="M19" s="6"/>
      <c r="N19" s="7"/>
      <c r="O19" s="18"/>
    </row>
    <row r="20" spans="1:15" s="19" customFormat="1" ht="45.75">
      <c r="A20" s="50" t="s">
        <v>132</v>
      </c>
      <c r="B20" s="38" t="s">
        <v>158</v>
      </c>
      <c r="C20" s="38" t="s">
        <v>128</v>
      </c>
      <c r="D20" s="39"/>
      <c r="E20" s="40"/>
      <c r="F20" s="39"/>
      <c r="G20" s="39">
        <f>'[1]Місто'!$K$51</f>
        <v>460775</v>
      </c>
      <c r="H20" s="5"/>
      <c r="I20" s="5"/>
      <c r="J20" s="64"/>
      <c r="K20" s="5"/>
      <c r="L20" s="5"/>
      <c r="M20" s="6"/>
      <c r="N20" s="7"/>
      <c r="O20" s="18"/>
    </row>
    <row r="21" spans="1:15" s="19" customFormat="1" ht="18.75" hidden="1">
      <c r="A21" s="50" t="s">
        <v>133</v>
      </c>
      <c r="B21" s="38" t="s">
        <v>159</v>
      </c>
      <c r="C21" s="38" t="s">
        <v>128</v>
      </c>
      <c r="D21" s="39"/>
      <c r="E21" s="40"/>
      <c r="F21" s="39"/>
      <c r="G21" s="39">
        <f>'[1]Місто'!$K$57</f>
        <v>0</v>
      </c>
      <c r="H21" s="5"/>
      <c r="I21" s="5"/>
      <c r="J21" s="64"/>
      <c r="K21" s="5"/>
      <c r="L21" s="5"/>
      <c r="M21" s="6"/>
      <c r="N21" s="7"/>
      <c r="O21" s="18"/>
    </row>
    <row r="22" spans="1:15" s="19" customFormat="1" ht="45.75">
      <c r="A22" s="50" t="s">
        <v>219</v>
      </c>
      <c r="B22" s="38" t="s">
        <v>221</v>
      </c>
      <c r="C22" s="38" t="s">
        <v>128</v>
      </c>
      <c r="D22" s="39"/>
      <c r="E22" s="40"/>
      <c r="F22" s="39"/>
      <c r="G22" s="39">
        <f>'[1]Місто'!$K$53</f>
        <v>24500</v>
      </c>
      <c r="H22" s="5"/>
      <c r="I22" s="5"/>
      <c r="J22" s="64"/>
      <c r="K22" s="5"/>
      <c r="L22" s="5"/>
      <c r="M22" s="6"/>
      <c r="N22" s="7"/>
      <c r="O22" s="18"/>
    </row>
    <row r="23" spans="1:15" s="19" customFormat="1" ht="45.75">
      <c r="A23" s="50" t="s">
        <v>220</v>
      </c>
      <c r="B23" s="38" t="s">
        <v>222</v>
      </c>
      <c r="C23" s="38" t="s">
        <v>128</v>
      </c>
      <c r="D23" s="39"/>
      <c r="E23" s="40"/>
      <c r="F23" s="39"/>
      <c r="G23" s="39">
        <f>'[1]Місто'!$K$55</f>
        <v>73500</v>
      </c>
      <c r="H23" s="5"/>
      <c r="I23" s="5"/>
      <c r="J23" s="64"/>
      <c r="K23" s="5"/>
      <c r="L23" s="5"/>
      <c r="M23" s="6"/>
      <c r="N23" s="7"/>
      <c r="O23" s="18"/>
    </row>
    <row r="24" spans="1:15" s="19" customFormat="1" ht="45.75">
      <c r="A24" s="50" t="s">
        <v>216</v>
      </c>
      <c r="B24" s="38" t="s">
        <v>217</v>
      </c>
      <c r="C24" s="38" t="s">
        <v>128</v>
      </c>
      <c r="D24" s="39"/>
      <c r="E24" s="40"/>
      <c r="F24" s="39"/>
      <c r="G24" s="39">
        <f>'[1]Місто'!$K$62</f>
        <v>134400</v>
      </c>
      <c r="H24" s="5"/>
      <c r="I24" s="5"/>
      <c r="J24" s="64"/>
      <c r="K24" s="5"/>
      <c r="L24" s="5"/>
      <c r="M24" s="6"/>
      <c r="N24" s="7"/>
      <c r="O24" s="18"/>
    </row>
    <row r="25" spans="1:15" s="19" customFormat="1" ht="45.75">
      <c r="A25" s="50" t="s">
        <v>134</v>
      </c>
      <c r="B25" s="38" t="s">
        <v>160</v>
      </c>
      <c r="C25" s="38" t="s">
        <v>128</v>
      </c>
      <c r="D25" s="39"/>
      <c r="E25" s="40"/>
      <c r="F25" s="39"/>
      <c r="G25" s="39">
        <f>'[1]Місто'!$K$68</f>
        <v>22000</v>
      </c>
      <c r="H25" s="5"/>
      <c r="I25" s="5"/>
      <c r="J25" s="64"/>
      <c r="K25" s="5"/>
      <c r="L25" s="5"/>
      <c r="M25" s="6"/>
      <c r="N25" s="7"/>
      <c r="O25" s="18"/>
    </row>
    <row r="26" spans="1:15" s="4" customFormat="1" ht="75.75">
      <c r="A26" s="37">
        <v>150101</v>
      </c>
      <c r="B26" s="38" t="s">
        <v>1</v>
      </c>
      <c r="C26" s="38" t="s">
        <v>54</v>
      </c>
      <c r="D26" s="39">
        <v>2105695</v>
      </c>
      <c r="E26" s="40">
        <f aca="true" t="shared" si="0" ref="E26:E37">100-(F26/D26)*100</f>
        <v>7.531995374448826</v>
      </c>
      <c r="F26" s="39">
        <f>D26-158600.85</f>
        <v>1947094.15</v>
      </c>
      <c r="G26" s="39">
        <f>274246+1672848</f>
        <v>1947094</v>
      </c>
      <c r="H26" s="9"/>
      <c r="I26" s="9"/>
      <c r="J26" s="64"/>
      <c r="K26" s="9"/>
      <c r="L26" s="9"/>
      <c r="M26" s="10"/>
      <c r="N26" s="11"/>
      <c r="O26" s="15"/>
    </row>
    <row r="27" spans="1:15" s="4" customFormat="1" ht="75.75">
      <c r="A27" s="37">
        <v>150101</v>
      </c>
      <c r="B27" s="38" t="s">
        <v>1</v>
      </c>
      <c r="C27" s="38" t="s">
        <v>55</v>
      </c>
      <c r="D27" s="39">
        <v>3519492</v>
      </c>
      <c r="E27" s="40">
        <f t="shared" si="0"/>
        <v>37.0644854427855</v>
      </c>
      <c r="F27" s="39">
        <f>2397192-182181.6</f>
        <v>2215010.4</v>
      </c>
      <c r="G27" s="39">
        <f>54072+1120562</f>
        <v>1174634</v>
      </c>
      <c r="H27" s="9"/>
      <c r="I27" s="9"/>
      <c r="J27" s="64"/>
      <c r="K27" s="9"/>
      <c r="L27" s="9"/>
      <c r="M27" s="10"/>
      <c r="N27" s="20"/>
      <c r="O27" s="8"/>
    </row>
    <row r="28" spans="1:15" s="4" customFormat="1" ht="75.75">
      <c r="A28" s="37">
        <v>150101</v>
      </c>
      <c r="B28" s="38" t="s">
        <v>1</v>
      </c>
      <c r="C28" s="38" t="s">
        <v>56</v>
      </c>
      <c r="D28" s="39">
        <v>2335982</v>
      </c>
      <c r="E28" s="40">
        <f t="shared" si="0"/>
        <v>66.2983794395676</v>
      </c>
      <c r="F28" s="39">
        <f>D28-(1069830.4+474259.29+1388.56+3239.96)</f>
        <v>787263.79</v>
      </c>
      <c r="G28" s="39">
        <f>583111+204153</f>
        <v>787264</v>
      </c>
      <c r="H28" s="9"/>
      <c r="I28" s="9"/>
      <c r="J28" s="64"/>
      <c r="K28" s="9"/>
      <c r="L28" s="9"/>
      <c r="M28" s="10"/>
      <c r="N28" s="20"/>
      <c r="O28" s="8"/>
    </row>
    <row r="29" spans="1:15" s="4" customFormat="1" ht="45.75">
      <c r="A29" s="37">
        <v>150101</v>
      </c>
      <c r="B29" s="38" t="s">
        <v>1</v>
      </c>
      <c r="C29" s="38" t="s">
        <v>117</v>
      </c>
      <c r="D29" s="39">
        <v>6379139</v>
      </c>
      <c r="E29" s="40">
        <f t="shared" si="0"/>
        <v>35.3881348250916</v>
      </c>
      <c r="F29" s="39">
        <f>D29-(1687311+344040.21+44976.1+181131)</f>
        <v>4121680.69</v>
      </c>
      <c r="G29" s="39">
        <f>46111+1149714+261296</f>
        <v>1457121</v>
      </c>
      <c r="H29" s="9"/>
      <c r="I29" s="9"/>
      <c r="J29" s="64"/>
      <c r="K29" s="9"/>
      <c r="L29" s="9"/>
      <c r="M29" s="13"/>
      <c r="N29" s="20"/>
      <c r="O29" s="8"/>
    </row>
    <row r="30" spans="1:15" s="4" customFormat="1" ht="60.75">
      <c r="A30" s="37">
        <v>150101</v>
      </c>
      <c r="B30" s="38" t="s">
        <v>1</v>
      </c>
      <c r="C30" s="38" t="s">
        <v>57</v>
      </c>
      <c r="D30" s="39">
        <v>7632826</v>
      </c>
      <c r="E30" s="40">
        <f t="shared" si="0"/>
        <v>16.719485548340813</v>
      </c>
      <c r="F30" s="39">
        <f>D30-(1069700+206469.24)</f>
        <v>6356656.76</v>
      </c>
      <c r="G30" s="39">
        <f>133+553564-260000-59972</f>
        <v>233725</v>
      </c>
      <c r="H30" s="9"/>
      <c r="I30" s="9"/>
      <c r="J30" s="64"/>
      <c r="K30" s="9"/>
      <c r="L30" s="9"/>
      <c r="M30" s="10"/>
      <c r="N30" s="11"/>
      <c r="O30" s="8"/>
    </row>
    <row r="31" spans="1:16" s="4" customFormat="1" ht="75.75">
      <c r="A31" s="37">
        <v>150101</v>
      </c>
      <c r="B31" s="38" t="s">
        <v>1</v>
      </c>
      <c r="C31" s="38" t="s">
        <v>88</v>
      </c>
      <c r="D31" s="39">
        <v>13005346</v>
      </c>
      <c r="E31" s="40">
        <f t="shared" si="0"/>
        <v>2.461008726719001</v>
      </c>
      <c r="F31" s="39">
        <f>SUM(D31-202125.64-117937.06)</f>
        <v>12685283.299999999</v>
      </c>
      <c r="G31" s="39">
        <f>7672000-280650</f>
        <v>7391350</v>
      </c>
      <c r="H31" s="9"/>
      <c r="I31" s="10"/>
      <c r="J31" s="64"/>
      <c r="K31" s="9"/>
      <c r="L31" s="9"/>
      <c r="M31" s="9"/>
      <c r="N31" s="10"/>
      <c r="O31" s="11"/>
      <c r="P31" s="8"/>
    </row>
    <row r="32" spans="1:16" s="4" customFormat="1" ht="60.75">
      <c r="A32" s="37">
        <v>150101</v>
      </c>
      <c r="B32" s="38" t="s">
        <v>1</v>
      </c>
      <c r="C32" s="38" t="s">
        <v>89</v>
      </c>
      <c r="D32" s="39">
        <v>11138050</v>
      </c>
      <c r="E32" s="40">
        <f>100-(F32/D32)*100</f>
        <v>2.566631142794293</v>
      </c>
      <c r="F32" s="39">
        <f>D32-285872.66</f>
        <v>10852177.34</v>
      </c>
      <c r="G32" s="39">
        <f>20000+15000</f>
        <v>35000</v>
      </c>
      <c r="H32" s="9"/>
      <c r="I32" s="10"/>
      <c r="J32" s="64"/>
      <c r="K32" s="9"/>
      <c r="L32" s="9"/>
      <c r="M32" s="9"/>
      <c r="N32" s="10"/>
      <c r="O32" s="11"/>
      <c r="P32" s="8"/>
    </row>
    <row r="33" spans="1:16" s="4" customFormat="1" ht="75.75">
      <c r="A33" s="37">
        <v>150101</v>
      </c>
      <c r="B33" s="38" t="s">
        <v>1</v>
      </c>
      <c r="C33" s="38" t="s">
        <v>111</v>
      </c>
      <c r="D33" s="39">
        <v>260000</v>
      </c>
      <c r="E33" s="40">
        <f>100-(F33/D33)*100</f>
        <v>0</v>
      </c>
      <c r="F33" s="39">
        <v>260000</v>
      </c>
      <c r="G33" s="39">
        <v>260000</v>
      </c>
      <c r="H33" s="9"/>
      <c r="I33" s="10"/>
      <c r="J33" s="64"/>
      <c r="K33" s="9"/>
      <c r="L33" s="9"/>
      <c r="M33" s="9"/>
      <c r="N33" s="10"/>
      <c r="O33" s="11"/>
      <c r="P33" s="8"/>
    </row>
    <row r="34" spans="1:16" s="4" customFormat="1" ht="75.75" hidden="1">
      <c r="A34" s="37">
        <v>150101</v>
      </c>
      <c r="B34" s="38" t="s">
        <v>1</v>
      </c>
      <c r="C34" s="38" t="s">
        <v>90</v>
      </c>
      <c r="D34" s="39"/>
      <c r="E34" s="39" t="e">
        <f>100-(F34/D34)*100</f>
        <v>#DIV/0!</v>
      </c>
      <c r="F34" s="39"/>
      <c r="G34" s="39"/>
      <c r="H34" s="9"/>
      <c r="I34" s="10"/>
      <c r="J34" s="64"/>
      <c r="K34" s="9"/>
      <c r="L34" s="9"/>
      <c r="M34" s="9"/>
      <c r="N34" s="10"/>
      <c r="O34" s="11"/>
      <c r="P34" s="8"/>
    </row>
    <row r="35" spans="1:15" s="4" customFormat="1" ht="75.75">
      <c r="A35" s="37">
        <v>150101</v>
      </c>
      <c r="B35" s="38" t="s">
        <v>1</v>
      </c>
      <c r="C35" s="38" t="s">
        <v>58</v>
      </c>
      <c r="D35" s="39">
        <v>602696</v>
      </c>
      <c r="E35" s="40">
        <f t="shared" si="0"/>
        <v>3.533653782338021</v>
      </c>
      <c r="F35" s="39">
        <f>D35-21297.19</f>
        <v>581398.81</v>
      </c>
      <c r="G35" s="39">
        <v>581399</v>
      </c>
      <c r="H35" s="9"/>
      <c r="I35" s="9"/>
      <c r="J35" s="64"/>
      <c r="K35" s="9"/>
      <c r="L35" s="9"/>
      <c r="M35" s="10"/>
      <c r="N35" s="11"/>
      <c r="O35" s="15"/>
    </row>
    <row r="36" spans="1:15" s="4" customFormat="1" ht="45.75">
      <c r="A36" s="37">
        <v>150101</v>
      </c>
      <c r="B36" s="38" t="s">
        <v>1</v>
      </c>
      <c r="C36" s="38" t="s">
        <v>201</v>
      </c>
      <c r="D36" s="39">
        <v>2533338</v>
      </c>
      <c r="E36" s="40">
        <f t="shared" si="0"/>
        <v>0</v>
      </c>
      <c r="F36" s="39">
        <v>2533338</v>
      </c>
      <c r="G36" s="39">
        <v>2533338</v>
      </c>
      <c r="H36" s="9"/>
      <c r="I36" s="9"/>
      <c r="J36" s="64"/>
      <c r="K36" s="9"/>
      <c r="L36" s="9"/>
      <c r="M36" s="10"/>
      <c r="N36" s="11"/>
      <c r="O36" s="15"/>
    </row>
    <row r="37" spans="1:16" s="4" customFormat="1" ht="60.75">
      <c r="A37" s="37">
        <v>150101</v>
      </c>
      <c r="B37" s="38" t="s">
        <v>1</v>
      </c>
      <c r="C37" s="38" t="s">
        <v>179</v>
      </c>
      <c r="D37" s="39">
        <v>220000</v>
      </c>
      <c r="E37" s="40">
        <f t="shared" si="0"/>
        <v>0</v>
      </c>
      <c r="F37" s="39">
        <v>220000</v>
      </c>
      <c r="G37" s="39">
        <v>220000</v>
      </c>
      <c r="H37" s="9"/>
      <c r="I37" s="10"/>
      <c r="J37" s="64"/>
      <c r="K37" s="9"/>
      <c r="L37" s="9"/>
      <c r="M37" s="9"/>
      <c r="N37" s="10"/>
      <c r="O37" s="11"/>
      <c r="P37" s="15"/>
    </row>
    <row r="38" spans="1:16" s="4" customFormat="1" ht="60.75">
      <c r="A38" s="37">
        <v>150101</v>
      </c>
      <c r="B38" s="38" t="s">
        <v>1</v>
      </c>
      <c r="C38" s="38" t="s">
        <v>198</v>
      </c>
      <c r="D38" s="39">
        <v>9459239</v>
      </c>
      <c r="E38" s="40">
        <v>10.7</v>
      </c>
      <c r="F38" s="39">
        <v>8449853</v>
      </c>
      <c r="G38" s="39">
        <v>44972</v>
      </c>
      <c r="H38" s="9"/>
      <c r="I38" s="10"/>
      <c r="J38" s="64"/>
      <c r="K38" s="9"/>
      <c r="L38" s="9"/>
      <c r="M38" s="9"/>
      <c r="N38" s="10"/>
      <c r="O38" s="11"/>
      <c r="P38" s="15"/>
    </row>
    <row r="39" spans="1:16" s="4" customFormat="1" ht="75.75">
      <c r="A39" s="37">
        <v>150101</v>
      </c>
      <c r="B39" s="38" t="s">
        <v>1</v>
      </c>
      <c r="C39" s="38" t="s">
        <v>194</v>
      </c>
      <c r="D39" s="39">
        <v>38886</v>
      </c>
      <c r="E39" s="40">
        <v>0</v>
      </c>
      <c r="F39" s="39">
        <v>38886</v>
      </c>
      <c r="G39" s="39">
        <v>38886</v>
      </c>
      <c r="H39" s="9"/>
      <c r="I39" s="10"/>
      <c r="J39" s="64"/>
      <c r="K39" s="9"/>
      <c r="L39" s="9"/>
      <c r="M39" s="9"/>
      <c r="N39" s="10"/>
      <c r="O39" s="11"/>
      <c r="P39" s="15"/>
    </row>
    <row r="40" spans="1:16" s="4" customFormat="1" ht="90.75">
      <c r="A40" s="37">
        <v>150101</v>
      </c>
      <c r="B40" s="38" t="s">
        <v>1</v>
      </c>
      <c r="C40" s="38" t="s">
        <v>195</v>
      </c>
      <c r="D40" s="39">
        <v>57314</v>
      </c>
      <c r="E40" s="40">
        <v>0</v>
      </c>
      <c r="F40" s="39">
        <v>57314</v>
      </c>
      <c r="G40" s="39">
        <v>57314</v>
      </c>
      <c r="H40" s="9"/>
      <c r="I40" s="10"/>
      <c r="J40" s="64"/>
      <c r="K40" s="9"/>
      <c r="L40" s="9"/>
      <c r="M40" s="9"/>
      <c r="N40" s="10"/>
      <c r="O40" s="11"/>
      <c r="P40" s="15"/>
    </row>
    <row r="41" spans="1:16" s="4" customFormat="1" ht="45.75">
      <c r="A41" s="37">
        <v>150101</v>
      </c>
      <c r="B41" s="38" t="s">
        <v>1</v>
      </c>
      <c r="C41" s="38" t="s">
        <v>196</v>
      </c>
      <c r="D41" s="39">
        <v>65997</v>
      </c>
      <c r="E41" s="40">
        <v>0</v>
      </c>
      <c r="F41" s="39">
        <v>65997</v>
      </c>
      <c r="G41" s="39">
        <v>65997</v>
      </c>
      <c r="H41" s="9"/>
      <c r="I41" s="10"/>
      <c r="J41" s="64"/>
      <c r="K41" s="9"/>
      <c r="L41" s="9"/>
      <c r="M41" s="9"/>
      <c r="N41" s="10"/>
      <c r="O41" s="11"/>
      <c r="P41" s="15"/>
    </row>
    <row r="42" spans="1:16" s="4" customFormat="1" ht="45.75">
      <c r="A42" s="37">
        <v>150101</v>
      </c>
      <c r="B42" s="38" t="s">
        <v>1</v>
      </c>
      <c r="C42" s="38" t="s">
        <v>197</v>
      </c>
      <c r="D42" s="39">
        <v>87694</v>
      </c>
      <c r="E42" s="40">
        <v>0</v>
      </c>
      <c r="F42" s="39">
        <v>87694</v>
      </c>
      <c r="G42" s="39">
        <v>87694</v>
      </c>
      <c r="H42" s="9"/>
      <c r="I42" s="10"/>
      <c r="J42" s="64"/>
      <c r="K42" s="9"/>
      <c r="L42" s="9"/>
      <c r="M42" s="9"/>
      <c r="N42" s="10"/>
      <c r="O42" s="11"/>
      <c r="P42" s="15"/>
    </row>
    <row r="43" spans="1:16" s="4" customFormat="1" ht="30.75" customHeight="1" hidden="1">
      <c r="A43" s="37">
        <v>150101</v>
      </c>
      <c r="B43" s="38" t="s">
        <v>1</v>
      </c>
      <c r="C43" s="38" t="s">
        <v>20</v>
      </c>
      <c r="D43" s="39"/>
      <c r="E43" s="40"/>
      <c r="F43" s="39"/>
      <c r="G43" s="39"/>
      <c r="H43" s="9"/>
      <c r="I43" s="11"/>
      <c r="J43" s="64"/>
      <c r="K43" s="21"/>
      <c r="L43" s="21"/>
      <c r="M43" s="21"/>
      <c r="N43" s="11"/>
      <c r="O43" s="22"/>
      <c r="P43" s="8"/>
    </row>
    <row r="44" spans="1:15" s="19" customFormat="1" ht="47.25">
      <c r="A44" s="41">
        <v>14</v>
      </c>
      <c r="B44" s="34" t="s">
        <v>91</v>
      </c>
      <c r="C44" s="34"/>
      <c r="D44" s="35">
        <f>SUM(D49:D67)</f>
        <v>48364815</v>
      </c>
      <c r="E44" s="36"/>
      <c r="F44" s="35">
        <f>SUM(F49:F67)</f>
        <v>30804194.230000004</v>
      </c>
      <c r="G44" s="35">
        <f>SUM(G45:G67)</f>
        <v>21443004</v>
      </c>
      <c r="H44" s="59">
        <f>SUM(G49:G67)</f>
        <v>17340917</v>
      </c>
      <c r="I44" s="59">
        <f>'[1]Місто'!$K$95</f>
        <v>17340917</v>
      </c>
      <c r="J44" s="64">
        <f>I44-H44</f>
        <v>0</v>
      </c>
      <c r="K44" s="5"/>
      <c r="L44" s="5"/>
      <c r="M44" s="6"/>
      <c r="N44" s="7"/>
      <c r="O44" s="18"/>
    </row>
    <row r="45" spans="1:15" s="19" customFormat="1" ht="18.75">
      <c r="A45" s="50" t="s">
        <v>135</v>
      </c>
      <c r="B45" s="38" t="s">
        <v>173</v>
      </c>
      <c r="C45" s="38" t="s">
        <v>128</v>
      </c>
      <c r="D45" s="39"/>
      <c r="E45" s="40"/>
      <c r="F45" s="39"/>
      <c r="G45" s="39">
        <f>'[1]Місто'!$K$84</f>
        <v>3377458</v>
      </c>
      <c r="H45" s="5"/>
      <c r="I45" s="5"/>
      <c r="J45" s="64"/>
      <c r="K45" s="5"/>
      <c r="L45" s="5"/>
      <c r="M45" s="6"/>
      <c r="N45" s="7"/>
      <c r="O45" s="18"/>
    </row>
    <row r="46" spans="1:15" s="19" customFormat="1" ht="18.75">
      <c r="A46" s="50" t="s">
        <v>136</v>
      </c>
      <c r="B46" s="38" t="s">
        <v>174</v>
      </c>
      <c r="C46" s="38" t="s">
        <v>128</v>
      </c>
      <c r="D46" s="39"/>
      <c r="E46" s="40"/>
      <c r="F46" s="39"/>
      <c r="G46" s="39">
        <f>'[1]Місто'!$K$86</f>
        <v>174561</v>
      </c>
      <c r="H46" s="5"/>
      <c r="I46" s="5"/>
      <c r="J46" s="64"/>
      <c r="K46" s="5"/>
      <c r="L46" s="5"/>
      <c r="M46" s="6"/>
      <c r="N46" s="7"/>
      <c r="O46" s="18"/>
    </row>
    <row r="47" spans="1:15" s="19" customFormat="1" ht="60.75">
      <c r="A47" s="50" t="s">
        <v>137</v>
      </c>
      <c r="B47" s="38" t="s">
        <v>175</v>
      </c>
      <c r="C47" s="38" t="s">
        <v>128</v>
      </c>
      <c r="D47" s="39"/>
      <c r="E47" s="40"/>
      <c r="F47" s="39"/>
      <c r="G47" s="39">
        <f>'[1]Місто'!$K$87</f>
        <v>530160</v>
      </c>
      <c r="H47" s="5"/>
      <c r="I47" s="5"/>
      <c r="J47" s="64"/>
      <c r="K47" s="5"/>
      <c r="L47" s="5"/>
      <c r="M47" s="6"/>
      <c r="N47" s="7"/>
      <c r="O47" s="18"/>
    </row>
    <row r="48" spans="1:15" s="19" customFormat="1" ht="18.75">
      <c r="A48" s="50" t="s">
        <v>138</v>
      </c>
      <c r="B48" s="38" t="s">
        <v>176</v>
      </c>
      <c r="C48" s="38" t="s">
        <v>128</v>
      </c>
      <c r="D48" s="39"/>
      <c r="E48" s="40"/>
      <c r="F48" s="39"/>
      <c r="G48" s="39">
        <f>'[1]Місто'!$K$93</f>
        <v>19908</v>
      </c>
      <c r="H48" s="5"/>
      <c r="I48" s="5"/>
      <c r="J48" s="64"/>
      <c r="K48" s="5"/>
      <c r="L48" s="5"/>
      <c r="M48" s="6"/>
      <c r="N48" s="7"/>
      <c r="O48" s="18"/>
    </row>
    <row r="49" spans="1:15" s="4" customFormat="1" ht="90.75">
      <c r="A49" s="37">
        <v>150101</v>
      </c>
      <c r="B49" s="38" t="s">
        <v>1</v>
      </c>
      <c r="C49" s="38" t="s">
        <v>49</v>
      </c>
      <c r="D49" s="39">
        <v>7053562</v>
      </c>
      <c r="E49" s="40">
        <f>100-(F49/D49)*100</f>
        <v>40.961137365773496</v>
      </c>
      <c r="F49" s="39">
        <f>D49-(1131016.02+23736.74+2463.2+1732003.26)</f>
        <v>4164342.7800000003</v>
      </c>
      <c r="G49" s="39">
        <f>545717+545026</f>
        <v>1090743</v>
      </c>
      <c r="H49" s="9"/>
      <c r="I49" s="9"/>
      <c r="J49" s="64"/>
      <c r="K49" s="9"/>
      <c r="L49" s="9"/>
      <c r="M49" s="13"/>
      <c r="N49" s="23"/>
      <c r="O49" s="8"/>
    </row>
    <row r="50" spans="1:15" s="4" customFormat="1" ht="105.75">
      <c r="A50" s="37">
        <v>150101</v>
      </c>
      <c r="B50" s="38" t="s">
        <v>1</v>
      </c>
      <c r="C50" s="38" t="s">
        <v>218</v>
      </c>
      <c r="D50" s="39">
        <f>500000+278000</f>
        <v>778000</v>
      </c>
      <c r="E50" s="40">
        <f>100-(F50/D50)*100</f>
        <v>0</v>
      </c>
      <c r="F50" s="39">
        <f>500000+278000</f>
        <v>778000</v>
      </c>
      <c r="G50" s="39">
        <f>500000+278000</f>
        <v>778000</v>
      </c>
      <c r="H50" s="9"/>
      <c r="I50" s="9"/>
      <c r="J50" s="64"/>
      <c r="K50" s="9"/>
      <c r="L50" s="9"/>
      <c r="M50" s="13"/>
      <c r="N50" s="23"/>
      <c r="O50" s="8"/>
    </row>
    <row r="51" spans="1:15" s="4" customFormat="1" ht="105.75">
      <c r="A51" s="37">
        <v>150101</v>
      </c>
      <c r="B51" s="38" t="s">
        <v>1</v>
      </c>
      <c r="C51" s="38" t="s">
        <v>180</v>
      </c>
      <c r="D51" s="39">
        <v>350000</v>
      </c>
      <c r="E51" s="40">
        <f aca="true" t="shared" si="1" ref="E51:E67">100-(F51/D51)*100</f>
        <v>0</v>
      </c>
      <c r="F51" s="39">
        <f>SUM(D51-0)</f>
        <v>350000</v>
      </c>
      <c r="G51" s="39">
        <v>350000</v>
      </c>
      <c r="H51" s="9"/>
      <c r="I51" s="9"/>
      <c r="J51" s="64"/>
      <c r="K51" s="9"/>
      <c r="L51" s="9"/>
      <c r="M51" s="10"/>
      <c r="N51" s="11"/>
      <c r="O51" s="8"/>
    </row>
    <row r="52" spans="1:15" s="4" customFormat="1" ht="90.75">
      <c r="A52" s="37">
        <v>150101</v>
      </c>
      <c r="B52" s="38" t="s">
        <v>1</v>
      </c>
      <c r="C52" s="38" t="s">
        <v>50</v>
      </c>
      <c r="D52" s="39">
        <v>2652552</v>
      </c>
      <c r="E52" s="40">
        <f t="shared" si="1"/>
        <v>6.265687911113517</v>
      </c>
      <c r="F52" s="39">
        <f>D52-(30148.8+136051.83)</f>
        <v>2486351.37</v>
      </c>
      <c r="G52" s="39">
        <f>2414+1500000</f>
        <v>1502414</v>
      </c>
      <c r="H52" s="9"/>
      <c r="I52" s="9"/>
      <c r="J52" s="64"/>
      <c r="K52" s="9"/>
      <c r="L52" s="9"/>
      <c r="M52" s="10"/>
      <c r="N52" s="20"/>
      <c r="O52" s="8"/>
    </row>
    <row r="53" spans="1:15" s="4" customFormat="1" ht="75.75">
      <c r="A53" s="37">
        <v>150101</v>
      </c>
      <c r="B53" s="38" t="s">
        <v>1</v>
      </c>
      <c r="C53" s="38" t="s">
        <v>112</v>
      </c>
      <c r="D53" s="39">
        <v>6405982</v>
      </c>
      <c r="E53" s="40">
        <f t="shared" si="1"/>
        <v>78.30015757146992</v>
      </c>
      <c r="F53" s="39">
        <v>1390088</v>
      </c>
      <c r="G53" s="39">
        <v>4634</v>
      </c>
      <c r="H53" s="9"/>
      <c r="I53" s="9"/>
      <c r="J53" s="64"/>
      <c r="K53" s="9"/>
      <c r="L53" s="9"/>
      <c r="M53" s="10"/>
      <c r="N53" s="20"/>
      <c r="O53" s="8"/>
    </row>
    <row r="54" spans="1:15" s="4" customFormat="1" ht="75.75">
      <c r="A54" s="37">
        <v>150101</v>
      </c>
      <c r="B54" s="38" t="s">
        <v>1</v>
      </c>
      <c r="C54" s="38" t="s">
        <v>51</v>
      </c>
      <c r="D54" s="39">
        <v>5540750</v>
      </c>
      <c r="E54" s="40">
        <f t="shared" si="1"/>
        <v>61.36748635112575</v>
      </c>
      <c r="F54" s="39">
        <f>D54-3400219</f>
        <v>2140531</v>
      </c>
      <c r="G54" s="39">
        <v>2140531</v>
      </c>
      <c r="H54" s="9"/>
      <c r="I54" s="9"/>
      <c r="J54" s="64"/>
      <c r="K54" s="9"/>
      <c r="L54" s="9"/>
      <c r="M54" s="10"/>
      <c r="N54" s="11"/>
      <c r="O54" s="8"/>
    </row>
    <row r="55" spans="1:15" s="4" customFormat="1" ht="90.75">
      <c r="A55" s="37">
        <v>150101</v>
      </c>
      <c r="B55" s="38" t="s">
        <v>1</v>
      </c>
      <c r="C55" s="38" t="s">
        <v>52</v>
      </c>
      <c r="D55" s="39">
        <v>6538291</v>
      </c>
      <c r="E55" s="40">
        <f t="shared" si="1"/>
        <v>0.08437189473518458</v>
      </c>
      <c r="F55" s="39">
        <f>D55-(1655+3861.48)</f>
        <v>6532774.52</v>
      </c>
      <c r="G55" s="39">
        <v>2032775</v>
      </c>
      <c r="H55" s="9"/>
      <c r="I55" s="9"/>
      <c r="J55" s="64"/>
      <c r="K55" s="9"/>
      <c r="L55" s="9"/>
      <c r="M55" s="10"/>
      <c r="N55" s="11"/>
      <c r="O55" s="8"/>
    </row>
    <row r="56" spans="1:15" s="4" customFormat="1" ht="60.75">
      <c r="A56" s="37">
        <v>150101</v>
      </c>
      <c r="B56" s="38" t="s">
        <v>1</v>
      </c>
      <c r="C56" s="38" t="s">
        <v>2</v>
      </c>
      <c r="D56" s="39">
        <v>6346025</v>
      </c>
      <c r="E56" s="40">
        <f t="shared" si="1"/>
        <v>88.3015500254096</v>
      </c>
      <c r="F56" s="39">
        <f>D56-(1388680+1250000+594399.65+183858.79+1020000+1166700)</f>
        <v>742386.5600000005</v>
      </c>
      <c r="G56" s="39">
        <v>742387</v>
      </c>
      <c r="H56" s="9"/>
      <c r="I56" s="9"/>
      <c r="J56" s="64"/>
      <c r="K56" s="9"/>
      <c r="L56" s="9"/>
      <c r="M56" s="10"/>
      <c r="N56" s="11"/>
      <c r="O56" s="8"/>
    </row>
    <row r="57" spans="1:15" s="4" customFormat="1" ht="60.75">
      <c r="A57" s="37">
        <v>150101</v>
      </c>
      <c r="B57" s="38" t="s">
        <v>1</v>
      </c>
      <c r="C57" s="38" t="s">
        <v>53</v>
      </c>
      <c r="D57" s="39">
        <v>808910</v>
      </c>
      <c r="E57" s="40">
        <f t="shared" si="1"/>
        <v>0</v>
      </c>
      <c r="F57" s="39">
        <f>D57-0</f>
        <v>808910</v>
      </c>
      <c r="G57" s="39">
        <v>808910</v>
      </c>
      <c r="H57" s="9"/>
      <c r="I57" s="9"/>
      <c r="J57" s="64"/>
      <c r="K57" s="9"/>
      <c r="L57" s="9"/>
      <c r="M57" s="10"/>
      <c r="N57" s="11"/>
      <c r="O57" s="15"/>
    </row>
    <row r="58" spans="1:15" s="4" customFormat="1" ht="45.75">
      <c r="A58" s="37">
        <v>150101</v>
      </c>
      <c r="B58" s="38" t="s">
        <v>1</v>
      </c>
      <c r="C58" s="38" t="s">
        <v>113</v>
      </c>
      <c r="D58" s="39">
        <v>450000</v>
      </c>
      <c r="E58" s="40">
        <f t="shared" si="1"/>
        <v>0</v>
      </c>
      <c r="F58" s="39">
        <f>D58-0</f>
        <v>450000</v>
      </c>
      <c r="G58" s="39">
        <f>450000-278000</f>
        <v>172000</v>
      </c>
      <c r="H58" s="9"/>
      <c r="I58" s="9"/>
      <c r="J58" s="64"/>
      <c r="K58" s="9"/>
      <c r="L58" s="9"/>
      <c r="M58" s="10"/>
      <c r="N58" s="11"/>
      <c r="O58" s="15"/>
    </row>
    <row r="59" spans="1:16" s="4" customFormat="1" ht="60.75" hidden="1">
      <c r="A59" s="37">
        <v>150101</v>
      </c>
      <c r="B59" s="38" t="s">
        <v>1</v>
      </c>
      <c r="C59" s="38" t="s">
        <v>92</v>
      </c>
      <c r="D59" s="39"/>
      <c r="E59" s="40"/>
      <c r="F59" s="39"/>
      <c r="G59" s="39"/>
      <c r="H59" s="9"/>
      <c r="I59" s="10"/>
      <c r="J59" s="64"/>
      <c r="K59" s="9"/>
      <c r="L59" s="9"/>
      <c r="M59" s="9"/>
      <c r="N59" s="10"/>
      <c r="O59" s="11"/>
      <c r="P59" s="15"/>
    </row>
    <row r="60" spans="1:16" s="4" customFormat="1" ht="45.75">
      <c r="A60" s="37">
        <v>150101</v>
      </c>
      <c r="B60" s="38" t="s">
        <v>1</v>
      </c>
      <c r="C60" s="38" t="s">
        <v>192</v>
      </c>
      <c r="D60" s="39">
        <v>1100000</v>
      </c>
      <c r="E60" s="40">
        <v>0</v>
      </c>
      <c r="F60" s="39">
        <v>1100000</v>
      </c>
      <c r="G60" s="39">
        <v>1100000</v>
      </c>
      <c r="H60" s="9"/>
      <c r="I60" s="10"/>
      <c r="J60" s="64"/>
      <c r="K60" s="9"/>
      <c r="L60" s="9"/>
      <c r="M60" s="9"/>
      <c r="N60" s="10"/>
      <c r="O60" s="11"/>
      <c r="P60" s="15"/>
    </row>
    <row r="61" spans="1:16" s="4" customFormat="1" ht="60.75">
      <c r="A61" s="37">
        <v>150101</v>
      </c>
      <c r="B61" s="38" t="s">
        <v>1</v>
      </c>
      <c r="C61" s="38" t="s">
        <v>193</v>
      </c>
      <c r="D61" s="39">
        <v>1200000</v>
      </c>
      <c r="E61" s="40">
        <v>0</v>
      </c>
      <c r="F61" s="39">
        <v>1200000</v>
      </c>
      <c r="G61" s="39">
        <v>1200000</v>
      </c>
      <c r="H61" s="9"/>
      <c r="I61" s="10"/>
      <c r="J61" s="64"/>
      <c r="K61" s="9"/>
      <c r="L61" s="9"/>
      <c r="M61" s="9"/>
      <c r="N61" s="10"/>
      <c r="O61" s="11"/>
      <c r="P61" s="15"/>
    </row>
    <row r="62" spans="1:16" s="4" customFormat="1" ht="75.75">
      <c r="A62" s="37">
        <v>150101</v>
      </c>
      <c r="B62" s="38" t="s">
        <v>1</v>
      </c>
      <c r="C62" s="38" t="s">
        <v>93</v>
      </c>
      <c r="D62" s="39">
        <v>1100000</v>
      </c>
      <c r="E62" s="40">
        <f>100-(F62/D62)*100</f>
        <v>0</v>
      </c>
      <c r="F62" s="39">
        <v>1100000</v>
      </c>
      <c r="G62" s="39">
        <v>1100000</v>
      </c>
      <c r="H62" s="9"/>
      <c r="I62" s="10"/>
      <c r="J62" s="64"/>
      <c r="K62" s="9"/>
      <c r="L62" s="9"/>
      <c r="M62" s="9"/>
      <c r="N62" s="10"/>
      <c r="O62" s="11"/>
      <c r="P62" s="15"/>
    </row>
    <row r="63" spans="1:15" s="4" customFormat="1" ht="75.75">
      <c r="A63" s="37">
        <v>150101</v>
      </c>
      <c r="B63" s="38" t="s">
        <v>1</v>
      </c>
      <c r="C63" s="38" t="s">
        <v>94</v>
      </c>
      <c r="D63" s="39">
        <v>581015</v>
      </c>
      <c r="E63" s="40">
        <f t="shared" si="1"/>
        <v>34.90168067950053</v>
      </c>
      <c r="F63" s="39">
        <v>378231</v>
      </c>
      <c r="G63" s="39">
        <f>371539+6692</f>
        <v>378231</v>
      </c>
      <c r="H63" s="9"/>
      <c r="I63" s="9"/>
      <c r="J63" s="64"/>
      <c r="K63" s="9"/>
      <c r="L63" s="9"/>
      <c r="M63" s="10"/>
      <c r="N63" s="11"/>
      <c r="O63" s="15"/>
    </row>
    <row r="64" spans="1:15" s="4" customFormat="1" ht="60.75">
      <c r="A64" s="37">
        <v>150101</v>
      </c>
      <c r="B64" s="38" t="s">
        <v>1</v>
      </c>
      <c r="C64" s="38" t="s">
        <v>95</v>
      </c>
      <c r="D64" s="39">
        <v>340850</v>
      </c>
      <c r="E64" s="40">
        <f t="shared" si="1"/>
        <v>81.31113392988118</v>
      </c>
      <c r="F64" s="39">
        <v>63701</v>
      </c>
      <c r="G64" s="39">
        <f>61496+2205</f>
        <v>63701</v>
      </c>
      <c r="H64" s="9"/>
      <c r="I64" s="9"/>
      <c r="J64" s="64"/>
      <c r="K64" s="9"/>
      <c r="L64" s="9"/>
      <c r="M64" s="10"/>
      <c r="N64" s="11"/>
      <c r="O64" s="15"/>
    </row>
    <row r="65" spans="1:16" s="4" customFormat="1" ht="60.75">
      <c r="A65" s="37">
        <v>150101</v>
      </c>
      <c r="B65" s="38" t="s">
        <v>1</v>
      </c>
      <c r="C65" s="38" t="s">
        <v>122</v>
      </c>
      <c r="D65" s="39">
        <v>300000</v>
      </c>
      <c r="E65" s="40">
        <f>100-(F65/D65)*100</f>
        <v>0</v>
      </c>
      <c r="F65" s="39">
        <v>300000</v>
      </c>
      <c r="G65" s="39">
        <v>300000</v>
      </c>
      <c r="H65" s="9"/>
      <c r="I65" s="10"/>
      <c r="J65" s="64"/>
      <c r="K65" s="9"/>
      <c r="L65" s="9"/>
      <c r="M65" s="9"/>
      <c r="N65" s="10"/>
      <c r="O65" s="11"/>
      <c r="P65" s="15"/>
    </row>
    <row r="66" spans="1:16" s="4" customFormat="1" ht="75.75">
      <c r="A66" s="37">
        <v>150101</v>
      </c>
      <c r="B66" s="38" t="s">
        <v>1</v>
      </c>
      <c r="C66" s="38" t="s">
        <v>96</v>
      </c>
      <c r="D66" s="39">
        <v>3401878</v>
      </c>
      <c r="E66" s="40">
        <f>100-(F66/D66)*100</f>
        <v>0</v>
      </c>
      <c r="F66" s="39">
        <f>SUM(D66)</f>
        <v>3401878</v>
      </c>
      <c r="G66" s="39">
        <v>159591</v>
      </c>
      <c r="H66" s="9"/>
      <c r="I66" s="10"/>
      <c r="J66" s="64"/>
      <c r="K66" s="9"/>
      <c r="L66" s="9"/>
      <c r="M66" s="9"/>
      <c r="N66" s="10"/>
      <c r="O66" s="11"/>
      <c r="P66" s="15"/>
    </row>
    <row r="67" spans="1:15" s="4" customFormat="1" ht="60.75">
      <c r="A67" s="37">
        <v>150101</v>
      </c>
      <c r="B67" s="38" t="s">
        <v>1</v>
      </c>
      <c r="C67" s="38" t="s">
        <v>114</v>
      </c>
      <c r="D67" s="39">
        <v>3417000</v>
      </c>
      <c r="E67" s="40">
        <f t="shared" si="1"/>
        <v>0</v>
      </c>
      <c r="F67" s="39">
        <f>D67-0</f>
        <v>3417000</v>
      </c>
      <c r="G67" s="39">
        <v>3417000</v>
      </c>
      <c r="H67" s="9"/>
      <c r="I67" s="9"/>
      <c r="J67" s="64"/>
      <c r="K67" s="9"/>
      <c r="L67" s="9"/>
      <c r="M67" s="10"/>
      <c r="N67" s="11"/>
      <c r="O67" s="8"/>
    </row>
    <row r="68" spans="1:15" s="19" customFormat="1" ht="47.25">
      <c r="A68" s="41">
        <v>15</v>
      </c>
      <c r="B68" s="34" t="s">
        <v>22</v>
      </c>
      <c r="C68" s="34"/>
      <c r="D68" s="35">
        <f>SUM(D73+D75)</f>
        <v>9080429</v>
      </c>
      <c r="E68" s="36"/>
      <c r="F68" s="35">
        <f>SUM(F73+F75)</f>
        <v>7399940.58</v>
      </c>
      <c r="G68" s="35">
        <f>SUM(G69:G75)-G71</f>
        <v>5626371</v>
      </c>
      <c r="H68" s="59">
        <f>G73+G74+G75</f>
        <v>5341456</v>
      </c>
      <c r="I68" s="59">
        <f>'[1]Місто'!$K$162</f>
        <v>5341456</v>
      </c>
      <c r="J68" s="64">
        <f>I68-H68</f>
        <v>0</v>
      </c>
      <c r="K68" s="5"/>
      <c r="L68" s="5"/>
      <c r="M68" s="6"/>
      <c r="N68" s="7"/>
      <c r="O68" s="18"/>
    </row>
    <row r="69" spans="1:15" s="19" customFormat="1" ht="30.75">
      <c r="A69" s="50" t="s">
        <v>127</v>
      </c>
      <c r="B69" s="38" t="s">
        <v>154</v>
      </c>
      <c r="C69" s="38" t="s">
        <v>128</v>
      </c>
      <c r="D69" s="39"/>
      <c r="E69" s="40"/>
      <c r="F69" s="39"/>
      <c r="G69" s="39">
        <f>'[1]Місто'!$K$103</f>
        <v>79642</v>
      </c>
      <c r="H69" s="5"/>
      <c r="I69" s="5"/>
      <c r="J69" s="64"/>
      <c r="K69" s="5"/>
      <c r="L69" s="5"/>
      <c r="M69" s="6"/>
      <c r="N69" s="7"/>
      <c r="O69" s="18"/>
    </row>
    <row r="70" spans="1:15" s="19" customFormat="1" ht="219" customHeight="1">
      <c r="A70" s="50" t="s">
        <v>139</v>
      </c>
      <c r="B70" s="54" t="s">
        <v>171</v>
      </c>
      <c r="C70" s="38" t="s">
        <v>128</v>
      </c>
      <c r="D70" s="39"/>
      <c r="E70" s="40"/>
      <c r="F70" s="39"/>
      <c r="G70" s="39">
        <f>'[1]Місто'!$K$112</f>
        <v>25582</v>
      </c>
      <c r="H70" s="5"/>
      <c r="I70" s="5"/>
      <c r="J70" s="64"/>
      <c r="K70" s="5"/>
      <c r="L70" s="5"/>
      <c r="M70" s="6"/>
      <c r="N70" s="7"/>
      <c r="O70" s="18"/>
    </row>
    <row r="71" spans="1:15" s="19" customFormat="1" ht="191.25" customHeight="1">
      <c r="A71" s="50"/>
      <c r="B71" s="55" t="s">
        <v>177</v>
      </c>
      <c r="C71" s="38"/>
      <c r="D71" s="39"/>
      <c r="E71" s="40"/>
      <c r="F71" s="39"/>
      <c r="G71" s="39">
        <f>G70</f>
        <v>25582</v>
      </c>
      <c r="H71" s="5"/>
      <c r="I71" s="5"/>
      <c r="J71" s="64"/>
      <c r="K71" s="5"/>
      <c r="L71" s="5"/>
      <c r="M71" s="6"/>
      <c r="N71" s="7"/>
      <c r="O71" s="18"/>
    </row>
    <row r="72" spans="1:15" s="19" customFormat="1" ht="45.75">
      <c r="A72" s="50" t="s">
        <v>140</v>
      </c>
      <c r="B72" s="38" t="s">
        <v>172</v>
      </c>
      <c r="C72" s="38" t="s">
        <v>128</v>
      </c>
      <c r="D72" s="39"/>
      <c r="E72" s="40"/>
      <c r="F72" s="39"/>
      <c r="G72" s="39">
        <f>'[1]Місто'!$K$157</f>
        <v>179691</v>
      </c>
      <c r="H72" s="5"/>
      <c r="I72" s="5"/>
      <c r="J72" s="64"/>
      <c r="K72" s="5"/>
      <c r="L72" s="5"/>
      <c r="M72" s="6"/>
      <c r="N72" s="7"/>
      <c r="O72" s="18"/>
    </row>
    <row r="73" spans="1:15" s="4" customFormat="1" ht="90.75">
      <c r="A73" s="37">
        <v>150101</v>
      </c>
      <c r="B73" s="38" t="s">
        <v>1</v>
      </c>
      <c r="C73" s="38" t="s">
        <v>97</v>
      </c>
      <c r="D73" s="39">
        <v>5314369</v>
      </c>
      <c r="E73" s="40">
        <f>100-(F73/D73)*100</f>
        <v>10.206195881392517</v>
      </c>
      <c r="F73" s="39">
        <f>D73-(383519.81+158875.1)</f>
        <v>4771974.09</v>
      </c>
      <c r="G73" s="39">
        <f>1423490+1000000</f>
        <v>2423490</v>
      </c>
      <c r="H73" s="9"/>
      <c r="I73" s="9"/>
      <c r="J73" s="64"/>
      <c r="K73" s="9"/>
      <c r="L73" s="9"/>
      <c r="M73" s="10"/>
      <c r="N73" s="11"/>
      <c r="O73" s="8"/>
    </row>
    <row r="74" spans="1:15" s="4" customFormat="1" ht="45.75">
      <c r="A74" s="37">
        <v>150101</v>
      </c>
      <c r="B74" s="38" t="s">
        <v>1</v>
      </c>
      <c r="C74" s="38" t="s">
        <v>190</v>
      </c>
      <c r="D74" s="39">
        <v>290000</v>
      </c>
      <c r="E74" s="40">
        <v>0</v>
      </c>
      <c r="F74" s="39">
        <v>290000</v>
      </c>
      <c r="G74" s="39">
        <v>290000</v>
      </c>
      <c r="H74" s="9"/>
      <c r="I74" s="9"/>
      <c r="J74" s="64"/>
      <c r="K74" s="9"/>
      <c r="L74" s="9"/>
      <c r="M74" s="10"/>
      <c r="N74" s="11"/>
      <c r="O74" s="8"/>
    </row>
    <row r="75" spans="1:15" s="4" customFormat="1" ht="60.75">
      <c r="A75" s="37">
        <v>150101</v>
      </c>
      <c r="B75" s="38" t="s">
        <v>1</v>
      </c>
      <c r="C75" s="38" t="s">
        <v>11</v>
      </c>
      <c r="D75" s="39">
        <v>3766060</v>
      </c>
      <c r="E75" s="40">
        <f>100-(F75/D75)*100</f>
        <v>30.219739196932593</v>
      </c>
      <c r="F75" s="39">
        <f>D75-878841-259252.51</f>
        <v>2627966.49</v>
      </c>
      <c r="G75" s="39">
        <f>452799+2175167</f>
        <v>2627966</v>
      </c>
      <c r="H75" s="9"/>
      <c r="I75" s="9"/>
      <c r="J75" s="64"/>
      <c r="K75" s="9"/>
      <c r="L75" s="9"/>
      <c r="M75" s="10"/>
      <c r="N75" s="11"/>
      <c r="O75" s="8"/>
    </row>
    <row r="76" spans="1:15" s="4" customFormat="1" ht="47.25">
      <c r="A76" s="41">
        <v>20</v>
      </c>
      <c r="B76" s="34" t="s">
        <v>153</v>
      </c>
      <c r="C76" s="34"/>
      <c r="D76" s="35"/>
      <c r="E76" s="36"/>
      <c r="F76" s="35"/>
      <c r="G76" s="35">
        <f>G77</f>
        <v>16170</v>
      </c>
      <c r="H76" s="9"/>
      <c r="I76" s="9"/>
      <c r="J76" s="64"/>
      <c r="K76" s="9"/>
      <c r="L76" s="9"/>
      <c r="M76" s="10"/>
      <c r="N76" s="11"/>
      <c r="O76" s="8"/>
    </row>
    <row r="77" spans="1:15" s="4" customFormat="1" ht="30.75">
      <c r="A77" s="50" t="s">
        <v>127</v>
      </c>
      <c r="B77" s="38" t="s">
        <v>154</v>
      </c>
      <c r="C77" s="38" t="s">
        <v>128</v>
      </c>
      <c r="D77" s="39"/>
      <c r="E77" s="40"/>
      <c r="F77" s="39"/>
      <c r="G77" s="39">
        <f>'[1]Місто'!$K$187</f>
        <v>16170</v>
      </c>
      <c r="H77" s="9"/>
      <c r="I77" s="9"/>
      <c r="J77" s="64"/>
      <c r="K77" s="9"/>
      <c r="L77" s="9"/>
      <c r="M77" s="10"/>
      <c r="N77" s="11"/>
      <c r="O77" s="8"/>
    </row>
    <row r="78" spans="1:15" s="4" customFormat="1" ht="78.75">
      <c r="A78" s="41">
        <v>23</v>
      </c>
      <c r="B78" s="34" t="s">
        <v>141</v>
      </c>
      <c r="C78" s="34"/>
      <c r="D78" s="35"/>
      <c r="E78" s="36"/>
      <c r="F78" s="35"/>
      <c r="G78" s="35">
        <f>SUM(G79:G79)</f>
        <v>5254</v>
      </c>
      <c r="H78" s="9"/>
      <c r="I78" s="9"/>
      <c r="J78" s="64"/>
      <c r="K78" s="9"/>
      <c r="L78" s="9"/>
      <c r="M78" s="10"/>
      <c r="N78" s="11"/>
      <c r="O78" s="8"/>
    </row>
    <row r="79" spans="1:15" s="4" customFormat="1" ht="30.75">
      <c r="A79" s="50" t="s">
        <v>127</v>
      </c>
      <c r="B79" s="38" t="s">
        <v>154</v>
      </c>
      <c r="C79" s="38" t="s">
        <v>128</v>
      </c>
      <c r="D79" s="39"/>
      <c r="E79" s="40"/>
      <c r="F79" s="39"/>
      <c r="G79" s="39">
        <f>'[1]Місто'!$K$192</f>
        <v>5254</v>
      </c>
      <c r="H79" s="9"/>
      <c r="I79" s="9"/>
      <c r="J79" s="64"/>
      <c r="K79" s="9"/>
      <c r="L79" s="9"/>
      <c r="M79" s="10"/>
      <c r="N79" s="11"/>
      <c r="O79" s="8"/>
    </row>
    <row r="80" spans="1:15" s="19" customFormat="1" ht="47.25">
      <c r="A80" s="41">
        <v>24</v>
      </c>
      <c r="B80" s="34" t="s">
        <v>23</v>
      </c>
      <c r="C80" s="34"/>
      <c r="D80" s="35">
        <f>SUM(D86:D86)</f>
        <v>100000</v>
      </c>
      <c r="E80" s="36"/>
      <c r="F80" s="35">
        <f>SUM(F86:F86)</f>
        <v>100000</v>
      </c>
      <c r="G80" s="35">
        <f>SUM(G81:G86)</f>
        <v>3760981</v>
      </c>
      <c r="H80" s="59">
        <f>G86</f>
        <v>100000</v>
      </c>
      <c r="I80" s="59">
        <f>'[1]Місто'!$K$205</f>
        <v>100000</v>
      </c>
      <c r="J80" s="64">
        <f>I80-H80</f>
        <v>0</v>
      </c>
      <c r="K80" s="5"/>
      <c r="L80" s="5"/>
      <c r="M80" s="6"/>
      <c r="N80" s="7"/>
      <c r="O80" s="18"/>
    </row>
    <row r="81" spans="1:15" s="19" customFormat="1" ht="18.75">
      <c r="A81" s="50" t="s">
        <v>142</v>
      </c>
      <c r="B81" s="38" t="s">
        <v>166</v>
      </c>
      <c r="C81" s="38" t="s">
        <v>128</v>
      </c>
      <c r="D81" s="39"/>
      <c r="E81" s="40"/>
      <c r="F81" s="39"/>
      <c r="G81" s="39">
        <f>'[1]Місто'!$K$197</f>
        <v>1306673</v>
      </c>
      <c r="H81" s="5"/>
      <c r="I81" s="59"/>
      <c r="J81" s="64"/>
      <c r="K81" s="5"/>
      <c r="L81" s="5"/>
      <c r="M81" s="6"/>
      <c r="N81" s="7"/>
      <c r="O81" s="18"/>
    </row>
    <row r="82" spans="1:15" s="19" customFormat="1" ht="18.75">
      <c r="A82" s="50" t="s">
        <v>143</v>
      </c>
      <c r="B82" s="38" t="s">
        <v>167</v>
      </c>
      <c r="C82" s="38" t="s">
        <v>128</v>
      </c>
      <c r="D82" s="39"/>
      <c r="E82" s="40"/>
      <c r="F82" s="39"/>
      <c r="G82" s="39">
        <f>'[1]Місто'!$K$198</f>
        <v>1526681</v>
      </c>
      <c r="H82" s="5"/>
      <c r="I82" s="59"/>
      <c r="J82" s="64"/>
      <c r="K82" s="5"/>
      <c r="L82" s="5"/>
      <c r="M82" s="6"/>
      <c r="N82" s="7"/>
      <c r="O82" s="18"/>
    </row>
    <row r="83" spans="1:15" s="19" customFormat="1" ht="45.75">
      <c r="A83" s="50" t="s">
        <v>144</v>
      </c>
      <c r="B83" s="38" t="s">
        <v>168</v>
      </c>
      <c r="C83" s="38" t="s">
        <v>128</v>
      </c>
      <c r="D83" s="39"/>
      <c r="E83" s="40"/>
      <c r="F83" s="39"/>
      <c r="G83" s="39">
        <f>'[1]Місто'!$K$199</f>
        <v>509116</v>
      </c>
      <c r="H83" s="5"/>
      <c r="I83" s="59"/>
      <c r="J83" s="64"/>
      <c r="K83" s="5"/>
      <c r="L83" s="5"/>
      <c r="M83" s="6"/>
      <c r="N83" s="7"/>
      <c r="O83" s="18"/>
    </row>
    <row r="84" spans="1:15" s="19" customFormat="1" ht="30.75">
      <c r="A84" s="50" t="s">
        <v>145</v>
      </c>
      <c r="B84" s="38" t="s">
        <v>169</v>
      </c>
      <c r="C84" s="38" t="s">
        <v>128</v>
      </c>
      <c r="D84" s="39"/>
      <c r="E84" s="40"/>
      <c r="F84" s="39"/>
      <c r="G84" s="39">
        <f>'[1]Місто'!$K$200</f>
        <v>211788</v>
      </c>
      <c r="H84" s="5"/>
      <c r="I84" s="59"/>
      <c r="J84" s="64"/>
      <c r="K84" s="5"/>
      <c r="L84" s="5"/>
      <c r="M84" s="6"/>
      <c r="N84" s="7"/>
      <c r="O84" s="18"/>
    </row>
    <row r="85" spans="1:15" s="19" customFormat="1" ht="30.75">
      <c r="A85" s="50" t="s">
        <v>146</v>
      </c>
      <c r="B85" s="38" t="s">
        <v>170</v>
      </c>
      <c r="C85" s="38" t="s">
        <v>128</v>
      </c>
      <c r="D85" s="39"/>
      <c r="E85" s="40"/>
      <c r="F85" s="39"/>
      <c r="G85" s="39">
        <f>'[1]Місто'!$K$204</f>
        <v>106723</v>
      </c>
      <c r="H85" s="5"/>
      <c r="I85" s="59"/>
      <c r="J85" s="64"/>
      <c r="K85" s="5"/>
      <c r="L85" s="5"/>
      <c r="M85" s="6"/>
      <c r="N85" s="7"/>
      <c r="O85" s="18"/>
    </row>
    <row r="86" spans="1:15" s="4" customFormat="1" ht="75.75">
      <c r="A86" s="37">
        <v>150101</v>
      </c>
      <c r="B86" s="38" t="s">
        <v>1</v>
      </c>
      <c r="C86" s="38" t="s">
        <v>59</v>
      </c>
      <c r="D86" s="39">
        <v>100000</v>
      </c>
      <c r="E86" s="40">
        <f>100-(F86/D86)*100</f>
        <v>0</v>
      </c>
      <c r="F86" s="39">
        <f>D86-0</f>
        <v>100000</v>
      </c>
      <c r="G86" s="39">
        <v>100000</v>
      </c>
      <c r="H86" s="9"/>
      <c r="I86" s="65"/>
      <c r="J86" s="64"/>
      <c r="K86" s="9"/>
      <c r="L86" s="9"/>
      <c r="M86" s="10"/>
      <c r="N86" s="11"/>
      <c r="O86" s="15"/>
    </row>
    <row r="87" spans="1:15" s="4" customFormat="1" ht="63">
      <c r="A87" s="41" t="s">
        <v>224</v>
      </c>
      <c r="B87" s="34" t="s">
        <v>225</v>
      </c>
      <c r="C87" s="34"/>
      <c r="D87" s="35"/>
      <c r="E87" s="36"/>
      <c r="F87" s="35"/>
      <c r="G87" s="35">
        <f>G88</f>
        <v>8240</v>
      </c>
      <c r="H87" s="9"/>
      <c r="I87" s="65"/>
      <c r="J87" s="64"/>
      <c r="K87" s="9"/>
      <c r="L87" s="9"/>
      <c r="M87" s="10"/>
      <c r="N87" s="11"/>
      <c r="O87" s="15"/>
    </row>
    <row r="88" spans="1:15" s="4" customFormat="1" ht="30.75">
      <c r="A88" s="50" t="s">
        <v>127</v>
      </c>
      <c r="B88" s="38" t="s">
        <v>154</v>
      </c>
      <c r="C88" s="38" t="s">
        <v>128</v>
      </c>
      <c r="D88" s="39"/>
      <c r="E88" s="40"/>
      <c r="F88" s="39"/>
      <c r="G88" s="39">
        <f>'[1]Місто'!$K$214</f>
        <v>8240</v>
      </c>
      <c r="H88" s="9"/>
      <c r="I88" s="65"/>
      <c r="J88" s="64"/>
      <c r="K88" s="9"/>
      <c r="L88" s="9"/>
      <c r="M88" s="10"/>
      <c r="N88" s="11"/>
      <c r="O88" s="15"/>
    </row>
    <row r="89" spans="1:15" s="19" customFormat="1" ht="63">
      <c r="A89" s="41">
        <v>40</v>
      </c>
      <c r="B89" s="34" t="s">
        <v>27</v>
      </c>
      <c r="C89" s="34"/>
      <c r="D89" s="35">
        <f>SUM(D92:D116)</f>
        <v>39050454</v>
      </c>
      <c r="E89" s="36"/>
      <c r="F89" s="35">
        <f>SUM(F92:F116)</f>
        <v>29194242.119999997</v>
      </c>
      <c r="G89" s="35">
        <f>SUM(G90:G116)</f>
        <v>60627379</v>
      </c>
      <c r="H89" s="59">
        <f>G92+G93+G94+G95+G96+G97+G98+G99+G100+G101+G102+G103+G104+G105+G106+G107+G108+G109+G110+G111+G112+G113+G115</f>
        <v>14518746</v>
      </c>
      <c r="I89" s="59">
        <f>'[1]Місто'!$K$236</f>
        <v>14518746</v>
      </c>
      <c r="J89" s="64">
        <f>I89-H89</f>
        <v>0</v>
      </c>
      <c r="K89" s="5"/>
      <c r="L89" s="5"/>
      <c r="M89" s="6"/>
      <c r="N89" s="7"/>
      <c r="O89" s="18"/>
    </row>
    <row r="90" spans="1:15" s="19" customFormat="1" ht="45.75">
      <c r="A90" s="50" t="s">
        <v>147</v>
      </c>
      <c r="B90" s="38" t="s">
        <v>165</v>
      </c>
      <c r="C90" s="38" t="s">
        <v>128</v>
      </c>
      <c r="D90" s="39"/>
      <c r="E90" s="40"/>
      <c r="F90" s="39"/>
      <c r="G90" s="39">
        <f>'[1]Місто'!$K$230</f>
        <v>41020990</v>
      </c>
      <c r="H90" s="5"/>
      <c r="I90" s="5"/>
      <c r="J90" s="64"/>
      <c r="K90" s="5"/>
      <c r="L90" s="5"/>
      <c r="M90" s="6"/>
      <c r="N90" s="7"/>
      <c r="O90" s="18"/>
    </row>
    <row r="91" spans="1:15" s="19" customFormat="1" ht="18.75">
      <c r="A91" s="50" t="s">
        <v>148</v>
      </c>
      <c r="B91" s="38" t="s">
        <v>161</v>
      </c>
      <c r="C91" s="38" t="s">
        <v>128</v>
      </c>
      <c r="D91" s="39"/>
      <c r="E91" s="40"/>
      <c r="F91" s="39"/>
      <c r="G91" s="39">
        <f>'[1]Місто'!$K$246</f>
        <v>1518843</v>
      </c>
      <c r="H91" s="5"/>
      <c r="I91" s="5"/>
      <c r="J91" s="64"/>
      <c r="K91" s="5"/>
      <c r="L91" s="5"/>
      <c r="M91" s="6"/>
      <c r="N91" s="7"/>
      <c r="O91" s="18"/>
    </row>
    <row r="92" spans="1:15" s="4" customFormat="1" ht="30.75">
      <c r="A92" s="37">
        <v>150101</v>
      </c>
      <c r="B92" s="38" t="s">
        <v>1</v>
      </c>
      <c r="C92" s="38" t="s">
        <v>15</v>
      </c>
      <c r="D92" s="39">
        <v>3036560</v>
      </c>
      <c r="E92" s="40">
        <f aca="true" t="shared" si="2" ref="E92:E113">100-(F92/D92)*100</f>
        <v>30.88672017019259</v>
      </c>
      <c r="F92" s="39">
        <f>D92-(884915+52978.79)</f>
        <v>2098666.21</v>
      </c>
      <c r="G92" s="39">
        <v>678935</v>
      </c>
      <c r="H92" s="12"/>
      <c r="I92" s="12"/>
      <c r="J92" s="64"/>
      <c r="K92" s="12"/>
      <c r="L92" s="12"/>
      <c r="M92" s="10"/>
      <c r="N92" s="11"/>
      <c r="O92" s="8"/>
    </row>
    <row r="93" spans="1:15" s="4" customFormat="1" ht="60.75">
      <c r="A93" s="37">
        <v>150101</v>
      </c>
      <c r="B93" s="38" t="s">
        <v>1</v>
      </c>
      <c r="C93" s="38" t="s">
        <v>42</v>
      </c>
      <c r="D93" s="39">
        <v>840000</v>
      </c>
      <c r="E93" s="40">
        <f t="shared" si="2"/>
        <v>0</v>
      </c>
      <c r="F93" s="39">
        <f>D93</f>
        <v>840000</v>
      </c>
      <c r="G93" s="39">
        <v>840000</v>
      </c>
      <c r="H93" s="9"/>
      <c r="I93" s="9"/>
      <c r="J93" s="64"/>
      <c r="K93" s="9"/>
      <c r="L93" s="9"/>
      <c r="M93" s="10"/>
      <c r="N93" s="11"/>
      <c r="O93" s="8"/>
    </row>
    <row r="94" spans="1:15" s="4" customFormat="1" ht="90.75">
      <c r="A94" s="37">
        <v>150101</v>
      </c>
      <c r="B94" s="38" t="s">
        <v>1</v>
      </c>
      <c r="C94" s="38" t="s">
        <v>77</v>
      </c>
      <c r="D94" s="39">
        <v>1512000</v>
      </c>
      <c r="E94" s="40">
        <f t="shared" si="2"/>
        <v>33.69751322751323</v>
      </c>
      <c r="F94" s="39">
        <f>D94-509506.4</f>
        <v>1002493.6</v>
      </c>
      <c r="G94" s="39">
        <v>596381</v>
      </c>
      <c r="H94" s="9"/>
      <c r="I94" s="9"/>
      <c r="J94" s="64"/>
      <c r="K94" s="9"/>
      <c r="L94" s="9"/>
      <c r="M94" s="10"/>
      <c r="N94" s="11"/>
      <c r="O94" s="8"/>
    </row>
    <row r="95" spans="1:15" s="4" customFormat="1" ht="30.75">
      <c r="A95" s="37">
        <v>150101</v>
      </c>
      <c r="B95" s="38" t="s">
        <v>1</v>
      </c>
      <c r="C95" s="38" t="s">
        <v>43</v>
      </c>
      <c r="D95" s="39">
        <v>1761669</v>
      </c>
      <c r="E95" s="40">
        <f t="shared" si="2"/>
        <v>40.32799237541218</v>
      </c>
      <c r="F95" s="39">
        <f>D95-710445.74</f>
        <v>1051223.26</v>
      </c>
      <c r="G95" s="39">
        <f>113505+500486</f>
        <v>613991</v>
      </c>
      <c r="H95" s="9"/>
      <c r="I95" s="9"/>
      <c r="J95" s="64"/>
      <c r="K95" s="9"/>
      <c r="L95" s="9"/>
      <c r="M95" s="10"/>
      <c r="N95" s="11"/>
      <c r="O95" s="8"/>
    </row>
    <row r="96" spans="1:15" s="4" customFormat="1" ht="45.75">
      <c r="A96" s="37">
        <v>150101</v>
      </c>
      <c r="B96" s="38" t="s">
        <v>1</v>
      </c>
      <c r="C96" s="38" t="s">
        <v>44</v>
      </c>
      <c r="D96" s="39">
        <v>800000</v>
      </c>
      <c r="E96" s="40">
        <f t="shared" si="2"/>
        <v>0.27025375000000906</v>
      </c>
      <c r="F96" s="39">
        <f>D96-2162.03</f>
        <v>797837.97</v>
      </c>
      <c r="G96" s="39">
        <v>99511</v>
      </c>
      <c r="H96" s="9"/>
      <c r="I96" s="9"/>
      <c r="J96" s="64"/>
      <c r="K96" s="9"/>
      <c r="L96" s="9"/>
      <c r="M96" s="10"/>
      <c r="N96" s="11"/>
      <c r="O96" s="8"/>
    </row>
    <row r="97" spans="1:15" s="4" customFormat="1" ht="30.75">
      <c r="A97" s="37">
        <v>150101</v>
      </c>
      <c r="B97" s="38" t="s">
        <v>1</v>
      </c>
      <c r="C97" s="38" t="s">
        <v>17</v>
      </c>
      <c r="D97" s="39">
        <v>1664934</v>
      </c>
      <c r="E97" s="40">
        <f t="shared" si="2"/>
        <v>0</v>
      </c>
      <c r="F97" s="39">
        <f>D97</f>
        <v>1664934</v>
      </c>
      <c r="G97" s="39">
        <f>550000+44404</f>
        <v>594404</v>
      </c>
      <c r="H97" s="9"/>
      <c r="I97" s="9"/>
      <c r="J97" s="64"/>
      <c r="K97" s="9"/>
      <c r="L97" s="9"/>
      <c r="M97" s="10"/>
      <c r="N97" s="11"/>
      <c r="O97" s="8"/>
    </row>
    <row r="98" spans="1:15" s="4" customFormat="1" ht="60.75">
      <c r="A98" s="37">
        <v>150101</v>
      </c>
      <c r="B98" s="38" t="s">
        <v>1</v>
      </c>
      <c r="C98" s="38" t="s">
        <v>45</v>
      </c>
      <c r="D98" s="39">
        <v>1050483</v>
      </c>
      <c r="E98" s="40">
        <f t="shared" si="2"/>
        <v>0</v>
      </c>
      <c r="F98" s="39">
        <f>D98-0</f>
        <v>1050483</v>
      </c>
      <c r="G98" s="39">
        <v>1050483</v>
      </c>
      <c r="H98" s="9"/>
      <c r="I98" s="9"/>
      <c r="J98" s="64"/>
      <c r="K98" s="9"/>
      <c r="L98" s="9"/>
      <c r="M98" s="10"/>
      <c r="N98" s="11"/>
      <c r="O98" s="8"/>
    </row>
    <row r="99" spans="1:15" s="4" customFormat="1" ht="45.75">
      <c r="A99" s="37">
        <v>150101</v>
      </c>
      <c r="B99" s="38" t="s">
        <v>1</v>
      </c>
      <c r="C99" s="38" t="s">
        <v>46</v>
      </c>
      <c r="D99" s="39">
        <v>3231882</v>
      </c>
      <c r="E99" s="40">
        <f>100-(F99/D99)*100</f>
        <v>66.36832099686808</v>
      </c>
      <c r="F99" s="39">
        <f>1131882-44945.82</f>
        <v>1086936.18</v>
      </c>
      <c r="G99" s="39">
        <f>1081+874850</f>
        <v>875931</v>
      </c>
      <c r="H99" s="9"/>
      <c r="I99" s="9"/>
      <c r="J99" s="64"/>
      <c r="K99" s="9"/>
      <c r="L99" s="9"/>
      <c r="M99" s="10"/>
      <c r="N99" s="11"/>
      <c r="O99" s="8"/>
    </row>
    <row r="100" spans="1:15" s="4" customFormat="1" ht="60.75">
      <c r="A100" s="37">
        <v>150101</v>
      </c>
      <c r="B100" s="38" t="s">
        <v>1</v>
      </c>
      <c r="C100" s="38" t="s">
        <v>47</v>
      </c>
      <c r="D100" s="39">
        <v>2667701</v>
      </c>
      <c r="E100" s="39">
        <f t="shared" si="2"/>
        <v>6.489295464521689</v>
      </c>
      <c r="F100" s="39">
        <f>D100-173115</f>
        <v>2494586</v>
      </c>
      <c r="G100" s="39">
        <v>1100000</v>
      </c>
      <c r="H100" s="9"/>
      <c r="I100" s="9"/>
      <c r="J100" s="64"/>
      <c r="K100" s="9"/>
      <c r="L100" s="9"/>
      <c r="M100" s="10"/>
      <c r="N100" s="11"/>
      <c r="O100" s="8"/>
    </row>
    <row r="101" spans="1:15" s="4" customFormat="1" ht="45.75">
      <c r="A101" s="37">
        <v>150101</v>
      </c>
      <c r="B101" s="38" t="s">
        <v>1</v>
      </c>
      <c r="C101" s="38" t="s">
        <v>48</v>
      </c>
      <c r="D101" s="39">
        <v>5000000</v>
      </c>
      <c r="E101" s="40">
        <f t="shared" si="2"/>
        <v>0</v>
      </c>
      <c r="F101" s="39">
        <f>D101</f>
        <v>5000000</v>
      </c>
      <c r="G101" s="39">
        <f>168000+4832000-900000-1757056+809178-1146700-298520-582758</f>
        <v>1124144</v>
      </c>
      <c r="H101" s="9"/>
      <c r="I101" s="9"/>
      <c r="J101" s="64"/>
      <c r="K101" s="9"/>
      <c r="L101" s="9"/>
      <c r="M101" s="10"/>
      <c r="N101" s="11"/>
      <c r="O101" s="8"/>
    </row>
    <row r="102" spans="1:15" s="4" customFormat="1" ht="45.75">
      <c r="A102" s="37">
        <v>150101</v>
      </c>
      <c r="B102" s="38" t="s">
        <v>1</v>
      </c>
      <c r="C102" s="38" t="s">
        <v>78</v>
      </c>
      <c r="D102" s="39">
        <f>2704286+412555</f>
        <v>3116841</v>
      </c>
      <c r="E102" s="40">
        <f t="shared" si="2"/>
        <v>2.7912877172752815</v>
      </c>
      <c r="F102" s="39">
        <f>D102-87000</f>
        <v>3029841</v>
      </c>
      <c r="G102" s="39">
        <f>209114+800000+412555</f>
        <v>1421669</v>
      </c>
      <c r="H102" s="9"/>
      <c r="I102" s="9"/>
      <c r="J102" s="64"/>
      <c r="K102" s="9"/>
      <c r="L102" s="9"/>
      <c r="M102" s="10"/>
      <c r="N102" s="11"/>
      <c r="O102" s="8"/>
    </row>
    <row r="103" spans="1:15" s="4" customFormat="1" ht="45.75">
      <c r="A103" s="37">
        <v>150101</v>
      </c>
      <c r="B103" s="38" t="s">
        <v>1</v>
      </c>
      <c r="C103" s="38" t="s">
        <v>108</v>
      </c>
      <c r="D103" s="39">
        <v>822602</v>
      </c>
      <c r="E103" s="40">
        <f t="shared" si="2"/>
        <v>56.38280723849443</v>
      </c>
      <c r="F103" s="39">
        <f>SUM(D103-463806.1)</f>
        <v>358795.9</v>
      </c>
      <c r="G103" s="39">
        <v>358796</v>
      </c>
      <c r="H103" s="9"/>
      <c r="I103" s="9"/>
      <c r="J103" s="64"/>
      <c r="K103" s="9"/>
      <c r="L103" s="9"/>
      <c r="M103" s="10"/>
      <c r="N103" s="11"/>
      <c r="O103" s="8"/>
    </row>
    <row r="104" spans="1:15" s="4" customFormat="1" ht="60.75">
      <c r="A104" s="37">
        <v>150101</v>
      </c>
      <c r="B104" s="38" t="s">
        <v>1</v>
      </c>
      <c r="C104" s="38" t="s">
        <v>79</v>
      </c>
      <c r="D104" s="39">
        <v>480880</v>
      </c>
      <c r="E104" s="40">
        <f t="shared" si="2"/>
        <v>38.58592580269505</v>
      </c>
      <c r="F104" s="39">
        <v>295328</v>
      </c>
      <c r="G104" s="39">
        <f>277274+18054</f>
        <v>295328</v>
      </c>
      <c r="H104" s="9"/>
      <c r="I104" s="9"/>
      <c r="J104" s="64"/>
      <c r="K104" s="9"/>
      <c r="L104" s="9"/>
      <c r="M104" s="10"/>
      <c r="N104" s="11"/>
      <c r="O104" s="8"/>
    </row>
    <row r="105" spans="1:15" s="4" customFormat="1" ht="30.75">
      <c r="A105" s="37">
        <v>150101</v>
      </c>
      <c r="B105" s="38" t="s">
        <v>1</v>
      </c>
      <c r="C105" s="38" t="s">
        <v>80</v>
      </c>
      <c r="D105" s="39">
        <v>1062000</v>
      </c>
      <c r="E105" s="40">
        <f t="shared" si="2"/>
        <v>50.847457627118644</v>
      </c>
      <c r="F105" s="39">
        <v>522000</v>
      </c>
      <c r="G105" s="39">
        <v>511142</v>
      </c>
      <c r="H105" s="9"/>
      <c r="I105" s="9"/>
      <c r="J105" s="64"/>
      <c r="K105" s="9"/>
      <c r="L105" s="9"/>
      <c r="M105" s="10"/>
      <c r="N105" s="11"/>
      <c r="O105" s="8"/>
    </row>
    <row r="106" spans="1:15" s="4" customFormat="1" ht="30.75">
      <c r="A106" s="37">
        <v>150101</v>
      </c>
      <c r="B106" s="38" t="s">
        <v>1</v>
      </c>
      <c r="C106" s="38" t="s">
        <v>81</v>
      </c>
      <c r="D106" s="39">
        <v>1366871</v>
      </c>
      <c r="E106" s="40">
        <f t="shared" si="2"/>
        <v>83.2401155632097</v>
      </c>
      <c r="F106" s="39">
        <v>229086</v>
      </c>
      <c r="G106" s="39">
        <v>229086</v>
      </c>
      <c r="H106" s="9"/>
      <c r="I106" s="9"/>
      <c r="J106" s="64"/>
      <c r="K106" s="9"/>
      <c r="L106" s="9"/>
      <c r="M106" s="10"/>
      <c r="N106" s="11"/>
      <c r="O106" s="8"/>
    </row>
    <row r="107" spans="1:15" s="4" customFormat="1" ht="60.75">
      <c r="A107" s="37">
        <v>150101</v>
      </c>
      <c r="B107" s="38" t="s">
        <v>1</v>
      </c>
      <c r="C107" s="38" t="s">
        <v>109</v>
      </c>
      <c r="D107" s="39">
        <v>2664013</v>
      </c>
      <c r="E107" s="40">
        <f t="shared" si="2"/>
        <v>52.10826673893859</v>
      </c>
      <c r="F107" s="39">
        <v>1275842</v>
      </c>
      <c r="G107" s="39">
        <v>289816</v>
      </c>
      <c r="H107" s="9"/>
      <c r="I107" s="9"/>
      <c r="J107" s="64"/>
      <c r="K107" s="9"/>
      <c r="L107" s="9"/>
      <c r="M107" s="10"/>
      <c r="N107" s="11"/>
      <c r="O107" s="8"/>
    </row>
    <row r="108" spans="1:15" s="4" customFormat="1" ht="30.75">
      <c r="A108" s="37">
        <v>150101</v>
      </c>
      <c r="B108" s="38" t="s">
        <v>1</v>
      </c>
      <c r="C108" s="38" t="s">
        <v>82</v>
      </c>
      <c r="D108" s="39">
        <v>610807</v>
      </c>
      <c r="E108" s="40">
        <f t="shared" si="2"/>
        <v>23.40379203250781</v>
      </c>
      <c r="F108" s="39">
        <v>467855</v>
      </c>
      <c r="G108" s="39">
        <f>178128+289727</f>
        <v>467855</v>
      </c>
      <c r="H108" s="9"/>
      <c r="I108" s="9"/>
      <c r="J108" s="64"/>
      <c r="K108" s="9"/>
      <c r="L108" s="9"/>
      <c r="M108" s="10"/>
      <c r="N108" s="11"/>
      <c r="O108" s="8"/>
    </row>
    <row r="109" spans="1:15" s="4" customFormat="1" ht="30.75">
      <c r="A109" s="37">
        <v>150101</v>
      </c>
      <c r="B109" s="38" t="s">
        <v>1</v>
      </c>
      <c r="C109" s="38" t="s">
        <v>83</v>
      </c>
      <c r="D109" s="39">
        <v>717305</v>
      </c>
      <c r="E109" s="40">
        <f t="shared" si="2"/>
        <v>3.9168833341465614</v>
      </c>
      <c r="F109" s="39">
        <v>689209</v>
      </c>
      <c r="G109" s="39">
        <f>325758+354451</f>
        <v>680209</v>
      </c>
      <c r="H109" s="9"/>
      <c r="I109" s="9"/>
      <c r="J109" s="64"/>
      <c r="K109" s="9"/>
      <c r="L109" s="9"/>
      <c r="M109" s="10"/>
      <c r="N109" s="11"/>
      <c r="O109" s="8"/>
    </row>
    <row r="110" spans="1:15" s="4" customFormat="1" ht="45.75">
      <c r="A110" s="37">
        <v>150101</v>
      </c>
      <c r="B110" s="38" t="s">
        <v>1</v>
      </c>
      <c r="C110" s="38" t="s">
        <v>84</v>
      </c>
      <c r="D110" s="39">
        <v>294000</v>
      </c>
      <c r="E110" s="40">
        <f t="shared" si="2"/>
        <v>29.31972789115646</v>
      </c>
      <c r="F110" s="39">
        <v>207800</v>
      </c>
      <c r="G110" s="39">
        <f>54138+153662</f>
        <v>207800</v>
      </c>
      <c r="H110" s="9"/>
      <c r="I110" s="9"/>
      <c r="J110" s="64"/>
      <c r="K110" s="9"/>
      <c r="L110" s="9"/>
      <c r="M110" s="10"/>
      <c r="N110" s="11"/>
      <c r="O110" s="8"/>
    </row>
    <row r="111" spans="1:15" s="4" customFormat="1" ht="30.75">
      <c r="A111" s="37">
        <v>150101</v>
      </c>
      <c r="B111" s="38" t="s">
        <v>1</v>
      </c>
      <c r="C111" s="38" t="s">
        <v>85</v>
      </c>
      <c r="D111" s="39">
        <v>1502982</v>
      </c>
      <c r="E111" s="39">
        <f t="shared" si="2"/>
        <v>87.73099079030887</v>
      </c>
      <c r="F111" s="39">
        <v>184401</v>
      </c>
      <c r="G111" s="39">
        <f>93587+90814</f>
        <v>184401</v>
      </c>
      <c r="H111" s="9"/>
      <c r="I111" s="9"/>
      <c r="J111" s="64"/>
      <c r="K111" s="9"/>
      <c r="L111" s="9"/>
      <c r="M111" s="10"/>
      <c r="N111" s="11"/>
      <c r="O111" s="8"/>
    </row>
    <row r="112" spans="1:15" s="4" customFormat="1" ht="45.75">
      <c r="A112" s="37">
        <v>150101</v>
      </c>
      <c r="B112" s="38" t="s">
        <v>1</v>
      </c>
      <c r="C112" s="38" t="s">
        <v>86</v>
      </c>
      <c r="D112" s="39">
        <v>298864</v>
      </c>
      <c r="E112" s="40">
        <f t="shared" si="2"/>
        <v>0</v>
      </c>
      <c r="F112" s="39">
        <v>298864</v>
      </c>
      <c r="G112" s="39">
        <f>86430+212434</f>
        <v>298864</v>
      </c>
      <c r="H112" s="9"/>
      <c r="I112" s="9"/>
      <c r="J112" s="64"/>
      <c r="K112" s="9"/>
      <c r="L112" s="9"/>
      <c r="M112" s="10"/>
      <c r="N112" s="11"/>
      <c r="O112" s="8"/>
    </row>
    <row r="113" spans="1:15" s="4" customFormat="1" ht="60.75">
      <c r="A113" s="37">
        <v>150101</v>
      </c>
      <c r="B113" s="38" t="s">
        <v>1</v>
      </c>
      <c r="C113" s="38" t="s">
        <v>116</v>
      </c>
      <c r="D113" s="39">
        <v>4548060</v>
      </c>
      <c r="E113" s="40">
        <f t="shared" si="2"/>
        <v>0</v>
      </c>
      <c r="F113" s="39">
        <v>4548060</v>
      </c>
      <c r="G113" s="39">
        <v>2000000</v>
      </c>
      <c r="H113" s="9"/>
      <c r="I113" s="9"/>
      <c r="J113" s="64"/>
      <c r="K113" s="9"/>
      <c r="L113" s="9"/>
      <c r="M113" s="10"/>
      <c r="N113" s="11"/>
      <c r="O113" s="8"/>
    </row>
    <row r="114" spans="1:15" s="4" customFormat="1" ht="60.75" hidden="1">
      <c r="A114" s="37">
        <v>150101</v>
      </c>
      <c r="B114" s="38" t="s">
        <v>1</v>
      </c>
      <c r="C114" s="38" t="s">
        <v>110</v>
      </c>
      <c r="D114" s="39"/>
      <c r="E114" s="40"/>
      <c r="F114" s="39"/>
      <c r="G114" s="39"/>
      <c r="H114" s="9"/>
      <c r="I114" s="9"/>
      <c r="J114" s="64"/>
      <c r="K114" s="9"/>
      <c r="L114" s="9"/>
      <c r="M114" s="10"/>
      <c r="N114" s="11"/>
      <c r="O114" s="8"/>
    </row>
    <row r="115" spans="1:15" s="4" customFormat="1" ht="60.75" hidden="1">
      <c r="A115" s="37">
        <v>150101</v>
      </c>
      <c r="B115" s="38" t="s">
        <v>1</v>
      </c>
      <c r="C115" s="38" t="s">
        <v>223</v>
      </c>
      <c r="D115" s="39"/>
      <c r="E115" s="40"/>
      <c r="F115" s="39"/>
      <c r="G115" s="39"/>
      <c r="H115" s="9"/>
      <c r="I115" s="9"/>
      <c r="J115" s="64"/>
      <c r="K115" s="9"/>
      <c r="L115" s="9"/>
      <c r="M115" s="10"/>
      <c r="N115" s="11"/>
      <c r="O115" s="8"/>
    </row>
    <row r="116" spans="1:15" s="4" customFormat="1" ht="60.75">
      <c r="A116" s="37">
        <v>180409</v>
      </c>
      <c r="B116" s="38" t="s">
        <v>16</v>
      </c>
      <c r="C116" s="38" t="s">
        <v>87</v>
      </c>
      <c r="D116" s="39"/>
      <c r="E116" s="40"/>
      <c r="F116" s="39"/>
      <c r="G116" s="39">
        <f>6299400-2730600</f>
        <v>3568800</v>
      </c>
      <c r="H116" s="9"/>
      <c r="I116" s="9"/>
      <c r="J116" s="64"/>
      <c r="K116" s="9"/>
      <c r="L116" s="9"/>
      <c r="M116" s="10"/>
      <c r="N116" s="11"/>
      <c r="O116" s="8"/>
    </row>
    <row r="117" spans="1:15" s="4" customFormat="1" ht="18.75">
      <c r="A117" s="37"/>
      <c r="B117" s="38" t="s">
        <v>206</v>
      </c>
      <c r="C117" s="38"/>
      <c r="D117" s="39"/>
      <c r="E117" s="40"/>
      <c r="F117" s="39"/>
      <c r="G117" s="39"/>
      <c r="H117" s="9"/>
      <c r="I117" s="9"/>
      <c r="J117" s="64"/>
      <c r="K117" s="9"/>
      <c r="L117" s="9"/>
      <c r="M117" s="10"/>
      <c r="N117" s="11"/>
      <c r="O117" s="8"/>
    </row>
    <row r="118" spans="1:15" s="4" customFormat="1" ht="30.75">
      <c r="A118" s="37"/>
      <c r="B118" s="38"/>
      <c r="C118" s="38" t="s">
        <v>229</v>
      </c>
      <c r="D118" s="39"/>
      <c r="E118" s="40"/>
      <c r="F118" s="39"/>
      <c r="G118" s="39">
        <v>3248800</v>
      </c>
      <c r="H118" s="9"/>
      <c r="I118" s="9"/>
      <c r="J118" s="64"/>
      <c r="K118" s="9"/>
      <c r="L118" s="9"/>
      <c r="M118" s="10"/>
      <c r="N118" s="11"/>
      <c r="O118" s="8"/>
    </row>
    <row r="119" spans="1:15" s="4" customFormat="1" ht="45.75">
      <c r="A119" s="37"/>
      <c r="B119" s="38"/>
      <c r="C119" s="38" t="s">
        <v>207</v>
      </c>
      <c r="D119" s="39"/>
      <c r="E119" s="40"/>
      <c r="F119" s="39"/>
      <c r="G119" s="39">
        <v>320000</v>
      </c>
      <c r="H119" s="9"/>
      <c r="I119" s="9"/>
      <c r="J119" s="64"/>
      <c r="K119" s="9"/>
      <c r="L119" s="9"/>
      <c r="M119" s="10"/>
      <c r="N119" s="11"/>
      <c r="O119" s="8"/>
    </row>
    <row r="120" spans="1:15" s="19" customFormat="1" ht="63">
      <c r="A120" s="41">
        <v>41</v>
      </c>
      <c r="B120" s="34" t="s">
        <v>63</v>
      </c>
      <c r="C120" s="34" t="s">
        <v>64</v>
      </c>
      <c r="D120" s="35">
        <f>SUM(D122:D174)</f>
        <v>126860557</v>
      </c>
      <c r="E120" s="36"/>
      <c r="F120" s="35">
        <f>SUM(F122:F174)</f>
        <v>99184372.61999999</v>
      </c>
      <c r="G120" s="35">
        <f>SUM(G121:G174)-G170-G171-G172-G173</f>
        <v>43135421</v>
      </c>
      <c r="H120" s="59">
        <f>SUM(G122:G168)</f>
        <v>28564533</v>
      </c>
      <c r="I120" s="59">
        <f>'[1]Місто'!$K$266</f>
        <v>28564533</v>
      </c>
      <c r="J120" s="64">
        <f>I120-H120</f>
        <v>0</v>
      </c>
      <c r="K120" s="5"/>
      <c r="L120" s="5"/>
      <c r="M120" s="6"/>
      <c r="N120" s="17"/>
      <c r="O120" s="18"/>
    </row>
    <row r="121" spans="1:15" s="19" customFormat="1" ht="18.75">
      <c r="A121" s="50" t="s">
        <v>149</v>
      </c>
      <c r="B121" s="38" t="s">
        <v>162</v>
      </c>
      <c r="C121" s="38" t="s">
        <v>128</v>
      </c>
      <c r="D121" s="39"/>
      <c r="E121" s="40"/>
      <c r="F121" s="39"/>
      <c r="G121" s="39">
        <f>'[1]Місто'!$K$264</f>
        <v>2733344</v>
      </c>
      <c r="H121" s="5"/>
      <c r="I121" s="5"/>
      <c r="J121" s="64"/>
      <c r="K121" s="5"/>
      <c r="L121" s="5"/>
      <c r="M121" s="6"/>
      <c r="N121" s="17"/>
      <c r="O121" s="18"/>
    </row>
    <row r="122" spans="1:15" s="4" customFormat="1" ht="45.75">
      <c r="A122" s="37">
        <v>150101</v>
      </c>
      <c r="B122" s="38" t="s">
        <v>1</v>
      </c>
      <c r="C122" s="38" t="s">
        <v>33</v>
      </c>
      <c r="D122" s="39">
        <v>33418000</v>
      </c>
      <c r="E122" s="40">
        <f aca="true" t="shared" si="3" ref="E122:E141">100-(F122/D122)*100</f>
        <v>67.09543686037465</v>
      </c>
      <c r="F122" s="39">
        <f>D122-(18568253.13+3853699.96)</f>
        <v>10996046.91</v>
      </c>
      <c r="G122" s="39">
        <f>146236+5500000-2500000</f>
        <v>3146236</v>
      </c>
      <c r="H122" s="9"/>
      <c r="I122" s="9"/>
      <c r="J122" s="64"/>
      <c r="K122" s="9"/>
      <c r="L122" s="9"/>
      <c r="M122" s="10"/>
      <c r="N122" s="16"/>
      <c r="O122" s="8"/>
    </row>
    <row r="123" spans="1:15" s="4" customFormat="1" ht="45.75">
      <c r="A123" s="37">
        <v>150101</v>
      </c>
      <c r="B123" s="38" t="s">
        <v>1</v>
      </c>
      <c r="C123" s="38" t="s">
        <v>26</v>
      </c>
      <c r="D123" s="39">
        <v>13492940</v>
      </c>
      <c r="E123" s="40">
        <f t="shared" si="3"/>
        <v>21.184069594914092</v>
      </c>
      <c r="F123" s="39">
        <f>D123-(2764681.8+93672)</f>
        <v>10634586.2</v>
      </c>
      <c r="G123" s="39">
        <f>3000000-217177</f>
        <v>2782823</v>
      </c>
      <c r="H123" s="9"/>
      <c r="I123" s="9"/>
      <c r="J123" s="64"/>
      <c r="K123" s="9"/>
      <c r="L123" s="9"/>
      <c r="M123" s="10"/>
      <c r="N123" s="20"/>
      <c r="O123" s="15"/>
    </row>
    <row r="124" spans="1:15" s="4" customFormat="1" ht="60.75">
      <c r="A124" s="37">
        <v>150101</v>
      </c>
      <c r="B124" s="38" t="s">
        <v>1</v>
      </c>
      <c r="C124" s="38" t="s">
        <v>65</v>
      </c>
      <c r="D124" s="39">
        <v>5210000</v>
      </c>
      <c r="E124" s="40">
        <f>100-(F124/D124)*100</f>
        <v>1.7417963531669756</v>
      </c>
      <c r="F124" s="39">
        <f>D124-90747.59</f>
        <v>5119252.41</v>
      </c>
      <c r="G124" s="39">
        <v>112926</v>
      </c>
      <c r="H124" s="9"/>
      <c r="I124" s="9"/>
      <c r="J124" s="64"/>
      <c r="K124" s="9"/>
      <c r="L124" s="9"/>
      <c r="M124" s="10"/>
      <c r="N124" s="11"/>
      <c r="O124" s="15"/>
    </row>
    <row r="125" spans="1:10" s="4" customFormat="1" ht="105.75" hidden="1">
      <c r="A125" s="37">
        <v>150101</v>
      </c>
      <c r="B125" s="38" t="s">
        <v>1</v>
      </c>
      <c r="C125" s="38" t="s">
        <v>119</v>
      </c>
      <c r="D125" s="39"/>
      <c r="E125" s="40"/>
      <c r="F125" s="39"/>
      <c r="G125" s="39">
        <f>2117823-2117823</f>
        <v>0</v>
      </c>
      <c r="H125" s="12"/>
      <c r="I125" s="11"/>
      <c r="J125" s="64"/>
    </row>
    <row r="126" spans="1:10" s="4" customFormat="1" ht="45.75">
      <c r="A126" s="37">
        <v>150101</v>
      </c>
      <c r="B126" s="38" t="s">
        <v>1</v>
      </c>
      <c r="C126" s="38" t="s">
        <v>184</v>
      </c>
      <c r="D126" s="39">
        <v>820137</v>
      </c>
      <c r="E126" s="40">
        <f>100-(F126/D126)*100</f>
        <v>0</v>
      </c>
      <c r="F126" s="39">
        <v>820137</v>
      </c>
      <c r="G126" s="39">
        <f>820137</f>
        <v>820137</v>
      </c>
      <c r="H126" s="12"/>
      <c r="I126" s="11"/>
      <c r="J126" s="64"/>
    </row>
    <row r="127" spans="1:10" s="4" customFormat="1" ht="90.75">
      <c r="A127" s="37">
        <v>150101</v>
      </c>
      <c r="B127" s="38" t="s">
        <v>1</v>
      </c>
      <c r="C127" s="38" t="s">
        <v>66</v>
      </c>
      <c r="D127" s="39">
        <v>329000</v>
      </c>
      <c r="E127" s="40">
        <f>100-(F127/D127)*100</f>
        <v>0</v>
      </c>
      <c r="F127" s="39">
        <v>329000</v>
      </c>
      <c r="G127" s="39">
        <v>329000</v>
      </c>
      <c r="H127" s="12"/>
      <c r="I127" s="10"/>
      <c r="J127" s="64"/>
    </row>
    <row r="128" spans="1:15" s="4" customFormat="1" ht="60.75">
      <c r="A128" s="37">
        <v>150101</v>
      </c>
      <c r="B128" s="38" t="s">
        <v>1</v>
      </c>
      <c r="C128" s="38" t="s">
        <v>67</v>
      </c>
      <c r="D128" s="39">
        <v>465000</v>
      </c>
      <c r="E128" s="40">
        <f t="shared" si="3"/>
        <v>46.5410752688172</v>
      </c>
      <c r="F128" s="39">
        <f>D128-(79512+136904)</f>
        <v>248584</v>
      </c>
      <c r="G128" s="39">
        <v>248584</v>
      </c>
      <c r="H128" s="9"/>
      <c r="I128" s="9"/>
      <c r="J128" s="64"/>
      <c r="K128" s="9"/>
      <c r="L128" s="9"/>
      <c r="M128" s="10"/>
      <c r="N128" s="11"/>
      <c r="O128" s="8"/>
    </row>
    <row r="129" spans="1:10" s="4" customFormat="1" ht="45.75">
      <c r="A129" s="37">
        <v>150101</v>
      </c>
      <c r="B129" s="38" t="s">
        <v>1</v>
      </c>
      <c r="C129" s="38" t="s">
        <v>68</v>
      </c>
      <c r="D129" s="39">
        <v>2925506</v>
      </c>
      <c r="E129" s="40">
        <f>100-(F129/D129)*100</f>
        <v>0</v>
      </c>
      <c r="F129" s="39">
        <f>D129-0</f>
        <v>2925506</v>
      </c>
      <c r="G129" s="39">
        <v>2925506</v>
      </c>
      <c r="H129" s="12"/>
      <c r="I129" s="10"/>
      <c r="J129" s="64"/>
    </row>
    <row r="130" spans="1:15" s="4" customFormat="1" ht="75.75">
      <c r="A130" s="37">
        <v>150101</v>
      </c>
      <c r="B130" s="38" t="s">
        <v>1</v>
      </c>
      <c r="C130" s="38" t="s">
        <v>69</v>
      </c>
      <c r="D130" s="39">
        <v>997202</v>
      </c>
      <c r="E130" s="40">
        <f t="shared" si="3"/>
        <v>31.945884585069024</v>
      </c>
      <c r="F130" s="39">
        <f>SUM(D130-318565)</f>
        <v>678637</v>
      </c>
      <c r="G130" s="39">
        <f>439075-15000</f>
        <v>424075</v>
      </c>
      <c r="H130" s="9"/>
      <c r="I130" s="9"/>
      <c r="J130" s="64"/>
      <c r="K130" s="9"/>
      <c r="L130" s="9"/>
      <c r="M130" s="10"/>
      <c r="N130" s="11"/>
      <c r="O130" s="8"/>
    </row>
    <row r="131" spans="1:15" s="4" customFormat="1" ht="60.75">
      <c r="A131" s="37">
        <v>150101</v>
      </c>
      <c r="B131" s="38" t="s">
        <v>1</v>
      </c>
      <c r="C131" s="38" t="s">
        <v>70</v>
      </c>
      <c r="D131" s="39">
        <v>1279309</v>
      </c>
      <c r="E131" s="40">
        <f t="shared" si="3"/>
        <v>37.37758586862125</v>
      </c>
      <c r="F131" s="39">
        <f>SUM(D131-98211.46-96415.45-283547.91)</f>
        <v>801134.1800000002</v>
      </c>
      <c r="G131" s="39">
        <f>52526+104178+644430</f>
        <v>801134</v>
      </c>
      <c r="H131" s="9"/>
      <c r="I131" s="9"/>
      <c r="J131" s="64"/>
      <c r="K131" s="9"/>
      <c r="L131" s="9"/>
      <c r="M131" s="10"/>
      <c r="N131" s="11"/>
      <c r="O131" s="8"/>
    </row>
    <row r="132" spans="1:15" s="4" customFormat="1" ht="60.75">
      <c r="A132" s="37">
        <v>150101</v>
      </c>
      <c r="B132" s="38" t="s">
        <v>1</v>
      </c>
      <c r="C132" s="38" t="s">
        <v>200</v>
      </c>
      <c r="D132" s="39">
        <v>65920</v>
      </c>
      <c r="E132" s="40">
        <v>0</v>
      </c>
      <c r="F132" s="39">
        <v>65920</v>
      </c>
      <c r="G132" s="39">
        <v>65920</v>
      </c>
      <c r="H132" s="9"/>
      <c r="I132" s="9"/>
      <c r="J132" s="64"/>
      <c r="K132" s="9"/>
      <c r="L132" s="9"/>
      <c r="M132" s="10"/>
      <c r="N132" s="11"/>
      <c r="O132" s="8"/>
    </row>
    <row r="133" spans="1:15" s="4" customFormat="1" ht="45.75">
      <c r="A133" s="37">
        <v>150101</v>
      </c>
      <c r="B133" s="38" t="s">
        <v>1</v>
      </c>
      <c r="C133" s="38" t="s">
        <v>34</v>
      </c>
      <c r="D133" s="39">
        <f>320000+60000</f>
        <v>380000</v>
      </c>
      <c r="E133" s="40">
        <f t="shared" si="3"/>
        <v>16.18976315789473</v>
      </c>
      <c r="F133" s="39">
        <f>D133-(60000+1521.1)</f>
        <v>318478.9</v>
      </c>
      <c r="G133" s="39">
        <f>186226+72253+60000</f>
        <v>318479</v>
      </c>
      <c r="H133" s="9"/>
      <c r="I133" s="9"/>
      <c r="J133" s="64"/>
      <c r="K133" s="9"/>
      <c r="L133" s="9"/>
      <c r="M133" s="10"/>
      <c r="N133" s="11"/>
      <c r="O133" s="8"/>
    </row>
    <row r="134" spans="1:15" s="4" customFormat="1" ht="45.75">
      <c r="A134" s="37">
        <v>150101</v>
      </c>
      <c r="B134" s="38" t="s">
        <v>1</v>
      </c>
      <c r="C134" s="38" t="s">
        <v>199</v>
      </c>
      <c r="D134" s="39">
        <v>17355089</v>
      </c>
      <c r="E134" s="40">
        <f t="shared" si="3"/>
        <v>1.2488613570348122</v>
      </c>
      <c r="F134" s="39">
        <v>17138348</v>
      </c>
      <c r="G134" s="39">
        <f>184976+35000</f>
        <v>219976</v>
      </c>
      <c r="H134" s="9"/>
      <c r="I134" s="9"/>
      <c r="J134" s="64"/>
      <c r="K134" s="9"/>
      <c r="L134" s="9"/>
      <c r="M134" s="10"/>
      <c r="N134" s="11"/>
      <c r="O134" s="8"/>
    </row>
    <row r="135" spans="1:15" s="4" customFormat="1" ht="45.75">
      <c r="A135" s="37">
        <v>150101</v>
      </c>
      <c r="B135" s="38" t="s">
        <v>1</v>
      </c>
      <c r="C135" s="38" t="s">
        <v>35</v>
      </c>
      <c r="D135" s="39">
        <v>430000</v>
      </c>
      <c r="E135" s="40">
        <f t="shared" si="3"/>
        <v>22.659069767441864</v>
      </c>
      <c r="F135" s="39">
        <f>D135-(60352.8+37081.2)</f>
        <v>332566</v>
      </c>
      <c r="G135" s="39">
        <f>317262+15304</f>
        <v>332566</v>
      </c>
      <c r="H135" s="9"/>
      <c r="I135" s="9"/>
      <c r="J135" s="64"/>
      <c r="K135" s="9"/>
      <c r="L135" s="9"/>
      <c r="M135" s="10"/>
      <c r="N135" s="11"/>
      <c r="O135" s="8"/>
    </row>
    <row r="136" spans="1:15" s="4" customFormat="1" ht="90.75">
      <c r="A136" s="37">
        <v>150101</v>
      </c>
      <c r="B136" s="38" t="s">
        <v>1</v>
      </c>
      <c r="C136" s="38" t="s">
        <v>36</v>
      </c>
      <c r="D136" s="39">
        <v>2800000</v>
      </c>
      <c r="E136" s="40">
        <f t="shared" si="3"/>
        <v>3.8084935714285564</v>
      </c>
      <c r="F136" s="39">
        <f>D136-106637.82</f>
        <v>2693362.18</v>
      </c>
      <c r="G136" s="39">
        <f>450000-200000</f>
        <v>250000</v>
      </c>
      <c r="H136" s="9"/>
      <c r="I136" s="9"/>
      <c r="J136" s="64"/>
      <c r="K136" s="9"/>
      <c r="L136" s="9"/>
      <c r="M136" s="10"/>
      <c r="N136" s="11"/>
      <c r="O136" s="8"/>
    </row>
    <row r="137" spans="1:15" s="4" customFormat="1" ht="75.75">
      <c r="A137" s="37">
        <v>150101</v>
      </c>
      <c r="B137" s="38" t="s">
        <v>1</v>
      </c>
      <c r="C137" s="38" t="s">
        <v>13</v>
      </c>
      <c r="D137" s="39">
        <v>4500000</v>
      </c>
      <c r="E137" s="40">
        <f t="shared" si="3"/>
        <v>3.7698666666666725</v>
      </c>
      <c r="F137" s="39">
        <f>D137-169644</f>
        <v>4330356</v>
      </c>
      <c r="G137" s="39">
        <f>86356+2000000</f>
        <v>2086356</v>
      </c>
      <c r="H137" s="9"/>
      <c r="I137" s="9"/>
      <c r="J137" s="64"/>
      <c r="K137" s="9"/>
      <c r="L137" s="9"/>
      <c r="M137" s="10"/>
      <c r="N137" s="11"/>
      <c r="O137" s="8"/>
    </row>
    <row r="138" spans="1:15" s="4" customFormat="1" ht="60.75">
      <c r="A138" s="37">
        <v>150101</v>
      </c>
      <c r="B138" s="38" t="s">
        <v>1</v>
      </c>
      <c r="C138" s="38" t="s">
        <v>37</v>
      </c>
      <c r="D138" s="39">
        <v>1951998</v>
      </c>
      <c r="E138" s="40">
        <f t="shared" si="3"/>
        <v>4.2933973293005465</v>
      </c>
      <c r="F138" s="39">
        <f>D138-83807.03</f>
        <v>1868190.97</v>
      </c>
      <c r="G138" s="39">
        <v>1868191</v>
      </c>
      <c r="H138" s="9"/>
      <c r="I138" s="9"/>
      <c r="J138" s="64"/>
      <c r="K138" s="9"/>
      <c r="L138" s="9"/>
      <c r="M138" s="10"/>
      <c r="N138" s="11"/>
      <c r="O138" s="8"/>
    </row>
    <row r="139" spans="1:15" s="4" customFormat="1" ht="45.75" hidden="1">
      <c r="A139" s="37">
        <v>150101</v>
      </c>
      <c r="B139" s="38" t="s">
        <v>1</v>
      </c>
      <c r="C139" s="38" t="s">
        <v>14</v>
      </c>
      <c r="D139" s="39"/>
      <c r="E139" s="40"/>
      <c r="F139" s="39"/>
      <c r="G139" s="39">
        <f>200000-200000</f>
        <v>0</v>
      </c>
      <c r="H139" s="9"/>
      <c r="I139" s="9"/>
      <c r="J139" s="64"/>
      <c r="K139" s="9"/>
      <c r="L139" s="9"/>
      <c r="M139" s="10"/>
      <c r="N139" s="11"/>
      <c r="O139" s="8"/>
    </row>
    <row r="140" spans="1:15" s="4" customFormat="1" ht="45.75">
      <c r="A140" s="37">
        <v>150101</v>
      </c>
      <c r="B140" s="38" t="s">
        <v>1</v>
      </c>
      <c r="C140" s="38" t="s">
        <v>38</v>
      </c>
      <c r="D140" s="39">
        <v>2037432</v>
      </c>
      <c r="E140" s="40">
        <f t="shared" si="3"/>
        <v>3.727133960789857</v>
      </c>
      <c r="F140" s="39">
        <f>D140-75937.82</f>
        <v>1961494.18</v>
      </c>
      <c r="G140" s="39">
        <v>500000</v>
      </c>
      <c r="H140" s="9"/>
      <c r="I140" s="9"/>
      <c r="J140" s="64"/>
      <c r="K140" s="9"/>
      <c r="L140" s="9"/>
      <c r="M140" s="10"/>
      <c r="N140" s="11"/>
      <c r="O140" s="8"/>
    </row>
    <row r="141" spans="1:15" s="4" customFormat="1" ht="63.75" customHeight="1">
      <c r="A141" s="37">
        <v>150101</v>
      </c>
      <c r="B141" s="38" t="s">
        <v>1</v>
      </c>
      <c r="C141" s="38" t="s">
        <v>39</v>
      </c>
      <c r="D141" s="39">
        <v>325000</v>
      </c>
      <c r="E141" s="40">
        <f t="shared" si="3"/>
        <v>0</v>
      </c>
      <c r="F141" s="39">
        <f>D141-0</f>
        <v>325000</v>
      </c>
      <c r="G141" s="39">
        <v>325000</v>
      </c>
      <c r="H141" s="9"/>
      <c r="I141" s="9"/>
      <c r="J141" s="64"/>
      <c r="K141" s="9"/>
      <c r="L141" s="9"/>
      <c r="M141" s="10"/>
      <c r="N141" s="11"/>
      <c r="O141" s="15"/>
    </row>
    <row r="142" spans="1:15" s="4" customFormat="1" ht="70.5" customHeight="1">
      <c r="A142" s="37">
        <v>150101</v>
      </c>
      <c r="B142" s="38" t="s">
        <v>1</v>
      </c>
      <c r="C142" s="57" t="s">
        <v>104</v>
      </c>
      <c r="D142" s="39">
        <v>19185690</v>
      </c>
      <c r="E142" s="40">
        <v>0</v>
      </c>
      <c r="F142" s="39">
        <v>19185690</v>
      </c>
      <c r="G142" s="39">
        <v>3782</v>
      </c>
      <c r="H142" s="9"/>
      <c r="I142" s="9"/>
      <c r="J142" s="64"/>
      <c r="K142" s="9"/>
      <c r="L142" s="9"/>
      <c r="M142" s="10"/>
      <c r="N142" s="11"/>
      <c r="O142" s="15"/>
    </row>
    <row r="143" spans="1:15" s="4" customFormat="1" ht="60.75">
      <c r="A143" s="37">
        <v>150101</v>
      </c>
      <c r="B143" s="38" t="s">
        <v>1</v>
      </c>
      <c r="C143" s="38" t="s">
        <v>105</v>
      </c>
      <c r="D143" s="39">
        <v>332800</v>
      </c>
      <c r="E143" s="40">
        <f aca="true" t="shared" si="4" ref="E143:E149">100-(F143/D143)*100</f>
        <v>96.0459735576923</v>
      </c>
      <c r="F143" s="39">
        <v>13159</v>
      </c>
      <c r="G143" s="39">
        <v>426</v>
      </c>
      <c r="H143" s="9"/>
      <c r="I143" s="9"/>
      <c r="J143" s="64"/>
      <c r="K143" s="9"/>
      <c r="L143" s="9"/>
      <c r="M143" s="10"/>
      <c r="N143" s="11"/>
      <c r="O143" s="8"/>
    </row>
    <row r="144" spans="1:16" s="4" customFormat="1" ht="45.75">
      <c r="A144" s="37">
        <v>150101</v>
      </c>
      <c r="B144" s="38" t="s">
        <v>1</v>
      </c>
      <c r="C144" s="38" t="s">
        <v>202</v>
      </c>
      <c r="D144" s="39">
        <v>6839924</v>
      </c>
      <c r="E144" s="40">
        <f t="shared" si="4"/>
        <v>2.154147765384522</v>
      </c>
      <c r="F144" s="39">
        <f>D144-147342.07</f>
        <v>6692581.93</v>
      </c>
      <c r="G144" s="39">
        <v>100000</v>
      </c>
      <c r="H144" s="9"/>
      <c r="I144" s="10"/>
      <c r="J144" s="64"/>
      <c r="K144" s="9"/>
      <c r="L144" s="9"/>
      <c r="M144" s="9"/>
      <c r="N144" s="10"/>
      <c r="O144" s="11"/>
      <c r="P144" s="8"/>
    </row>
    <row r="145" spans="1:16" s="4" customFormat="1" ht="75.75">
      <c r="A145" s="37">
        <v>150101</v>
      </c>
      <c r="B145" s="38" t="s">
        <v>1</v>
      </c>
      <c r="C145" s="38" t="s">
        <v>106</v>
      </c>
      <c r="D145" s="39">
        <v>361850</v>
      </c>
      <c r="E145" s="40">
        <f>100-(F145/D145)*100</f>
        <v>0</v>
      </c>
      <c r="F145" s="39">
        <f>D145-0</f>
        <v>361850</v>
      </c>
      <c r="G145" s="39">
        <v>303000</v>
      </c>
      <c r="H145" s="9"/>
      <c r="I145" s="10"/>
      <c r="J145" s="64"/>
      <c r="K145" s="9"/>
      <c r="L145" s="9"/>
      <c r="M145" s="9"/>
      <c r="N145" s="10"/>
      <c r="O145" s="11"/>
      <c r="P145" s="8"/>
    </row>
    <row r="146" spans="1:15" s="4" customFormat="1" ht="60.75">
      <c r="A146" s="37">
        <v>150101</v>
      </c>
      <c r="B146" s="38" t="s">
        <v>1</v>
      </c>
      <c r="C146" s="38" t="s">
        <v>107</v>
      </c>
      <c r="D146" s="39">
        <v>330000</v>
      </c>
      <c r="E146" s="40">
        <f t="shared" si="4"/>
        <v>0</v>
      </c>
      <c r="F146" s="39">
        <f>D146-0</f>
        <v>330000</v>
      </c>
      <c r="G146" s="39">
        <v>330000</v>
      </c>
      <c r="H146" s="9"/>
      <c r="I146" s="9"/>
      <c r="J146" s="64"/>
      <c r="K146" s="9"/>
      <c r="L146" s="9"/>
      <c r="M146" s="10"/>
      <c r="N146" s="11"/>
      <c r="O146" s="8"/>
    </row>
    <row r="147" spans="1:15" s="4" customFormat="1" ht="30.75">
      <c r="A147" s="37">
        <v>150101</v>
      </c>
      <c r="B147" s="38" t="s">
        <v>1</v>
      </c>
      <c r="C147" s="38" t="s">
        <v>40</v>
      </c>
      <c r="D147" s="39">
        <v>3216012</v>
      </c>
      <c r="E147" s="40">
        <f t="shared" si="4"/>
        <v>0.10837148617605408</v>
      </c>
      <c r="F147" s="39">
        <f>D147-3485.24</f>
        <v>3212526.76</v>
      </c>
      <c r="G147" s="39">
        <v>3212527</v>
      </c>
      <c r="H147" s="9"/>
      <c r="I147" s="9"/>
      <c r="J147" s="64"/>
      <c r="K147" s="9"/>
      <c r="L147" s="9"/>
      <c r="M147" s="10"/>
      <c r="N147" s="11"/>
      <c r="O147" s="8"/>
    </row>
    <row r="148" spans="1:16" s="4" customFormat="1" ht="60.75" hidden="1">
      <c r="A148" s="37">
        <v>150101</v>
      </c>
      <c r="B148" s="38" t="s">
        <v>1</v>
      </c>
      <c r="C148" s="38" t="s">
        <v>71</v>
      </c>
      <c r="D148" s="39"/>
      <c r="E148" s="40"/>
      <c r="F148" s="39"/>
      <c r="G148" s="39">
        <f>150000-150000</f>
        <v>0</v>
      </c>
      <c r="H148" s="9"/>
      <c r="I148" s="10"/>
      <c r="J148" s="64"/>
      <c r="K148" s="9"/>
      <c r="L148" s="9"/>
      <c r="M148" s="9"/>
      <c r="N148" s="10"/>
      <c r="O148" s="11"/>
      <c r="P148" s="8"/>
    </row>
    <row r="149" spans="1:15" s="4" customFormat="1" ht="30.75">
      <c r="A149" s="37">
        <v>150101</v>
      </c>
      <c r="B149" s="38" t="s">
        <v>1</v>
      </c>
      <c r="C149" s="38" t="s">
        <v>72</v>
      </c>
      <c r="D149" s="39">
        <v>1600549</v>
      </c>
      <c r="E149" s="40">
        <f t="shared" si="4"/>
        <v>0.6112277724705706</v>
      </c>
      <c r="F149" s="39">
        <v>1590766</v>
      </c>
      <c r="G149" s="39">
        <v>1590766</v>
      </c>
      <c r="H149" s="9"/>
      <c r="I149" s="9"/>
      <c r="J149" s="64"/>
      <c r="K149" s="9"/>
      <c r="L149" s="9"/>
      <c r="M149" s="10"/>
      <c r="N149" s="11"/>
      <c r="O149" s="8"/>
    </row>
    <row r="150" spans="1:15" s="4" customFormat="1" ht="30.75" hidden="1">
      <c r="A150" s="37">
        <v>150101</v>
      </c>
      <c r="B150" s="38" t="s">
        <v>1</v>
      </c>
      <c r="C150" s="38" t="s">
        <v>41</v>
      </c>
      <c r="D150" s="39"/>
      <c r="E150" s="40"/>
      <c r="F150" s="39"/>
      <c r="G150" s="39"/>
      <c r="H150" s="9"/>
      <c r="I150" s="9"/>
      <c r="J150" s="64"/>
      <c r="K150" s="9"/>
      <c r="L150" s="9"/>
      <c r="M150" s="10"/>
      <c r="N150" s="11"/>
      <c r="O150" s="8"/>
    </row>
    <row r="151" spans="1:15" s="4" customFormat="1" ht="60.75" hidden="1">
      <c r="A151" s="37">
        <v>150101</v>
      </c>
      <c r="B151" s="38" t="s">
        <v>1</v>
      </c>
      <c r="C151" s="38" t="s">
        <v>73</v>
      </c>
      <c r="D151" s="39"/>
      <c r="E151" s="40"/>
      <c r="F151" s="39"/>
      <c r="G151" s="39"/>
      <c r="H151" s="9"/>
      <c r="I151" s="9"/>
      <c r="J151" s="64"/>
      <c r="K151" s="9"/>
      <c r="L151" s="9"/>
      <c r="M151" s="10"/>
      <c r="N151" s="11"/>
      <c r="O151" s="8"/>
    </row>
    <row r="152" spans="1:15" s="4" customFormat="1" ht="60.75">
      <c r="A152" s="37">
        <v>150101</v>
      </c>
      <c r="B152" s="38" t="s">
        <v>1</v>
      </c>
      <c r="C152" s="38" t="s">
        <v>74</v>
      </c>
      <c r="D152" s="39">
        <v>205170</v>
      </c>
      <c r="E152" s="40">
        <f>100-(F152/D152)*100</f>
        <v>0</v>
      </c>
      <c r="F152" s="39">
        <f>SUM(D152)</f>
        <v>205170</v>
      </c>
      <c r="G152" s="39">
        <v>33408</v>
      </c>
      <c r="H152" s="9"/>
      <c r="I152" s="9"/>
      <c r="J152" s="64"/>
      <c r="K152" s="9"/>
      <c r="L152" s="9"/>
      <c r="M152" s="10"/>
      <c r="N152" s="11"/>
      <c r="O152" s="8"/>
    </row>
    <row r="153" spans="1:15" s="4" customFormat="1" ht="60.75">
      <c r="A153" s="37">
        <v>150101</v>
      </c>
      <c r="B153" s="38" t="s">
        <v>1</v>
      </c>
      <c r="C153" s="38" t="s">
        <v>75</v>
      </c>
      <c r="D153" s="39">
        <v>169307</v>
      </c>
      <c r="E153" s="39">
        <f>100-(F153/D153)*100</f>
        <v>0</v>
      </c>
      <c r="F153" s="39">
        <f>SUM(D153)</f>
        <v>169307</v>
      </c>
      <c r="G153" s="39">
        <v>169215</v>
      </c>
      <c r="H153" s="9"/>
      <c r="I153" s="9"/>
      <c r="J153" s="64"/>
      <c r="K153" s="9"/>
      <c r="L153" s="9"/>
      <c r="M153" s="10"/>
      <c r="N153" s="11"/>
      <c r="O153" s="8"/>
    </row>
    <row r="154" spans="1:15" s="4" customFormat="1" ht="45.75" hidden="1">
      <c r="A154" s="37">
        <v>150101</v>
      </c>
      <c r="B154" s="38" t="s">
        <v>1</v>
      </c>
      <c r="C154" s="38" t="s">
        <v>185</v>
      </c>
      <c r="D154" s="39"/>
      <c r="E154" s="39"/>
      <c r="F154" s="39"/>
      <c r="G154" s="39"/>
      <c r="H154" s="9"/>
      <c r="I154" s="9"/>
      <c r="J154" s="64"/>
      <c r="K154" s="9"/>
      <c r="L154" s="9"/>
      <c r="M154" s="10"/>
      <c r="N154" s="11"/>
      <c r="O154" s="8"/>
    </row>
    <row r="155" spans="1:15" s="4" customFormat="1" ht="60.75">
      <c r="A155" s="37">
        <v>150101</v>
      </c>
      <c r="B155" s="38" t="s">
        <v>1</v>
      </c>
      <c r="C155" s="38" t="s">
        <v>186</v>
      </c>
      <c r="D155" s="39">
        <v>137018</v>
      </c>
      <c r="E155" s="39">
        <v>0</v>
      </c>
      <c r="F155" s="39">
        <v>137018</v>
      </c>
      <c r="G155" s="39">
        <v>2000</v>
      </c>
      <c r="H155" s="9"/>
      <c r="I155" s="9"/>
      <c r="J155" s="64"/>
      <c r="K155" s="9"/>
      <c r="L155" s="9"/>
      <c r="M155" s="10"/>
      <c r="N155" s="11"/>
      <c r="O155" s="8"/>
    </row>
    <row r="156" spans="1:15" s="4" customFormat="1" ht="75.75">
      <c r="A156" s="37">
        <v>150101</v>
      </c>
      <c r="B156" s="38" t="s">
        <v>1</v>
      </c>
      <c r="C156" s="38" t="s">
        <v>187</v>
      </c>
      <c r="D156" s="39">
        <v>51997</v>
      </c>
      <c r="E156" s="39">
        <v>0</v>
      </c>
      <c r="F156" s="39">
        <v>51997</v>
      </c>
      <c r="G156" s="39">
        <v>36000</v>
      </c>
      <c r="H156" s="9"/>
      <c r="I156" s="9"/>
      <c r="J156" s="64"/>
      <c r="K156" s="9"/>
      <c r="L156" s="9"/>
      <c r="M156" s="10"/>
      <c r="N156" s="11"/>
      <c r="O156" s="8"/>
    </row>
    <row r="157" spans="1:15" s="4" customFormat="1" ht="60.75">
      <c r="A157" s="37">
        <v>150101</v>
      </c>
      <c r="B157" s="38" t="s">
        <v>1</v>
      </c>
      <c r="C157" s="38" t="s">
        <v>188</v>
      </c>
      <c r="D157" s="39">
        <v>44962</v>
      </c>
      <c r="E157" s="39">
        <v>0</v>
      </c>
      <c r="F157" s="39">
        <v>44962</v>
      </c>
      <c r="G157" s="39">
        <v>12000</v>
      </c>
      <c r="H157" s="9"/>
      <c r="I157" s="9"/>
      <c r="J157" s="64"/>
      <c r="K157" s="9"/>
      <c r="L157" s="9"/>
      <c r="M157" s="10"/>
      <c r="N157" s="11"/>
      <c r="O157" s="8"/>
    </row>
    <row r="158" spans="1:15" s="4" customFormat="1" ht="135.75">
      <c r="A158" s="72">
        <v>150101</v>
      </c>
      <c r="B158" s="73" t="s">
        <v>1</v>
      </c>
      <c r="C158" s="73" t="s">
        <v>239</v>
      </c>
      <c r="D158" s="74">
        <v>90000</v>
      </c>
      <c r="E158" s="74"/>
      <c r="F158" s="74">
        <v>90000</v>
      </c>
      <c r="G158" s="74">
        <v>90000</v>
      </c>
      <c r="H158" s="9"/>
      <c r="I158" s="9"/>
      <c r="J158" s="75"/>
      <c r="K158" s="9"/>
      <c r="L158" s="9"/>
      <c r="M158" s="10"/>
      <c r="N158" s="11"/>
      <c r="O158" s="8"/>
    </row>
    <row r="159" spans="1:15" s="4" customFormat="1" ht="45.75">
      <c r="A159" s="72">
        <v>150101</v>
      </c>
      <c r="B159" s="73" t="s">
        <v>1</v>
      </c>
      <c r="C159" s="73" t="s">
        <v>231</v>
      </c>
      <c r="D159" s="74">
        <v>970000</v>
      </c>
      <c r="E159" s="74"/>
      <c r="F159" s="74">
        <v>970000</v>
      </c>
      <c r="G159" s="74">
        <v>970000</v>
      </c>
      <c r="H159" s="9"/>
      <c r="I159" s="9"/>
      <c r="J159" s="75"/>
      <c r="K159" s="9"/>
      <c r="L159" s="9"/>
      <c r="M159" s="10"/>
      <c r="N159" s="11"/>
      <c r="O159" s="8"/>
    </row>
    <row r="160" spans="1:15" s="4" customFormat="1" ht="60.75">
      <c r="A160" s="72">
        <v>150101</v>
      </c>
      <c r="B160" s="73" t="s">
        <v>1</v>
      </c>
      <c r="C160" s="73" t="s">
        <v>232</v>
      </c>
      <c r="D160" s="74">
        <v>940000</v>
      </c>
      <c r="E160" s="74"/>
      <c r="F160" s="74">
        <v>940000</v>
      </c>
      <c r="G160" s="74">
        <v>940000</v>
      </c>
      <c r="H160" s="9"/>
      <c r="I160" s="9"/>
      <c r="J160" s="75"/>
      <c r="K160" s="9"/>
      <c r="L160" s="9"/>
      <c r="M160" s="10"/>
      <c r="N160" s="11"/>
      <c r="O160" s="8"/>
    </row>
    <row r="161" spans="1:15" s="4" customFormat="1" ht="60.75">
      <c r="A161" s="72">
        <v>150101</v>
      </c>
      <c r="B161" s="73" t="s">
        <v>1</v>
      </c>
      <c r="C161" s="73" t="s">
        <v>233</v>
      </c>
      <c r="D161" s="74">
        <v>990000</v>
      </c>
      <c r="E161" s="74"/>
      <c r="F161" s="74">
        <v>990000</v>
      </c>
      <c r="G161" s="74">
        <v>990000</v>
      </c>
      <c r="H161" s="9"/>
      <c r="I161" s="9"/>
      <c r="J161" s="75"/>
      <c r="K161" s="9"/>
      <c r="L161" s="9"/>
      <c r="M161" s="10"/>
      <c r="N161" s="11"/>
      <c r="O161" s="8"/>
    </row>
    <row r="162" spans="1:15" s="4" customFormat="1" ht="45.75">
      <c r="A162" s="72">
        <v>150101</v>
      </c>
      <c r="B162" s="73" t="s">
        <v>1</v>
      </c>
      <c r="C162" s="73" t="s">
        <v>234</v>
      </c>
      <c r="D162" s="74">
        <v>1050000</v>
      </c>
      <c r="E162" s="74"/>
      <c r="F162" s="74">
        <v>1050000</v>
      </c>
      <c r="G162" s="74">
        <v>1050000</v>
      </c>
      <c r="H162" s="9"/>
      <c r="I162" s="9"/>
      <c r="J162" s="75"/>
      <c r="K162" s="9"/>
      <c r="L162" s="9"/>
      <c r="M162" s="10"/>
      <c r="N162" s="11"/>
      <c r="O162" s="8"/>
    </row>
    <row r="163" spans="1:15" s="4" customFormat="1" ht="60.75">
      <c r="A163" s="72">
        <v>150101</v>
      </c>
      <c r="B163" s="73" t="s">
        <v>1</v>
      </c>
      <c r="C163" s="73" t="s">
        <v>235</v>
      </c>
      <c r="D163" s="74">
        <v>1050000</v>
      </c>
      <c r="E163" s="74"/>
      <c r="F163" s="74">
        <v>1050000</v>
      </c>
      <c r="G163" s="74">
        <v>1050000</v>
      </c>
      <c r="H163" s="9"/>
      <c r="I163" s="9"/>
      <c r="J163" s="75"/>
      <c r="K163" s="9"/>
      <c r="L163" s="9"/>
      <c r="M163" s="10"/>
      <c r="N163" s="11"/>
      <c r="O163" s="8"/>
    </row>
    <row r="164" spans="1:15" s="4" customFormat="1" ht="60.75">
      <c r="A164" s="72">
        <v>150101</v>
      </c>
      <c r="B164" s="73" t="s">
        <v>1</v>
      </c>
      <c r="C164" s="73" t="s">
        <v>236</v>
      </c>
      <c r="D164" s="74">
        <v>6500</v>
      </c>
      <c r="E164" s="74"/>
      <c r="F164" s="74">
        <v>6500</v>
      </c>
      <c r="G164" s="74">
        <v>6500</v>
      </c>
      <c r="H164" s="9"/>
      <c r="I164" s="9"/>
      <c r="J164" s="75"/>
      <c r="K164" s="9"/>
      <c r="L164" s="9"/>
      <c r="M164" s="10"/>
      <c r="N164" s="11"/>
      <c r="O164" s="8"/>
    </row>
    <row r="165" spans="1:15" s="4" customFormat="1" ht="45.75">
      <c r="A165" s="72">
        <v>150101</v>
      </c>
      <c r="B165" s="73" t="s">
        <v>1</v>
      </c>
      <c r="C165" s="73" t="s">
        <v>237</v>
      </c>
      <c r="D165" s="74">
        <v>26453</v>
      </c>
      <c r="E165" s="74"/>
      <c r="F165" s="74">
        <v>26453</v>
      </c>
      <c r="G165" s="74">
        <v>7000</v>
      </c>
      <c r="H165" s="9"/>
      <c r="I165" s="9"/>
      <c r="J165" s="75"/>
      <c r="K165" s="9"/>
      <c r="L165" s="9"/>
      <c r="M165" s="10"/>
      <c r="N165" s="11"/>
      <c r="O165" s="8"/>
    </row>
    <row r="166" spans="1:15" s="4" customFormat="1" ht="75.75">
      <c r="A166" s="72">
        <v>150101</v>
      </c>
      <c r="B166" s="73" t="s">
        <v>1</v>
      </c>
      <c r="C166" s="73" t="s">
        <v>238</v>
      </c>
      <c r="D166" s="74">
        <v>63000</v>
      </c>
      <c r="E166" s="74"/>
      <c r="F166" s="74">
        <v>63000</v>
      </c>
      <c r="G166" s="74">
        <v>63000</v>
      </c>
      <c r="H166" s="9"/>
      <c r="I166" s="9"/>
      <c r="J166" s="75"/>
      <c r="K166" s="9"/>
      <c r="L166" s="9"/>
      <c r="M166" s="10"/>
      <c r="N166" s="11"/>
      <c r="O166" s="8"/>
    </row>
    <row r="167" spans="1:15" s="4" customFormat="1" ht="105.75">
      <c r="A167" s="72">
        <v>150101</v>
      </c>
      <c r="B167" s="73" t="s">
        <v>1</v>
      </c>
      <c r="C167" s="73" t="s">
        <v>240</v>
      </c>
      <c r="D167" s="74">
        <v>398792</v>
      </c>
      <c r="E167" s="74"/>
      <c r="F167" s="74">
        <v>398792</v>
      </c>
      <c r="G167" s="74">
        <v>30000</v>
      </c>
      <c r="H167" s="9"/>
      <c r="I167" s="9"/>
      <c r="J167" s="75"/>
      <c r="K167" s="9"/>
      <c r="L167" s="9"/>
      <c r="M167" s="10"/>
      <c r="N167" s="11"/>
      <c r="O167" s="8"/>
    </row>
    <row r="168" spans="1:15" s="4" customFormat="1" ht="90.75">
      <c r="A168" s="72">
        <v>150101</v>
      </c>
      <c r="B168" s="73" t="s">
        <v>1</v>
      </c>
      <c r="C168" s="73" t="s">
        <v>242</v>
      </c>
      <c r="D168" s="74">
        <v>18000</v>
      </c>
      <c r="E168" s="74"/>
      <c r="F168" s="74">
        <v>18000</v>
      </c>
      <c r="G168" s="74">
        <v>18000</v>
      </c>
      <c r="H168" s="9"/>
      <c r="I168" s="9"/>
      <c r="J168" s="75"/>
      <c r="K168" s="9"/>
      <c r="L168" s="9"/>
      <c r="M168" s="10"/>
      <c r="N168" s="11"/>
      <c r="O168" s="8"/>
    </row>
    <row r="169" spans="1:15" s="4" customFormat="1" ht="60.75">
      <c r="A169" s="37">
        <v>180409</v>
      </c>
      <c r="B169" s="38" t="s">
        <v>16</v>
      </c>
      <c r="C169" s="38" t="s">
        <v>123</v>
      </c>
      <c r="D169" s="39"/>
      <c r="E169" s="40"/>
      <c r="F169" s="39"/>
      <c r="G169" s="39">
        <f>6200000+2999604+990000</f>
        <v>10189604</v>
      </c>
      <c r="H169" s="9"/>
      <c r="I169" s="9"/>
      <c r="J169" s="64"/>
      <c r="K169" s="9"/>
      <c r="L169" s="9"/>
      <c r="M169" s="10"/>
      <c r="N169" s="11"/>
      <c r="O169" s="8"/>
    </row>
    <row r="170" spans="1:15" s="4" customFormat="1" ht="18.75">
      <c r="A170" s="37"/>
      <c r="B170" s="38" t="s">
        <v>208</v>
      </c>
      <c r="C170" s="38"/>
      <c r="D170" s="39"/>
      <c r="E170" s="40"/>
      <c r="F170" s="39"/>
      <c r="G170" s="39"/>
      <c r="H170" s="9"/>
      <c r="I170" s="9"/>
      <c r="J170" s="64"/>
      <c r="K170" s="9"/>
      <c r="L170" s="9"/>
      <c r="M170" s="10"/>
      <c r="N170" s="11"/>
      <c r="O170" s="8"/>
    </row>
    <row r="171" spans="1:15" s="4" customFormat="1" ht="45.75">
      <c r="A171" s="37"/>
      <c r="B171" s="38"/>
      <c r="C171" s="38" t="s">
        <v>209</v>
      </c>
      <c r="D171" s="39"/>
      <c r="E171" s="40"/>
      <c r="F171" s="39"/>
      <c r="G171" s="39">
        <v>8399604</v>
      </c>
      <c r="H171" s="9"/>
      <c r="I171" s="9"/>
      <c r="J171" s="64"/>
      <c r="K171" s="9"/>
      <c r="L171" s="9"/>
      <c r="M171" s="10"/>
      <c r="N171" s="11"/>
      <c r="O171" s="8"/>
    </row>
    <row r="172" spans="1:15" s="4" customFormat="1" ht="18.75">
      <c r="A172" s="37"/>
      <c r="B172" s="38"/>
      <c r="C172" s="38" t="s">
        <v>210</v>
      </c>
      <c r="D172" s="39"/>
      <c r="E172" s="40"/>
      <c r="F172" s="39"/>
      <c r="G172" s="39">
        <v>800000</v>
      </c>
      <c r="H172" s="9"/>
      <c r="I172" s="9"/>
      <c r="J172" s="64"/>
      <c r="K172" s="9"/>
      <c r="L172" s="9"/>
      <c r="M172" s="10"/>
      <c r="N172" s="11"/>
      <c r="O172" s="8"/>
    </row>
    <row r="173" spans="1:15" s="4" customFormat="1" ht="30.75">
      <c r="A173" s="37"/>
      <c r="B173" s="38"/>
      <c r="C173" s="38" t="s">
        <v>211</v>
      </c>
      <c r="D173" s="39"/>
      <c r="E173" s="40"/>
      <c r="F173" s="39"/>
      <c r="G173" s="39">
        <v>990000</v>
      </c>
      <c r="H173" s="9"/>
      <c r="I173" s="9"/>
      <c r="J173" s="64"/>
      <c r="K173" s="9"/>
      <c r="L173" s="9"/>
      <c r="M173" s="10"/>
      <c r="N173" s="11"/>
      <c r="O173" s="8"/>
    </row>
    <row r="174" spans="1:15" s="4" customFormat="1" ht="60.75">
      <c r="A174" s="37">
        <v>180409</v>
      </c>
      <c r="B174" s="38" t="s">
        <v>16</v>
      </c>
      <c r="C174" s="38" t="s">
        <v>76</v>
      </c>
      <c r="D174" s="39"/>
      <c r="E174" s="40"/>
      <c r="F174" s="39"/>
      <c r="G174" s="39">
        <f>4647544-2999604</f>
        <v>1647940</v>
      </c>
      <c r="H174" s="9"/>
      <c r="I174" s="9"/>
      <c r="J174" s="64"/>
      <c r="K174" s="9"/>
      <c r="L174" s="9"/>
      <c r="M174" s="10"/>
      <c r="N174" s="11"/>
      <c r="O174" s="8"/>
    </row>
    <row r="175" spans="1:15" s="4" customFormat="1" ht="18.75">
      <c r="A175" s="37"/>
      <c r="B175" s="38" t="s">
        <v>208</v>
      </c>
      <c r="C175" s="38"/>
      <c r="D175" s="39"/>
      <c r="E175" s="40"/>
      <c r="F175" s="39"/>
      <c r="G175" s="39"/>
      <c r="H175" s="9"/>
      <c r="I175" s="9"/>
      <c r="J175" s="64"/>
      <c r="K175" s="9"/>
      <c r="L175" s="9"/>
      <c r="M175" s="10"/>
      <c r="N175" s="11"/>
      <c r="O175" s="8"/>
    </row>
    <row r="176" spans="1:15" s="4" customFormat="1" ht="45.75">
      <c r="A176" s="37"/>
      <c r="B176" s="38"/>
      <c r="C176" s="38" t="s">
        <v>213</v>
      </c>
      <c r="D176" s="39"/>
      <c r="E176" s="40"/>
      <c r="F176" s="39"/>
      <c r="G176" s="39">
        <v>1125140</v>
      </c>
      <c r="H176" s="9"/>
      <c r="I176" s="9"/>
      <c r="J176" s="64"/>
      <c r="K176" s="9"/>
      <c r="L176" s="9"/>
      <c r="M176" s="10"/>
      <c r="N176" s="11"/>
      <c r="O176" s="8"/>
    </row>
    <row r="177" spans="1:15" s="4" customFormat="1" ht="45.75">
      <c r="A177" s="37"/>
      <c r="B177" s="38"/>
      <c r="C177" s="38" t="s">
        <v>212</v>
      </c>
      <c r="D177" s="39"/>
      <c r="E177" s="40"/>
      <c r="F177" s="39"/>
      <c r="G177" s="39">
        <v>382800</v>
      </c>
      <c r="H177" s="9"/>
      <c r="I177" s="9"/>
      <c r="J177" s="64"/>
      <c r="K177" s="9"/>
      <c r="L177" s="9"/>
      <c r="M177" s="10"/>
      <c r="N177" s="11"/>
      <c r="O177" s="8"/>
    </row>
    <row r="178" spans="1:15" s="4" customFormat="1" ht="18.75">
      <c r="A178" s="37"/>
      <c r="B178" s="38"/>
      <c r="C178" s="38" t="s">
        <v>210</v>
      </c>
      <c r="D178" s="39"/>
      <c r="E178" s="40"/>
      <c r="F178" s="39"/>
      <c r="G178" s="39">
        <v>140000</v>
      </c>
      <c r="H178" s="9"/>
      <c r="I178" s="9"/>
      <c r="J178" s="64"/>
      <c r="K178" s="9"/>
      <c r="L178" s="9"/>
      <c r="M178" s="10"/>
      <c r="N178" s="11"/>
      <c r="O178" s="8"/>
    </row>
    <row r="179" spans="1:10" s="19" customFormat="1" ht="63">
      <c r="A179" s="41">
        <v>65</v>
      </c>
      <c r="B179" s="34" t="s">
        <v>24</v>
      </c>
      <c r="C179" s="34"/>
      <c r="D179" s="35"/>
      <c r="E179" s="36"/>
      <c r="F179" s="35"/>
      <c r="G179" s="35">
        <f>SUM(G180:G181)</f>
        <v>648434</v>
      </c>
      <c r="H179" s="24"/>
      <c r="I179" s="6"/>
      <c r="J179" s="64">
        <f>I179-H179</f>
        <v>0</v>
      </c>
    </row>
    <row r="180" spans="1:10" s="19" customFormat="1" ht="30.75">
      <c r="A180" s="37">
        <v>120100</v>
      </c>
      <c r="B180" s="38" t="s">
        <v>163</v>
      </c>
      <c r="C180" s="38" t="s">
        <v>128</v>
      </c>
      <c r="D180" s="39"/>
      <c r="E180" s="40"/>
      <c r="F180" s="39"/>
      <c r="G180" s="39">
        <f>'[1]Місто'!$K$326</f>
        <v>98900</v>
      </c>
      <c r="H180" s="24"/>
      <c r="I180" s="6"/>
      <c r="J180" s="64"/>
    </row>
    <row r="181" spans="1:10" s="4" customFormat="1" ht="90.75">
      <c r="A181" s="37">
        <v>180409</v>
      </c>
      <c r="B181" s="38" t="s">
        <v>16</v>
      </c>
      <c r="C181" s="38" t="s">
        <v>120</v>
      </c>
      <c r="D181" s="39"/>
      <c r="E181" s="40"/>
      <c r="F181" s="39"/>
      <c r="G181" s="39">
        <f>665462-115928</f>
        <v>549534</v>
      </c>
      <c r="H181" s="12"/>
      <c r="I181" s="10"/>
      <c r="J181" s="64"/>
    </row>
    <row r="182" spans="1:15" s="19" customFormat="1" ht="47.25">
      <c r="A182" s="33">
        <v>73</v>
      </c>
      <c r="B182" s="34" t="s">
        <v>25</v>
      </c>
      <c r="C182" s="34"/>
      <c r="D182" s="35">
        <f>SUM(D184:D196)</f>
        <v>123436250</v>
      </c>
      <c r="E182" s="36"/>
      <c r="F182" s="35">
        <f>SUM(F184:F196)</f>
        <v>107558113.98</v>
      </c>
      <c r="G182" s="35">
        <f>SUM(G183:G196)</f>
        <v>14198254</v>
      </c>
      <c r="H182" s="59">
        <f>G184+G185+G186+G187+G188+G189+G190+G191+G192+G195+G196+G193+G194</f>
        <v>14191754</v>
      </c>
      <c r="I182" s="59">
        <f>'[1]Місто'!$K$348</f>
        <v>14191754</v>
      </c>
      <c r="J182" s="64">
        <f>I182-H182</f>
        <v>0</v>
      </c>
      <c r="K182" s="5"/>
      <c r="L182" s="5"/>
      <c r="M182" s="6"/>
      <c r="N182" s="7"/>
      <c r="O182" s="18"/>
    </row>
    <row r="183" spans="1:15" s="19" customFormat="1" ht="30.75">
      <c r="A183" s="50" t="s">
        <v>127</v>
      </c>
      <c r="B183" s="38" t="s">
        <v>154</v>
      </c>
      <c r="C183" s="38" t="s">
        <v>128</v>
      </c>
      <c r="D183" s="39"/>
      <c r="E183" s="40"/>
      <c r="F183" s="39"/>
      <c r="G183" s="39">
        <f>'[1]Місто'!$K$344</f>
        <v>6500</v>
      </c>
      <c r="H183" s="5"/>
      <c r="I183" s="5"/>
      <c r="J183" s="64"/>
      <c r="K183" s="5"/>
      <c r="L183" s="5"/>
      <c r="M183" s="6"/>
      <c r="N183" s="7"/>
      <c r="O183" s="18"/>
    </row>
    <row r="184" spans="1:15" s="4" customFormat="1" ht="60.75">
      <c r="A184" s="37">
        <v>150101</v>
      </c>
      <c r="B184" s="38" t="s">
        <v>1</v>
      </c>
      <c r="C184" s="38" t="s">
        <v>60</v>
      </c>
      <c r="D184" s="39"/>
      <c r="E184" s="40"/>
      <c r="F184" s="39"/>
      <c r="G184" s="39">
        <v>200404</v>
      </c>
      <c r="H184" s="9"/>
      <c r="I184" s="9"/>
      <c r="J184" s="64"/>
      <c r="K184" s="9"/>
      <c r="L184" s="9"/>
      <c r="M184" s="10"/>
      <c r="N184" s="11"/>
      <c r="O184" s="8"/>
    </row>
    <row r="185" spans="1:15" s="4" customFormat="1" ht="45.75">
      <c r="A185" s="37">
        <v>150101</v>
      </c>
      <c r="B185" s="38" t="s">
        <v>1</v>
      </c>
      <c r="C185" s="38" t="s">
        <v>29</v>
      </c>
      <c r="D185" s="39">
        <v>8428076</v>
      </c>
      <c r="E185" s="40">
        <f aca="true" t="shared" si="5" ref="E185:E192">100-(F185/D185)*100</f>
        <v>17.300442473466063</v>
      </c>
      <c r="F185" s="39">
        <f>D185-(2652.28+224049.34+1231392.82)</f>
        <v>6969981.5600000005</v>
      </c>
      <c r="G185" s="39">
        <f>532674+1342837+624489+1464263</f>
        <v>3964263</v>
      </c>
      <c r="H185" s="12"/>
      <c r="I185" s="12"/>
      <c r="J185" s="64"/>
      <c r="K185" s="12"/>
      <c r="L185" s="12"/>
      <c r="M185" s="13"/>
      <c r="N185" s="14"/>
      <c r="O185" s="8"/>
    </row>
    <row r="186" spans="1:15" s="4" customFormat="1" ht="75.75">
      <c r="A186" s="37">
        <v>150101</v>
      </c>
      <c r="B186" s="38" t="s">
        <v>1</v>
      </c>
      <c r="C186" s="38" t="s">
        <v>12</v>
      </c>
      <c r="D186" s="39">
        <v>3836200</v>
      </c>
      <c r="E186" s="40">
        <f>100-(F186/D186)*100</f>
        <v>0.7438871800219005</v>
      </c>
      <c r="F186" s="39">
        <f>D186-(28537)</f>
        <v>3807663</v>
      </c>
      <c r="G186" s="39">
        <v>200000</v>
      </c>
      <c r="H186" s="12"/>
      <c r="I186" s="12"/>
      <c r="J186" s="64"/>
      <c r="K186" s="12"/>
      <c r="L186" s="12"/>
      <c r="M186" s="10"/>
      <c r="N186" s="11"/>
      <c r="O186" s="15"/>
    </row>
    <row r="187" spans="1:15" s="4" customFormat="1" ht="60.75">
      <c r="A187" s="37">
        <v>150101</v>
      </c>
      <c r="B187" s="38" t="s">
        <v>1</v>
      </c>
      <c r="C187" s="38" t="s">
        <v>101</v>
      </c>
      <c r="D187" s="39">
        <v>4848886</v>
      </c>
      <c r="E187" s="40">
        <f t="shared" si="5"/>
        <v>87.38717985945638</v>
      </c>
      <c r="F187" s="39">
        <f>SUM(D187-1337304.73-2900000)</f>
        <v>611581.27</v>
      </c>
      <c r="G187" s="39">
        <f>22235+186656</f>
        <v>208891</v>
      </c>
      <c r="H187" s="12"/>
      <c r="I187" s="12"/>
      <c r="J187" s="64"/>
      <c r="K187" s="12"/>
      <c r="L187" s="12"/>
      <c r="M187" s="13"/>
      <c r="N187" s="14"/>
      <c r="O187" s="8"/>
    </row>
    <row r="188" spans="1:15" s="4" customFormat="1" ht="60.75">
      <c r="A188" s="37">
        <v>150101</v>
      </c>
      <c r="B188" s="38" t="s">
        <v>1</v>
      </c>
      <c r="C188" s="38" t="s">
        <v>62</v>
      </c>
      <c r="D188" s="39">
        <v>8469431</v>
      </c>
      <c r="E188" s="40">
        <f t="shared" si="5"/>
        <v>80.20124634110603</v>
      </c>
      <c r="F188" s="39">
        <f>SUM(D188-1500000-1125399-428348.3-479307-3259534.92)</f>
        <v>1676841.7800000003</v>
      </c>
      <c r="G188" s="39">
        <v>311886</v>
      </c>
      <c r="H188" s="12"/>
      <c r="I188" s="9"/>
      <c r="J188" s="64"/>
      <c r="K188" s="12"/>
      <c r="L188" s="12"/>
      <c r="M188" s="10"/>
      <c r="N188" s="11"/>
      <c r="O188" s="8"/>
    </row>
    <row r="189" spans="1:15" s="4" customFormat="1" ht="60.75">
      <c r="A189" s="37">
        <v>150101</v>
      </c>
      <c r="B189" s="38" t="s">
        <v>1</v>
      </c>
      <c r="C189" s="38" t="s">
        <v>31</v>
      </c>
      <c r="D189" s="39">
        <v>40486207</v>
      </c>
      <c r="E189" s="40">
        <f>100-(F189/D189)*100</f>
        <v>1.1065443102634873</v>
      </c>
      <c r="F189" s="39">
        <f>D189-(160000+149353.61+138644.21)</f>
        <v>40038209.18</v>
      </c>
      <c r="G189" s="39">
        <f>4000000</f>
        <v>4000000</v>
      </c>
      <c r="H189" s="9"/>
      <c r="I189" s="9"/>
      <c r="J189" s="64"/>
      <c r="K189" s="9"/>
      <c r="L189" s="9"/>
      <c r="M189" s="10"/>
      <c r="N189" s="16"/>
      <c r="O189" s="15"/>
    </row>
    <row r="190" spans="1:15" s="4" customFormat="1" ht="60.75">
      <c r="A190" s="37">
        <v>150101</v>
      </c>
      <c r="B190" s="38" t="s">
        <v>1</v>
      </c>
      <c r="C190" s="38" t="s">
        <v>102</v>
      </c>
      <c r="D190" s="39">
        <v>41973922</v>
      </c>
      <c r="E190" s="40">
        <f t="shared" si="5"/>
        <v>0.7238618063854005</v>
      </c>
      <c r="F190" s="39">
        <f>SUM(D190-249768-46620-7445.19)</f>
        <v>41670088.81</v>
      </c>
      <c r="G190" s="39">
        <f>300000+18644922-1403400-78400-2533338-500000-624489-644430-186656-1464263-1906393-261296-545026-55046-180000+290000+5157404-3782-194410+117000+126000-13590-95000-990000-600000+39080-150681-11570-50970-4602770-4599933-1089214-34759-299843+2000-733147</f>
        <v>824000</v>
      </c>
      <c r="H190" s="39"/>
      <c r="I190" s="9"/>
      <c r="J190" s="64"/>
      <c r="K190" s="9"/>
      <c r="L190" s="9"/>
      <c r="M190" s="10"/>
      <c r="N190" s="16"/>
      <c r="O190" s="15"/>
    </row>
    <row r="191" spans="1:15" s="4" customFormat="1" ht="45.75">
      <c r="A191" s="37">
        <v>150101</v>
      </c>
      <c r="B191" s="38" t="s">
        <v>1</v>
      </c>
      <c r="C191" s="38" t="s">
        <v>32</v>
      </c>
      <c r="D191" s="39">
        <v>1222082</v>
      </c>
      <c r="E191" s="40">
        <f t="shared" si="5"/>
        <v>8.118355396773708</v>
      </c>
      <c r="F191" s="39">
        <f>D191-99212.96</f>
        <v>1122869.04</v>
      </c>
      <c r="G191" s="39">
        <v>1122869</v>
      </c>
      <c r="H191" s="9"/>
      <c r="I191" s="9"/>
      <c r="J191" s="64"/>
      <c r="K191" s="9"/>
      <c r="L191" s="9"/>
      <c r="M191" s="10"/>
      <c r="N191" s="11"/>
      <c r="O191" s="8"/>
    </row>
    <row r="192" spans="1:15" s="4" customFormat="1" ht="60.75">
      <c r="A192" s="37">
        <v>150101</v>
      </c>
      <c r="B192" s="38" t="s">
        <v>1</v>
      </c>
      <c r="C192" s="38" t="s">
        <v>103</v>
      </c>
      <c r="D192" s="39">
        <v>325000</v>
      </c>
      <c r="E192" s="40">
        <f t="shared" si="5"/>
        <v>0</v>
      </c>
      <c r="F192" s="39">
        <f>SUM(D192)</f>
        <v>325000</v>
      </c>
      <c r="G192" s="39">
        <v>325000</v>
      </c>
      <c r="H192" s="9"/>
      <c r="I192" s="9"/>
      <c r="J192" s="64"/>
      <c r="K192" s="9"/>
      <c r="L192" s="9"/>
      <c r="M192" s="10"/>
      <c r="N192" s="11"/>
      <c r="O192" s="8"/>
    </row>
    <row r="193" spans="1:15" s="4" customFormat="1" ht="60.75">
      <c r="A193" s="37">
        <v>150101</v>
      </c>
      <c r="B193" s="38" t="s">
        <v>1</v>
      </c>
      <c r="C193" s="38" t="s">
        <v>204</v>
      </c>
      <c r="D193" s="39">
        <v>286653</v>
      </c>
      <c r="E193" s="40">
        <v>95.3</v>
      </c>
      <c r="F193" s="39">
        <v>13517</v>
      </c>
      <c r="G193" s="39">
        <v>13517</v>
      </c>
      <c r="H193" s="9"/>
      <c r="I193" s="9"/>
      <c r="J193" s="64"/>
      <c r="K193" s="9"/>
      <c r="L193" s="9"/>
      <c r="M193" s="10"/>
      <c r="N193" s="11"/>
      <c r="O193" s="8"/>
    </row>
    <row r="194" spans="1:15" s="4" customFormat="1" ht="30.75">
      <c r="A194" s="37">
        <v>150101</v>
      </c>
      <c r="B194" s="38" t="s">
        <v>1</v>
      </c>
      <c r="C194" s="38" t="s">
        <v>203</v>
      </c>
      <c r="D194" s="39">
        <v>137164</v>
      </c>
      <c r="E194" s="40">
        <v>0</v>
      </c>
      <c r="F194" s="39">
        <v>137164</v>
      </c>
      <c r="G194" s="39">
        <v>137164</v>
      </c>
      <c r="H194" s="9"/>
      <c r="I194" s="9"/>
      <c r="J194" s="64"/>
      <c r="K194" s="9"/>
      <c r="L194" s="9"/>
      <c r="M194" s="10"/>
      <c r="N194" s="11"/>
      <c r="O194" s="8"/>
    </row>
    <row r="195" spans="1:15" s="4" customFormat="1" ht="90.75">
      <c r="A195" s="37">
        <v>150121</v>
      </c>
      <c r="B195" s="38" t="s">
        <v>19</v>
      </c>
      <c r="C195" s="38" t="s">
        <v>30</v>
      </c>
      <c r="D195" s="39">
        <v>13422629</v>
      </c>
      <c r="E195" s="40">
        <f>100-(F195/D195)*100</f>
        <v>16.66909410965617</v>
      </c>
      <c r="F195" s="39">
        <f>D195-(56356.56+1000000+570604+271527.7+338942.4)</f>
        <v>11185198.34</v>
      </c>
      <c r="G195" s="39">
        <f>1677780+1205980</f>
        <v>2883760</v>
      </c>
      <c r="H195" s="12"/>
      <c r="I195" s="12"/>
      <c r="J195" s="64"/>
      <c r="K195" s="12"/>
      <c r="L195" s="12"/>
      <c r="M195" s="10"/>
      <c r="N195" s="11"/>
      <c r="O195" s="8"/>
    </row>
    <row r="196" spans="1:16" s="4" customFormat="1" ht="90.75" hidden="1">
      <c r="A196" s="37" t="s">
        <v>18</v>
      </c>
      <c r="B196" s="38" t="s">
        <v>19</v>
      </c>
      <c r="C196" s="38" t="s">
        <v>61</v>
      </c>
      <c r="D196" s="39"/>
      <c r="E196" s="40"/>
      <c r="F196" s="39"/>
      <c r="G196" s="39">
        <f>1205980-1205980</f>
        <v>0</v>
      </c>
      <c r="H196" s="9"/>
      <c r="I196" s="10"/>
      <c r="J196" s="64"/>
      <c r="K196" s="12"/>
      <c r="L196" s="12"/>
      <c r="M196" s="12"/>
      <c r="N196" s="10"/>
      <c r="O196" s="11"/>
      <c r="P196" s="8"/>
    </row>
    <row r="197" spans="1:16" s="4" customFormat="1" ht="47.25">
      <c r="A197" s="33" t="s">
        <v>152</v>
      </c>
      <c r="B197" s="34" t="s">
        <v>151</v>
      </c>
      <c r="C197" s="34"/>
      <c r="D197" s="35"/>
      <c r="E197" s="36"/>
      <c r="F197" s="35"/>
      <c r="G197" s="35">
        <f>G198</f>
        <v>2766704</v>
      </c>
      <c r="H197" s="9"/>
      <c r="I197" s="10"/>
      <c r="J197" s="64"/>
      <c r="K197" s="12"/>
      <c r="L197" s="12"/>
      <c r="M197" s="12"/>
      <c r="N197" s="10"/>
      <c r="O197" s="11"/>
      <c r="P197" s="8"/>
    </row>
    <row r="198" spans="1:16" s="4" customFormat="1" ht="90.75">
      <c r="A198" s="37">
        <v>250344</v>
      </c>
      <c r="B198" s="38" t="s">
        <v>164</v>
      </c>
      <c r="C198" s="38" t="s">
        <v>128</v>
      </c>
      <c r="D198" s="39"/>
      <c r="E198" s="40"/>
      <c r="F198" s="39"/>
      <c r="G198" s="39">
        <f>'[1]Місто'!$K$368</f>
        <v>2766704</v>
      </c>
      <c r="H198" s="9"/>
      <c r="I198" s="10"/>
      <c r="J198" s="64"/>
      <c r="K198" s="12"/>
      <c r="L198" s="12"/>
      <c r="M198" s="12"/>
      <c r="N198" s="10"/>
      <c r="O198" s="11"/>
      <c r="P198" s="8"/>
    </row>
    <row r="199" spans="1:10" s="4" customFormat="1" ht="47.25">
      <c r="A199" s="41">
        <v>90</v>
      </c>
      <c r="B199" s="34" t="s">
        <v>183</v>
      </c>
      <c r="C199" s="34"/>
      <c r="D199" s="35"/>
      <c r="E199" s="36"/>
      <c r="F199" s="35"/>
      <c r="G199" s="35">
        <f>SUM(G200:G202)</f>
        <v>153515</v>
      </c>
      <c r="H199" s="61">
        <f>G202</f>
        <v>95000</v>
      </c>
      <c r="I199" s="10">
        <f>'[1]Місто'!$K$374</f>
        <v>95000</v>
      </c>
      <c r="J199" s="64">
        <f>I199-H199</f>
        <v>0</v>
      </c>
    </row>
    <row r="200" spans="1:10" s="4" customFormat="1" ht="30.75">
      <c r="A200" s="50" t="s">
        <v>127</v>
      </c>
      <c r="B200" s="38" t="s">
        <v>154</v>
      </c>
      <c r="C200" s="38" t="s">
        <v>128</v>
      </c>
      <c r="D200" s="39"/>
      <c r="E200" s="40"/>
      <c r="F200" s="39"/>
      <c r="G200" s="39">
        <f>'[1]Місто'!$K$371</f>
        <v>28515</v>
      </c>
      <c r="H200" s="61"/>
      <c r="I200" s="10"/>
      <c r="J200" s="64"/>
    </row>
    <row r="201" spans="1:10" s="4" customFormat="1" ht="18.75">
      <c r="A201" s="50" t="s">
        <v>149</v>
      </c>
      <c r="B201" s="51" t="s">
        <v>162</v>
      </c>
      <c r="C201" s="51" t="s">
        <v>128</v>
      </c>
      <c r="D201" s="39"/>
      <c r="E201" s="40"/>
      <c r="F201" s="39"/>
      <c r="G201" s="39">
        <f>'[1]Місто'!$K$373</f>
        <v>30000</v>
      </c>
      <c r="H201" s="12"/>
      <c r="I201" s="10"/>
      <c r="J201" s="64"/>
    </row>
    <row r="202" spans="1:10" s="4" customFormat="1" ht="45.75">
      <c r="A202" s="50" t="s">
        <v>191</v>
      </c>
      <c r="B202" s="51" t="s">
        <v>1</v>
      </c>
      <c r="C202" s="51" t="s">
        <v>205</v>
      </c>
      <c r="D202" s="39">
        <v>95000</v>
      </c>
      <c r="E202" s="40">
        <v>0</v>
      </c>
      <c r="F202" s="39">
        <v>95000</v>
      </c>
      <c r="G202" s="39">
        <v>95000</v>
      </c>
      <c r="H202" s="12"/>
      <c r="I202" s="10"/>
      <c r="J202" s="64"/>
    </row>
    <row r="203" spans="1:10" s="4" customFormat="1" ht="47.25" hidden="1">
      <c r="A203" s="41">
        <v>91</v>
      </c>
      <c r="B203" s="34" t="s">
        <v>215</v>
      </c>
      <c r="C203" s="66"/>
      <c r="D203" s="35"/>
      <c r="E203" s="36"/>
      <c r="F203" s="35"/>
      <c r="G203" s="35">
        <f>G204</f>
        <v>0</v>
      </c>
      <c r="H203" s="12"/>
      <c r="I203" s="10"/>
      <c r="J203" s="64"/>
    </row>
    <row r="204" spans="1:10" s="4" customFormat="1" ht="30.75" hidden="1">
      <c r="A204" s="37">
        <v>10116</v>
      </c>
      <c r="B204" s="38" t="s">
        <v>154</v>
      </c>
      <c r="C204" s="38" t="s">
        <v>128</v>
      </c>
      <c r="D204" s="39"/>
      <c r="E204" s="40"/>
      <c r="F204" s="39"/>
      <c r="G204" s="39">
        <f>'[1]Місто'!$K$384</f>
        <v>0</v>
      </c>
      <c r="H204" s="12"/>
      <c r="I204" s="10"/>
      <c r="J204" s="64"/>
    </row>
    <row r="205" spans="1:10" s="19" customFormat="1" ht="63">
      <c r="A205" s="41">
        <v>92</v>
      </c>
      <c r="B205" s="34" t="s">
        <v>100</v>
      </c>
      <c r="C205" s="34"/>
      <c r="D205" s="35">
        <f>SUM(D208:D209)</f>
        <v>6712467</v>
      </c>
      <c r="E205" s="36"/>
      <c r="F205" s="35">
        <f>SUM(F208:F209)</f>
        <v>6712467</v>
      </c>
      <c r="G205" s="35">
        <f>SUM(G206:G209)</f>
        <v>6787230</v>
      </c>
      <c r="H205" s="60">
        <f>G208+G209</f>
        <v>6712467</v>
      </c>
      <c r="I205" s="63">
        <f>'[1]Місто'!$K$398</f>
        <v>6712467</v>
      </c>
      <c r="J205" s="64">
        <f>I205-H205</f>
        <v>0</v>
      </c>
    </row>
    <row r="206" spans="1:10" s="19" customFormat="1" ht="30.75">
      <c r="A206" s="50" t="s">
        <v>127</v>
      </c>
      <c r="B206" s="38" t="s">
        <v>154</v>
      </c>
      <c r="C206" s="38" t="s">
        <v>128</v>
      </c>
      <c r="D206" s="39"/>
      <c r="E206" s="40"/>
      <c r="F206" s="39"/>
      <c r="G206" s="39">
        <f>'[1]Місто'!$K$395</f>
        <v>35763</v>
      </c>
      <c r="H206" s="60"/>
      <c r="I206" s="63"/>
      <c r="J206" s="64"/>
    </row>
    <row r="207" spans="1:10" s="19" customFormat="1" ht="18.75">
      <c r="A207" s="50" t="s">
        <v>149</v>
      </c>
      <c r="B207" s="51" t="s">
        <v>162</v>
      </c>
      <c r="C207" s="51" t="s">
        <v>128</v>
      </c>
      <c r="D207" s="51"/>
      <c r="E207" s="51"/>
      <c r="F207" s="51"/>
      <c r="G207" s="39">
        <f>'[1]Місто'!$K$397</f>
        <v>39000</v>
      </c>
      <c r="H207" s="24"/>
      <c r="I207" s="7"/>
      <c r="J207" s="64"/>
    </row>
    <row r="208" spans="1:10" s="4" customFormat="1" ht="45.75">
      <c r="A208" s="37">
        <v>150101</v>
      </c>
      <c r="B208" s="38" t="s">
        <v>1</v>
      </c>
      <c r="C208" s="38" t="s">
        <v>121</v>
      </c>
      <c r="D208" s="39">
        <v>336698</v>
      </c>
      <c r="E208" s="40">
        <f>100-(F208/D208)*100</f>
        <v>0</v>
      </c>
      <c r="F208" s="39">
        <f>D208-0</f>
        <v>336698</v>
      </c>
      <c r="G208" s="39">
        <v>336698</v>
      </c>
      <c r="H208" s="12"/>
      <c r="I208" s="11"/>
      <c r="J208" s="64"/>
    </row>
    <row r="209" spans="1:10" s="4" customFormat="1" ht="30.75">
      <c r="A209" s="37">
        <v>150101</v>
      </c>
      <c r="B209" s="38" t="s">
        <v>1</v>
      </c>
      <c r="C209" s="38" t="s">
        <v>181</v>
      </c>
      <c r="D209" s="39">
        <v>6375769</v>
      </c>
      <c r="E209" s="40">
        <f>100-(F209/D209)*100</f>
        <v>0</v>
      </c>
      <c r="F209" s="39">
        <f>D209-0</f>
        <v>6375769</v>
      </c>
      <c r="G209" s="39">
        <v>6375769</v>
      </c>
      <c r="H209" s="12"/>
      <c r="I209" s="10"/>
      <c r="J209" s="64"/>
    </row>
    <row r="210" spans="1:10" s="19" customFormat="1" ht="47.25">
      <c r="A210" s="41">
        <v>93</v>
      </c>
      <c r="B210" s="34" t="s">
        <v>99</v>
      </c>
      <c r="C210" s="34"/>
      <c r="D210" s="35">
        <f>SUM(D213:D215)</f>
        <v>9445122</v>
      </c>
      <c r="E210" s="36"/>
      <c r="F210" s="35">
        <f>SUM(F213:F215)</f>
        <v>9445122</v>
      </c>
      <c r="G210" s="35">
        <f>SUM(G211:G215)</f>
        <v>8446758</v>
      </c>
      <c r="H210" s="60">
        <f>G213+G215+G214</f>
        <v>8424758</v>
      </c>
      <c r="I210" s="63">
        <f>'[1]Місто'!$K$411</f>
        <v>8424758</v>
      </c>
      <c r="J210" s="64">
        <f>I210-H210</f>
        <v>0</v>
      </c>
    </row>
    <row r="211" spans="1:10" s="19" customFormat="1" ht="30.75">
      <c r="A211" s="50" t="s">
        <v>127</v>
      </c>
      <c r="B211" s="38" t="s">
        <v>154</v>
      </c>
      <c r="C211" s="38" t="s">
        <v>128</v>
      </c>
      <c r="D211" s="39"/>
      <c r="E211" s="40"/>
      <c r="F211" s="39"/>
      <c r="G211" s="39">
        <f>'[1]Місто'!$K$408</f>
        <v>9000</v>
      </c>
      <c r="H211" s="60"/>
      <c r="I211" s="63"/>
      <c r="J211" s="64"/>
    </row>
    <row r="212" spans="1:10" s="19" customFormat="1" ht="18.75">
      <c r="A212" s="50" t="s">
        <v>149</v>
      </c>
      <c r="B212" s="51" t="s">
        <v>162</v>
      </c>
      <c r="C212" s="51" t="s">
        <v>128</v>
      </c>
      <c r="D212" s="51"/>
      <c r="E212" s="51"/>
      <c r="F212" s="51"/>
      <c r="G212" s="39">
        <f>'[1]Місто'!$K$410</f>
        <v>13000</v>
      </c>
      <c r="H212" s="24"/>
      <c r="I212" s="7"/>
      <c r="J212" s="64"/>
    </row>
    <row r="213" spans="1:10" s="4" customFormat="1" ht="37.5" customHeight="1">
      <c r="A213" s="37">
        <v>150101</v>
      </c>
      <c r="B213" s="38" t="s">
        <v>1</v>
      </c>
      <c r="C213" s="38" t="s">
        <v>118</v>
      </c>
      <c r="D213" s="39">
        <v>8369652</v>
      </c>
      <c r="E213" s="40">
        <f>100-(F213/D213)*100</f>
        <v>0</v>
      </c>
      <c r="F213" s="39">
        <f>D213-0</f>
        <v>8369652</v>
      </c>
      <c r="G213" s="39">
        <f>7428098-78810</f>
        <v>7349288</v>
      </c>
      <c r="H213" s="12"/>
      <c r="I213" s="10"/>
      <c r="J213" s="64"/>
    </row>
    <row r="214" spans="1:10" s="4" customFormat="1" ht="37.5" customHeight="1">
      <c r="A214" s="37">
        <v>150101</v>
      </c>
      <c r="B214" s="38" t="s">
        <v>1</v>
      </c>
      <c r="C214" s="38" t="s">
        <v>226</v>
      </c>
      <c r="D214" s="39">
        <v>78810</v>
      </c>
      <c r="E214" s="40"/>
      <c r="F214" s="39">
        <v>78810</v>
      </c>
      <c r="G214" s="39">
        <v>78810</v>
      </c>
      <c r="H214" s="12"/>
      <c r="I214" s="10"/>
      <c r="J214" s="64"/>
    </row>
    <row r="215" spans="1:10" s="4" customFormat="1" ht="45.75">
      <c r="A215" s="37">
        <v>150101</v>
      </c>
      <c r="B215" s="38" t="s">
        <v>1</v>
      </c>
      <c r="C215" s="38" t="s">
        <v>182</v>
      </c>
      <c r="D215" s="39">
        <v>996660</v>
      </c>
      <c r="E215" s="40">
        <f>100-(F215/D215)*100</f>
        <v>0</v>
      </c>
      <c r="F215" s="39">
        <v>996660</v>
      </c>
      <c r="G215" s="39">
        <v>996660</v>
      </c>
      <c r="H215" s="12"/>
      <c r="I215" s="10"/>
      <c r="J215" s="64"/>
    </row>
    <row r="216" spans="1:10" s="4" customFormat="1" ht="47.25">
      <c r="A216" s="41">
        <v>94</v>
      </c>
      <c r="B216" s="34" t="s">
        <v>214</v>
      </c>
      <c r="C216" s="34"/>
      <c r="D216" s="35"/>
      <c r="E216" s="36"/>
      <c r="F216" s="35"/>
      <c r="G216" s="35">
        <f>G217</f>
        <v>28515</v>
      </c>
      <c r="H216" s="12"/>
      <c r="I216" s="10"/>
      <c r="J216" s="64"/>
    </row>
    <row r="217" spans="1:10" s="4" customFormat="1" ht="30.75">
      <c r="A217" s="50" t="s">
        <v>127</v>
      </c>
      <c r="B217" s="38" t="s">
        <v>154</v>
      </c>
      <c r="C217" s="38" t="s">
        <v>128</v>
      </c>
      <c r="D217" s="39"/>
      <c r="E217" s="40"/>
      <c r="F217" s="39"/>
      <c r="G217" s="39">
        <f>'[1]Місто'!$K$421</f>
        <v>28515</v>
      </c>
      <c r="H217" s="12"/>
      <c r="I217" s="10"/>
      <c r="J217" s="64"/>
    </row>
    <row r="218" spans="1:10" s="4" customFormat="1" ht="47.25">
      <c r="A218" s="41">
        <v>95</v>
      </c>
      <c r="B218" s="34" t="s">
        <v>150</v>
      </c>
      <c r="C218" s="34"/>
      <c r="D218" s="35">
        <f>D219+D220+D221</f>
        <v>92000</v>
      </c>
      <c r="E218" s="35">
        <f>E219+E220+E221</f>
        <v>0</v>
      </c>
      <c r="F218" s="35">
        <f>F219+F220+F221</f>
        <v>92000</v>
      </c>
      <c r="G218" s="35">
        <f>G219+G220+G221</f>
        <v>120000</v>
      </c>
      <c r="H218" s="12"/>
      <c r="I218" s="10"/>
      <c r="J218" s="64"/>
    </row>
    <row r="219" spans="1:10" s="4" customFormat="1" ht="30.75">
      <c r="A219" s="50" t="s">
        <v>127</v>
      </c>
      <c r="B219" s="38" t="s">
        <v>154</v>
      </c>
      <c r="C219" s="38" t="s">
        <v>128</v>
      </c>
      <c r="D219" s="39"/>
      <c r="E219" s="40"/>
      <c r="F219" s="39"/>
      <c r="G219" s="39">
        <f>'[1]Місто'!$K$433</f>
        <v>5000</v>
      </c>
      <c r="H219" s="12"/>
      <c r="I219" s="10"/>
      <c r="J219" s="64"/>
    </row>
    <row r="220" spans="1:10" s="4" customFormat="1" ht="18.75">
      <c r="A220" s="50" t="s">
        <v>149</v>
      </c>
      <c r="B220" s="51" t="s">
        <v>162</v>
      </c>
      <c r="C220" s="51" t="s">
        <v>128</v>
      </c>
      <c r="D220" s="51"/>
      <c r="E220" s="51"/>
      <c r="F220" s="51"/>
      <c r="G220" s="39">
        <f>'[1]Місто'!$K$435</f>
        <v>23000</v>
      </c>
      <c r="H220" s="12"/>
      <c r="I220" s="10"/>
      <c r="J220" s="64"/>
    </row>
    <row r="221" spans="1:10" s="4" customFormat="1" ht="45.75">
      <c r="A221" s="50" t="s">
        <v>191</v>
      </c>
      <c r="B221" s="51" t="s">
        <v>1</v>
      </c>
      <c r="C221" s="51" t="s">
        <v>241</v>
      </c>
      <c r="D221" s="71">
        <v>92000</v>
      </c>
      <c r="E221" s="67"/>
      <c r="F221" s="67" t="s">
        <v>230</v>
      </c>
      <c r="G221" s="39">
        <v>92000</v>
      </c>
      <c r="H221" s="12"/>
      <c r="I221" s="10"/>
      <c r="J221" s="64"/>
    </row>
    <row r="222" spans="1:10" s="4" customFormat="1" ht="47.25">
      <c r="A222" s="41">
        <v>96</v>
      </c>
      <c r="B222" s="34" t="s">
        <v>189</v>
      </c>
      <c r="C222" s="34"/>
      <c r="D222" s="35">
        <f>SUM(D227:D228)</f>
        <v>0</v>
      </c>
      <c r="E222" s="36"/>
      <c r="F222" s="35">
        <f>SUM(F227:F228)</f>
        <v>0</v>
      </c>
      <c r="G222" s="35">
        <f>SUM(G223:G224)</f>
        <v>68515</v>
      </c>
      <c r="H222" s="12"/>
      <c r="I222" s="10"/>
      <c r="J222" s="64"/>
    </row>
    <row r="223" spans="1:10" s="4" customFormat="1" ht="28.5" customHeight="1">
      <c r="A223" s="50" t="s">
        <v>127</v>
      </c>
      <c r="B223" s="38" t="s">
        <v>154</v>
      </c>
      <c r="C223" s="38" t="s">
        <v>128</v>
      </c>
      <c r="D223" s="39"/>
      <c r="E223" s="40"/>
      <c r="F223" s="39"/>
      <c r="G223" s="39">
        <f>'[1]Місто'!$K$447</f>
        <v>28515</v>
      </c>
      <c r="H223" s="12"/>
      <c r="I223" s="10"/>
      <c r="J223" s="64"/>
    </row>
    <row r="224" spans="1:10" s="4" customFormat="1" ht="15.75" customHeight="1">
      <c r="A224" s="50" t="s">
        <v>148</v>
      </c>
      <c r="B224" s="51" t="s">
        <v>161</v>
      </c>
      <c r="C224" s="51" t="s">
        <v>128</v>
      </c>
      <c r="D224" s="51"/>
      <c r="E224" s="51"/>
      <c r="F224" s="51"/>
      <c r="G224" s="39">
        <f>'[1]Місто'!$K$456</f>
        <v>40000</v>
      </c>
      <c r="H224" s="12"/>
      <c r="I224" s="10"/>
      <c r="J224" s="64"/>
    </row>
    <row r="225" spans="1:10" s="19" customFormat="1" ht="18.75">
      <c r="A225" s="41"/>
      <c r="B225" s="34" t="s">
        <v>126</v>
      </c>
      <c r="C225" s="34"/>
      <c r="D225" s="35">
        <f>D182+D120+D89+D16+D44+D68+D80+D12+D210+D205+D179+D218+D222</f>
        <v>422583788</v>
      </c>
      <c r="E225" s="35">
        <f>E182+E120+E89+E16+E44+E68+E80+E12+E210+E205+E179+E218+E222</f>
        <v>0</v>
      </c>
      <c r="F225" s="35">
        <f>F182+F120+F89+F16+F44+F68+F80+F12+F210+F205+F179+F218+F222</f>
        <v>341750099.77</v>
      </c>
      <c r="G225" s="35">
        <f>G182+G120+G89+G16+G44+G68+G80+G12+G210+G205+G179+G218+G222+G76+G78+G87+G197+G199+G203+G216</f>
        <v>190306160</v>
      </c>
      <c r="H225" s="52">
        <f>'[1]Місто'!$K$457</f>
        <v>190306160</v>
      </c>
      <c r="I225" s="53">
        <f>H225-G225</f>
        <v>0</v>
      </c>
      <c r="J225" s="64"/>
    </row>
    <row r="226" spans="1:10" s="4" customFormat="1" ht="12" customHeight="1">
      <c r="A226" s="42"/>
      <c r="B226" s="43"/>
      <c r="C226" s="43"/>
      <c r="D226" s="44"/>
      <c r="E226" s="45"/>
      <c r="F226" s="44"/>
      <c r="G226" s="44"/>
      <c r="I226" s="21"/>
      <c r="J226" s="64"/>
    </row>
    <row r="227" spans="2:10" s="26" customFormat="1" ht="22.5" customHeight="1">
      <c r="B227" s="76" t="s">
        <v>227</v>
      </c>
      <c r="C227" s="76"/>
      <c r="D227" s="68"/>
      <c r="E227" s="69"/>
      <c r="F227" s="70" t="s">
        <v>228</v>
      </c>
      <c r="H227" s="25"/>
      <c r="I227" s="25"/>
      <c r="J227" s="64"/>
    </row>
    <row r="228" spans="1:10" ht="15.75">
      <c r="A228" s="46"/>
      <c r="B228" s="47"/>
      <c r="C228" s="47"/>
      <c r="D228" s="48"/>
      <c r="E228" s="49"/>
      <c r="F228" s="48"/>
      <c r="G228" s="48"/>
      <c r="J228" s="64"/>
    </row>
    <row r="229" spans="8:10" ht="15">
      <c r="H229" s="62">
        <f>H12+H16+H44+H68+H80+H89+H120+H182+H205+H210+H199</f>
        <v>112212484</v>
      </c>
      <c r="I229" s="64">
        <f>I12+I16+I44+I68+I80+I89+I120+I182+I205+I199+I210</f>
        <v>112212484</v>
      </c>
      <c r="J229" s="64">
        <f>I229-H229</f>
        <v>0</v>
      </c>
    </row>
    <row r="231" ht="15">
      <c r="G231" s="30"/>
    </row>
  </sheetData>
  <sheetProtection/>
  <mergeCells count="7">
    <mergeCell ref="B227:C227"/>
    <mergeCell ref="A6:G6"/>
    <mergeCell ref="C9:C10"/>
    <mergeCell ref="D9:D10"/>
    <mergeCell ref="E9:E10"/>
    <mergeCell ref="F9:F10"/>
    <mergeCell ref="G9:G10"/>
  </mergeCells>
  <printOptions/>
  <pageMargins left="0.7086614173228347" right="0.6" top="0.7480314960629921" bottom="0.48" header="0.31496062992125984" footer="0.44"/>
  <pageSetup fitToHeight="35" fitToWidth="1" horizontalDpi="600" verticalDpi="600" orientation="landscape" paperSize="9" scale="79"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2012-06-26T10:59:04Z</cp:lastPrinted>
  <dcterms:created xsi:type="dcterms:W3CDTF">2006-09-28T05:33:49Z</dcterms:created>
  <dcterms:modified xsi:type="dcterms:W3CDTF">2012-07-10T07:45:47Z</dcterms:modified>
  <cp:category/>
  <cp:version/>
  <cp:contentType/>
  <cp:contentStatus/>
</cp:coreProperties>
</file>