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612" activeTab="0"/>
  </bookViews>
  <sheets>
    <sheet name="Таблиця 4.1" sheetId="1" r:id="rId1"/>
    <sheet name="Таблиця 4.2" sheetId="2" r:id="rId2"/>
  </sheets>
  <definedNames>
    <definedName name="_xlnm.Print_Titles" localSheetId="0">'Таблиця 4.1'!$14:$14</definedName>
    <definedName name="_xlnm.Print_Titles" localSheetId="1">'Таблиця 4.2'!$6:$6</definedName>
    <definedName name="_xlnm.Print_Area" localSheetId="0">'Таблиця 4.1'!$A$1:$H$191</definedName>
    <definedName name="_xlnm.Print_Area" localSheetId="1">'Таблиця 4.2'!$A$1:$D$79</definedName>
  </definedNames>
  <calcPr fullCalcOnLoad="1"/>
</workbook>
</file>

<file path=xl/sharedStrings.xml><?xml version="1.0" encoding="utf-8"?>
<sst xmlns="http://schemas.openxmlformats.org/spreadsheetml/2006/main" count="648" uniqueCount="282">
  <si>
    <t>Загальний обсяг фінансування будівництва (інших капітальних вкладень, кошторисна вартість</t>
  </si>
  <si>
    <t>Капітальні вкладення</t>
  </si>
  <si>
    <t>Департамент економічного розвитку Запорізької міської ради</t>
  </si>
  <si>
    <t>Код типової відомчої класифікації видатків місцевих бюджетів</t>
  </si>
  <si>
    <t>Код тимчасової класифікації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</si>
  <si>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</si>
  <si>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</si>
  <si>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Назва об'єктів відповідно до проектно-кошторисної документації, тощо</t>
  </si>
  <si>
    <t>(тис.грн.)</t>
  </si>
  <si>
    <t>Видатки на 2012 рік</t>
  </si>
  <si>
    <t>Додаток 4</t>
  </si>
  <si>
    <t>Всього видатків на завершення будівництва об'єктів на майбутні роки</t>
  </si>
  <si>
    <t>Всього</t>
  </si>
  <si>
    <t>Таблиця 4.1</t>
  </si>
  <si>
    <t>Департамент освіти і науки, молоді та спорту Запорізької міської ради</t>
  </si>
  <si>
    <t>070201</t>
  </si>
  <si>
    <t xml:space="preserve">Загальноосвітні школи (в т.ч. школа-дитячий садок, інтернат при школі), спеціалізовані школи, ліцеї, гімназії, колегіуми </t>
  </si>
  <si>
    <t>010116</t>
  </si>
  <si>
    <t>Органи місцевого самоврядування</t>
  </si>
  <si>
    <t>080101</t>
  </si>
  <si>
    <t>Служба (управління) у справах дітей Запорізької міської ради</t>
  </si>
  <si>
    <t>Управління культури і мистецтв Запорізької міської ради</t>
  </si>
  <si>
    <t>Департамент житлового господарства та розподілу житлової площі Запорізької міської ради</t>
  </si>
  <si>
    <t>100102</t>
  </si>
  <si>
    <t>100203</t>
  </si>
  <si>
    <t>Перелік капітальних видатків, які у 2012 році будуть проводитися за рахунок коштів бюджету розвитку  міста</t>
  </si>
  <si>
    <t>Таблиця 4.2</t>
  </si>
  <si>
    <t>Реконструкція хлораторної ДВС-2,  м. Запоріжжя (проектні та будівельні роботи)</t>
  </si>
  <si>
    <t>Розширення і реконструкція центральних каналізаційних очисних споруд Лівого берега (ЦОС-1). Технологічні трубопроводи. (Колектор К-28)</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</si>
  <si>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</si>
  <si>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Будівництво житлового будинку № 10 в мікрорайоні 5 житлового масиву "Південний", м. Запоріжжя (пілотний проект) </t>
  </si>
  <si>
    <t>Будівництво позаквартальних інженерних мереж та споруд по вул. Алмазній  (проектні роботи)</t>
  </si>
  <si>
    <t>Управління комунального господарства та  дорожнього будівництва  Запорізької міської ради</t>
  </si>
  <si>
    <t xml:space="preserve">                                                                                                                                                                                                                                                                                                                                                                                                                                                                                                                                                                                                                                                                                                                                                                                                                                                                                                                                                                                                                                                                                </t>
  </si>
  <si>
    <t>Програма "Світло 2012-2013" реконструкція мереж зовнішнього освітлення міста</t>
  </si>
  <si>
    <t xml:space="preserve">Будівництво І черги та введення в експлуатацію Кушугумського кладовища </t>
  </si>
  <si>
    <t>Реконструкція автошляхопроводу  по вул. Карпенка-Карого (проектні роботи, експертиза)</t>
  </si>
  <si>
    <t>Ліквідація аварійного стану на дорожній насипі проїзної частини дороги по вул. Перемоги (в р-ні міської лікарні №6) (проектні роботи, будівництво)</t>
  </si>
  <si>
    <t>Котельня по вул. Панфьорова, 146а - технічне переоснащення</t>
  </si>
  <si>
    <t>Внески органів місцевого самоврядування у статутні фонди суб'єктів підприємницької діяльності</t>
  </si>
  <si>
    <t>Внески у статутні фонди комунальних підприємств міста (придбання спеціальної техніки)</t>
  </si>
  <si>
    <t>Житловий будинок № 2 по вул. Сєдова - реконструкція</t>
  </si>
  <si>
    <t>Житловий будинок по пр. Леніна, 133  м. Запоріжжя - ліквідація  аварійного стану надбудови над аркою</t>
  </si>
  <si>
    <t>Житлові будинки  по вул. Нижньодніпровській, 14, 16, 18, по бул. Гвардійському, 145а, 147а, 151, 153  - реконструкція системи холодного та гарячого водопостачання</t>
  </si>
  <si>
    <t xml:space="preserve">Житловий будинок по вул. Євпаторійській, 1 - реконструкція  </t>
  </si>
  <si>
    <t xml:space="preserve">Житловий будинок  по вул.Республіканській, 88 - реконструкція  </t>
  </si>
  <si>
    <t xml:space="preserve">Житловий будинок по бул. Будівельників, 19 - реконструкція  </t>
  </si>
  <si>
    <t>Житловий будинок  по вул. Республіканській, 185 - реконструкція  системи теплопостачання</t>
  </si>
  <si>
    <t xml:space="preserve">Реконструкція гуртожитку по вул. Цегельній, 13 м. Запоріжжя під житловий будинок </t>
  </si>
  <si>
    <t xml:space="preserve">Реконструкція, переобладнання та перепланування гуртожитку під житловий будинок  по вул. Нахімова, 6  </t>
  </si>
  <si>
    <t>Житловий будинок № 149 по вул. Гоголя ІІ корпус - реконструкція нежитлового приміщення в житлове</t>
  </si>
  <si>
    <t>Гуртожиток по вул. Шаумяна, 3 - реконструкція</t>
  </si>
  <si>
    <t>Гуртожиток по вул. Жуковського, 68 - реконструкція</t>
  </si>
  <si>
    <t xml:space="preserve">Реконструкція, переобладнання та перепланування гуртожитку по вул. Північнокільцевій, 22а під житловий будинок </t>
  </si>
  <si>
    <t xml:space="preserve">Житловий будинок по бул. Вінтера, 40 - реконструкція  </t>
  </si>
  <si>
    <t>Житловий будинок по вул. Ленській, 1б – реконструкція системи теплопостачання</t>
  </si>
  <si>
    <t>Реконструкція приміщень навчально-виховного оздоровчого комплексу  № 110  по вул.Стешенка,19 Комунарського району під позашкільний підрозділ</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</si>
  <si>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</si>
  <si>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Реконструкція будівлі дошкільного навчального закладу №285 по пр. 40-річчя Перемоги,15а,  Комунарського району (проектні та будівельні роботи)</t>
  </si>
  <si>
    <t>Управління з питань охорони здоров"я  Запорізької  міської ради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</si>
  <si>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</si>
  <si>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 xml:space="preserve">Комунальна установа «Запорізька міська багатопрофільна дитяча лікарня №5»  (відділення недоношених новонароджених)  - реконструкція </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</si>
  <si>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</si>
  <si>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Комунальна установа «6-та міська клінічна лікарня» - реконструкція котельної із заміною котлів (проектні та будівельні роботи)</t>
  </si>
  <si>
    <t>Управління соціального захисту населення Запорізької міської ради</t>
  </si>
  <si>
    <t>Реконструкція будівлі міського геріатричного стаціонару по вул. Кузнєцова, 28а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</si>
  <si>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 експертиза)</t>
  </si>
  <si>
    <t>Замовник / розпорядник бюджетних коштів нижчого рівня / одержувач бюджетних коштів</t>
  </si>
  <si>
    <t>03</t>
  </si>
  <si>
    <t>Реконструкція тротуарів з влаштуванням велодоріжок від парку «Дубовий гай» до Ландшафтного парку вздовж Прибережної магістралі  в м. Запоріжжя (проектні роботи)</t>
  </si>
  <si>
    <t>Реконструкція шляхопроводу через р. Мокра Московка на автошляху Харків-Сімферополь (проектні роботи)</t>
  </si>
  <si>
    <t>Реконструкція скидного зливового колектору в районі насосної станції № 29 в Хортицькому районі (проектні роботи, експертиза)</t>
  </si>
  <si>
    <t>Комунальна установа «Запорізька міська багатопрофільна дитяча лікарня №5» - реконструкція - погашення заборгованості за минулі роки</t>
  </si>
  <si>
    <t xml:space="preserve">Комунальна установа "Центральна лікарня Орджонікідзеського району" по бул. Шевченко, 25 м. Запоріжжя - реконструкція </t>
  </si>
  <si>
    <t>Районна адміністрація Запорізької міської ради по Жовтневому району</t>
  </si>
  <si>
    <t>Районна адміністрація Запорізької міської ради по Орджонікідзевському району</t>
  </si>
  <si>
    <t xml:space="preserve"> </t>
  </si>
  <si>
    <t>Реконструкція дороги по вул.Верхній в районі КНС-38 (проектні та будівельні роботи) - погашення заборгованості за минулі роки</t>
  </si>
  <si>
    <t>Внески у статутні фонди комунальних підприємств міста (придбання спеціальної техніки) - погашення заборгованості за минулі роки</t>
  </si>
  <si>
    <t>КП "УКБ"</t>
  </si>
  <si>
    <t>КП "Титан"</t>
  </si>
  <si>
    <t>КП "Центральний стадіон"</t>
  </si>
  <si>
    <t>Запорізький міський територіальний центр соціального обслуговування (надання соціальних послуг)</t>
  </si>
  <si>
    <t>КП "ВРЕЖО № 9"</t>
  </si>
  <si>
    <t>КП "РЕПОГ"</t>
  </si>
  <si>
    <t>Реконструкція скверу "Прикордонників" з встановленням стели в м. Запоріжжя</t>
  </si>
  <si>
    <t>капітальні видатки</t>
  </si>
  <si>
    <t>070101</t>
  </si>
  <si>
    <t>070202</t>
  </si>
  <si>
    <t>070401</t>
  </si>
  <si>
    <t>130107</t>
  </si>
  <si>
    <t>080203</t>
  </si>
  <si>
    <t>080300</t>
  </si>
  <si>
    <t>081004</t>
  </si>
  <si>
    <t>090203</t>
  </si>
  <si>
    <t>091204</t>
  </si>
  <si>
    <t>Управління з питань правового забезпечення роботи галузей міського господарства Запорізької міської ради</t>
  </si>
  <si>
    <t>110102</t>
  </si>
  <si>
    <t>110201</t>
  </si>
  <si>
    <t>110204</t>
  </si>
  <si>
    <t>110205</t>
  </si>
  <si>
    <t>110502</t>
  </si>
  <si>
    <t>250404</t>
  </si>
  <si>
    <t>Управління з питань транспортного забезпечення та зв'язку Запорізької міської ради</t>
  </si>
  <si>
    <t>76</t>
  </si>
  <si>
    <t>Департамент фінансової та бюджетної політики Запорізької міської ради</t>
  </si>
  <si>
    <t>Районна адміністрація Запорізької міської ради по Заводському району</t>
  </si>
  <si>
    <t>Інші видатки</t>
  </si>
  <si>
    <t>Дошкільні заклади освіти</t>
  </si>
  <si>
    <t>Централізовані бухгалтерії</t>
  </si>
  <si>
    <t>Лікарні</t>
  </si>
  <si>
    <t>Пологові будинки</t>
  </si>
  <si>
    <t>Поліклініки і амбулаторії (крім спеціалізованих поліклінік та загальних і спеціалізованих стоматологічних поліклінік)</t>
  </si>
  <si>
    <t>Територіальні центри соціального обслуговування (надання соціальних послуг)</t>
  </si>
  <si>
    <t>Бібліотеки</t>
  </si>
  <si>
    <t>Палаци і будинки культури, клуби та інші заклади клубного типу</t>
  </si>
  <si>
    <t>Театри</t>
  </si>
  <si>
    <t>Утримання та навчально-тренувальна робота дитячо-юнацьких спортивних шкіл</t>
  </si>
  <si>
    <t>Вечірні (змінні) школи</t>
  </si>
  <si>
    <t>Інші культурно-освітні заклади та заходи</t>
  </si>
  <si>
    <t>Телебачення і радіомовлення</t>
  </si>
  <si>
    <t>Субвенція з місцевого бюджету державному бюджету на виконання програм соціально-економічного та культурного розвитку регіонів</t>
  </si>
  <si>
    <t xml:space="preserve">Перелік першочергових об'єктів будівництва, реконструкції та ліквідації аварійного стану об'єктів, видатки на які у 2012 році будуть проводитися за рахунок коштів бюджету розвитку міста </t>
  </si>
  <si>
    <t xml:space="preserve">Відсоток завершеності будівництва об'єкта на майбутні роки </t>
  </si>
  <si>
    <t>Системи теплопостачання житлових будинків по вул. Виборзька, Гостинна, Єнісейська в м. Запоріжжя - реконструкція</t>
  </si>
  <si>
    <t>Магістральна теплова мережа по вул. Артема, м. Запоріжжя - реконструкція - погашення заборгованості за минулі роки</t>
  </si>
  <si>
    <t>Будівництво житлового будинку № 25 в кварталі  по вул.Алмазній у сел. Павло-Кічкас м. Запоріжжя (проектні та будівельні роботи)</t>
  </si>
  <si>
    <t>Будівництво  інженерних мереж до льодової арени по вул. Космічній, м. Запоріжжя - погашення заборгованості за минулі роки</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</si>
  <si>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t>
  </si>
  <si>
    <t xml:space="preserve">Завершення будівництва по вул. Калнишевського, вул. Дорошенко, вул. Рубана (зовнішнє освітлення та дороги) </t>
  </si>
  <si>
    <t>Будівництво дорожнього полотна провулку Ставропольського (проектні та будівельні роботи)</t>
  </si>
  <si>
    <t>Реконструкція дороги по вул. Нагнибіди в Комунарському районі (проектні роботи, експертиза)</t>
  </si>
  <si>
    <t xml:space="preserve">Реконструкція пр. Леніна на ділянці від вул. Кірова до залізничній станції «Запоріжжя-1» (ділянка від вул. Кірова до вул. Космічної)
</t>
  </si>
  <si>
    <t>Будівництво світлофорного об'єкту на перехресті вул. Грязнова - вул. Артема  - погашення заборгованості за минулі роки</t>
  </si>
  <si>
    <t>Реконструкція світлофорного об'єкту на перехресті пр.Юбілейний - вул. Лахтинська - погашення заборгованості за минулі роки</t>
  </si>
  <si>
    <t>Реконструкція системи водовідведення від житлового будинку по вул. Узбекистанській,1 м. Запоріжжя</t>
  </si>
  <si>
    <t xml:space="preserve">Житловий будинок по бул. Вінтера,50 - реконструкція  </t>
  </si>
  <si>
    <t xml:space="preserve">Житловий будинок по вул.Аваліані,1а - реконструкція  </t>
  </si>
  <si>
    <t>Реконструкція системи диспетчеризації ліфтового господарства в Комунарському районі м. Запоріжжя</t>
  </si>
  <si>
    <t>Реконструкція приміщень для груп дошкільного закладу загально освітньої школи І-ІІІ ступенів № 109  по вул.Дніпровські пороги,29 м. Запоріжжя</t>
  </si>
  <si>
    <t xml:space="preserve">Реконструкція будівлі дошкільного навчального закладу №294 по вул. Лассаля, 52а Заводського району, м. Запоріжжя </t>
  </si>
  <si>
    <t>Реконструкція будівлі дошкільного навчального закладу № 220 по вул. Давидова, 11 Ленінського району м. Запоріжжя (проектні роботи, експертиза)</t>
  </si>
  <si>
    <t>Реконструкція приміщень загальноосвітньої  школи І-ІІІ ступенів № 5 по вул. Тургенєва, 33 Жовтневого району (проектні та будівельні роботи)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</si>
  <si>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</si>
  <si>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Будівля поліклініки комунальної установи «Запорізька міська багатопрофільна клінічна лікарня №9», м. Запоріжжя - реконструкція</t>
  </si>
  <si>
    <t>Реконструкція госпітального відділення КУ "Міська клінічна лікарня №2" м. Запоріжжя (проектні та будівельні роботи)</t>
  </si>
  <si>
    <t>Реконструкція  приміщень комунальної установи  "Міська клінічна лікарня №2", м. Запоріжжя (проектні та будівельні роботи)</t>
  </si>
  <si>
    <t xml:space="preserve">Реконструкція відділення мікрохірургії ока комунальної установи "Запорізька міська багатопрофільна клінічна лікарня №9"  м. Запоріжжя </t>
  </si>
  <si>
    <t>Виконавчий комітет міської ради</t>
  </si>
  <si>
    <t>Позашкільні заклади освіти, заходи із позашкільної роботи з дітьми</t>
  </si>
  <si>
    <t>Школи естетичного виховання дітей</t>
  </si>
  <si>
    <t>Управління з питань охорони здоров'я  Запорізької  міської ради</t>
  </si>
  <si>
    <t>Інші пільги ветеранів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реабілітованім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</si>
  <si>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</si>
  <si>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 xml:space="preserve">Житловий будинок по вул. Нагнибіди,15 – реконструкція системи тепло-, водопостачання </t>
  </si>
  <si>
    <t>Капітальний ремонт житлового фонду місцевих органів ради</t>
  </si>
  <si>
    <t>Благоустрій міста</t>
  </si>
  <si>
    <t>Реконструкція системи пожежної сигналізації АБК стадіону "Славутич Арена" в м. Запоріжжі (проектні та будівельні роботи) -  погашення заборгованості за минулі роки</t>
  </si>
  <si>
    <t xml:space="preserve">Магістральна теплова мережа по вул. Героїв Сталінграду, м.Запоріжжя - реконструкція </t>
  </si>
  <si>
    <t>Будівництво автотранспортної магістралі через р. Дніпро у м.Запоріжжя - погашення заборгованості за минулі роки</t>
  </si>
  <si>
    <t>Будівництво водогону Д=315 мм по вул.Сапожнікова, м.Запоріжжя</t>
  </si>
  <si>
    <t xml:space="preserve">Ліквідація аварійного стану житлового будинку по вул.Ракетній, 38а </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</si>
  <si>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</si>
  <si>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№75 по вул.Історична,92 Заводського району </t>
  </si>
  <si>
    <t xml:space="preserve">Комунальна установа "Пологовий будинок №4" по вул.Дудикіна, м. Запоріжжя - реконструкція електрозабезпечення (проектні та будівельні роботи) </t>
  </si>
  <si>
    <t>Реконструкція  центральної алеї парку "Дубовий гай" в м.Запоріжжя</t>
  </si>
  <si>
    <t>Районна адміністрація Запорізької міської ради по Ленінському району</t>
  </si>
  <si>
    <t>ЗАТВЕРДЖЕНО</t>
  </si>
  <si>
    <t>Рішення міської ради</t>
  </si>
  <si>
    <t>Будівництво водогону технічної води в Хортицькому житловому масиві, м. Запоріжжя (проектні роботи та експертиза)</t>
  </si>
  <si>
    <t>Будівництво мереж зовнішнього освітлення по вул. Горького (від вул. Радянської до вул. Червоногвардійської) (проектні та будівельні роботи)</t>
  </si>
  <si>
    <t>Будівництво мереж зовнішнього освітлення по вул. Овочівництва на о. Хортиця (проектні та будівельні роботи)</t>
  </si>
  <si>
    <t>Будівництво мереж зовнішнього освітлення по вул. Свердлова (від вул.Жуковського до вул. Гоголя) (проектні та будівельні роботи)</t>
  </si>
  <si>
    <t>Реконструкція автодороги Запоріжжя-Підпорожнянка в районі шлакових відвалів ВАТ "Запоріжсталь" (проектні роботи)</t>
  </si>
  <si>
    <t>Реконструкція будівлі дошкільного навчального закладу №144 Комунарського району (проектні та будівельні роботи)</t>
  </si>
  <si>
    <t xml:space="preserve">Внески у статутні фонди комунальних підприємств міста (придбання спеціальної техніки та мобільних туалетних кабін (біотуалетів) </t>
  </si>
  <si>
    <t>Районна адміністрація Запорізької міської ради по Комунарському району</t>
  </si>
  <si>
    <t>Реконструкція бульвару Будівельників в Хортицькому районі м. Запоріжжя</t>
  </si>
  <si>
    <t>Реконструкція Палацу спорту "Юність" в м. Запоріжжя (проектні роботи)</t>
  </si>
  <si>
    <t>Реконструкція будівель та інженерних мереж комунальної установи "Міська клінічна лікарня екстреної та швидкої медичної допомоги" по вул. Перемоги, 80  м. Запоріжжя (проектні роботи та експертиза)</t>
  </si>
  <si>
    <t>КП "ЕЛУАШ"</t>
  </si>
  <si>
    <t xml:space="preserve"> КП "Титан"</t>
  </si>
  <si>
    <t>СКП "Запорізька ритуальна служба"</t>
  </si>
  <si>
    <t>Газифікація житлових будинків по вул. Воєнбуд м.Запоріжжя</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</si>
  <si>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</si>
  <si>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</si>
  <si>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</si>
  <si>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</si>
  <si>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091101</t>
  </si>
  <si>
    <t>Утримання центрів соціальних служб для сім"ї, дітей та молоді</t>
  </si>
  <si>
    <t>Управління розвитку підприємництва та дозвільних послуг Запорізької міської ради</t>
  </si>
  <si>
    <t>КП "ЦПКтаВ "Дубовий гай"</t>
  </si>
  <si>
    <t>Районна адміністрація Запорізької міської ради по Шевченківському району</t>
  </si>
  <si>
    <t>КП електромереж зовнішнього освітлення "Запоріж-міськсвітло"</t>
  </si>
  <si>
    <t>КП "Водоканал"</t>
  </si>
  <si>
    <t>Реконструкція будівлі по вул. Таганська, 8 під соціальний готель (проектні роботи та експертиза)</t>
  </si>
  <si>
    <t>Секретар міської ради</t>
  </si>
  <si>
    <t>Р.О. Таран</t>
  </si>
  <si>
    <t>Реконструкція вул. Шамотної в межах від вул. Електричної до вул. Шламової (проектні та будівельні роботи)</t>
  </si>
  <si>
    <t>Реконструкція вул. Фінальної в межах від вул. Північне шосе до вул. Історичної (проектні та будівельні роботи)</t>
  </si>
  <si>
    <t>Реконструкція вул.Ніжинської в межах від вул. Олександра Невського до вул. Шмідта (проектні та будівельні роботи)</t>
  </si>
  <si>
    <t>Реконструкція вул. Кияшка в межах від бул. Вінтера до вул. Михайлова (проектні та будівельні роботи)</t>
  </si>
  <si>
    <t>Реконструкція вул.Медичної в межах від вул.Айвазовського до вул. Панаса Мирного (проектні та будівельні роботи)</t>
  </si>
  <si>
    <t xml:space="preserve">Перелік видатків,  які у 2012 році будуть проводитися за рахунок коштів бюджету розвитку міста </t>
  </si>
  <si>
    <t>Будівництво зовнішнього освітлення вулиць та провулків: Кам"янсько-Дніпровська, Колонтай, Салавата Юлаєва, Цілинна (пров. Кубинський), пров. Писарєва, пров. Адигейський, вул. Підгірна, вул. Фадєєва (проектні та будівельні роботи)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</si>
  <si>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t>
  </si>
  <si>
    <t>до Програми економічного і соціального розвитку                                                                                   м. Запоріжжя на 2012 рік</t>
  </si>
  <si>
    <t>Ліквідація аварійного стану автодороги, зливової та побутової каналізації по вул. М.Судця, м. Запоріжжя</t>
  </si>
  <si>
    <t>Реконструкція полотна трамвайного переїзду вул.Іванова-просп.Моторобудівників-вул.8 Березня у Шевченківському районі м. Запоріжжя - погашення заборгованості за минулі роки</t>
  </si>
  <si>
    <t xml:space="preserve">Реконструкція будівлі по вул. 40 років Радянської України, 41а </t>
  </si>
  <si>
    <t>Реконструкція підстанції швидкої та медичної допомоги комунальної установи "Міська клінічна лікарня екстреної та швидкої медичної допомоги м. Запоріжжя" по вул.Демократичній, 127 в Заводському районі (проектні роботи)</t>
  </si>
  <si>
    <t xml:space="preserve">Реконструкція прибудови до житлової будівлі під амбулаторію сімейного лікаря по вул. Дорошенко, 3 в Хортицькому районі </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</si>
  <si>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</si>
  <si>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 xml:space="preserve">Реконструкція частини будівлі під амбулаторію сімейного лікаря по вул. Воронезька, 10 в Хортицькому районі </t>
  </si>
  <si>
    <t>Реконструкція дитячого містечка в районі вул. Південноукраїнська з установкою малих архітектурних форм (проектні та будівельні роботи)</t>
  </si>
  <si>
    <t xml:space="preserve">Внески у статутний фонд Запорізького комунального підприємства міського електротранспорту "Запоріжелектротранс"                                                                                                                          </t>
  </si>
  <si>
    <t>проведення капітального ремонту понтонів</t>
  </si>
  <si>
    <t>Капітальні видатки</t>
  </si>
  <si>
    <t>Реконструкція вул.Рекордної від вул. Портова до вул.Алюмінева (проектні роботи)</t>
  </si>
  <si>
    <t>Реконструкція  пам'ятника "Металургам" в м. Запоріжжя (проектні та будівельні роботи)</t>
  </si>
  <si>
    <t>Реконструкція ділянки пішохідної алеї від вул. Правда до вул. Патріотична (проектні та будівельні роботи)</t>
  </si>
  <si>
    <t>Будівництво декоративних підпірних стін від вул. Правда до вул. Перемога (проектні та будівельні роботи)</t>
  </si>
  <si>
    <t>Видатки на запобігання та ліквідацію надзвичайних ситуацій та наслідків стихійного лиха</t>
  </si>
  <si>
    <t xml:space="preserve">модернізація контактної мережі тролейбусу </t>
  </si>
  <si>
    <t>Управління з питань попередження надзвичайних ситуацій та цивільного захисту населення Запорізької міської ради</t>
  </si>
  <si>
    <t>Реконструкція зовнішнього освітлення в районі вул. Правда - вул. Чубаря, м.Запоріжжя (проектні та будівельні роботи)</t>
  </si>
  <si>
    <t>Реконструкція парку   «Перемоги» в м. Запоріжжя (ІІ черга)</t>
  </si>
  <si>
    <t>Прибудова до загальноосвітньої школи І-ІІІ ступенів № 104 по вул. Кремлівська, 65в Ленінського району - будівництво (проектні роботи)</t>
  </si>
  <si>
    <t>МКП "Основаніє"</t>
  </si>
  <si>
    <t>Реконструкція дороги по вул. Глісерній з автомобільною стоянкою в районі парку «Дубовий гай» м. Запоріжжя</t>
  </si>
  <si>
    <t>Будівництво спортивного комплексу (проектні роботи та експертиза)</t>
  </si>
  <si>
    <t>Управління реєстрації та єдиного реєстру Запорізької міської ради</t>
  </si>
  <si>
    <t>Реконструкція вул. Рекордної, м. Запоріжжя (проектні та будівельні роботи)</t>
  </si>
  <si>
    <t>Розробка ескізного проекту реконструкції парку "Дубовий гай"</t>
  </si>
  <si>
    <t>Реконструкція скверу прилеглого до  ПК "Заводський" з влаштуванням дитячого майданчика (проектні та будівельні роботи)</t>
  </si>
  <si>
    <t>Департамент комунальної власності та приватизації Запорізької міської ради</t>
  </si>
  <si>
    <t>Будівництво систем відеоспостереження у місцях масового перебування громадян (проектні та будівельні роботи)</t>
  </si>
  <si>
    <t>Реконструкція контейнерного майданчика по вул. Матросова, 24</t>
  </si>
  <si>
    <t>КАТП "Комун-сантрансекологія"</t>
  </si>
  <si>
    <t>Реконструкція контейнерного майданчика по вул. Матросова, 25</t>
  </si>
  <si>
    <t>Реконструкція контейнерного майданчика по вул. Маяковського, 10</t>
  </si>
  <si>
    <t>Реконструкція контейнерного майданчика по вул. Перемоги, 59</t>
  </si>
  <si>
    <t>Реконструкція контейнерного майданчика по вул. Південноукраїнська, 19</t>
  </si>
  <si>
    <t>Реконструкція контейнерного майданчика по вул. Південноукраїнська, 13</t>
  </si>
  <si>
    <t>Реконструкція контейнерного майданчика по вул. Патріотична, 80</t>
  </si>
  <si>
    <t>Реконструкція контейнерного майданчика по вул. Патріотична, 64б</t>
  </si>
  <si>
    <t>Реконструкція контейнерного майданчика по пр. Леніна,133</t>
  </si>
  <si>
    <t>Реконструкція контейнерного майданчика по вул. Перемоги, 22</t>
  </si>
  <si>
    <t>Реконструкція контейнерного майданчика по бул. Шевченко, 42</t>
  </si>
  <si>
    <t>Реконструкція контейнерного майданчика по вул. Тбіліська, 9</t>
  </si>
  <si>
    <t>75</t>
  </si>
  <si>
    <t>Виготовлення проектно-кошторисної документації та проведення експертизи проектів</t>
  </si>
  <si>
    <t>Житлове будівництво та придбання житла для окремих категорій населення</t>
  </si>
  <si>
    <t>Придбання квартир для окремих категорій населення</t>
  </si>
  <si>
    <t>080704</t>
  </si>
  <si>
    <t>Центри здоров"я і заходи у сфері санітарної освіти</t>
  </si>
  <si>
    <t>Будівництво дороги по вул. Балка Поповка у Комунарському районі (проектні роботи)</t>
  </si>
  <si>
    <t>Будівництво зливової каналізації по вул. Іванова, 99 (проектні роботи)</t>
  </si>
  <si>
    <t>Будівництво зливової каналізації по вул. Харчова - вул. Виробнича - пров. Куп"янський  (проектні роботи)</t>
  </si>
  <si>
    <t>Будівництво зливової каналізації по вул. Челябінській (в районі буд. № 5) (проектні роботи)</t>
  </si>
  <si>
    <t>Будівництво мереж зовнішнього освтлення прибудинкової території будинку № 13 по бул. Бельфорському (проектні роботи)</t>
  </si>
  <si>
    <t>Будівництво інженерних мереж до громадських модульних туалетів на центральному міському пляжі по Прибрежній магістралі в м. Запоріжжі (проектні роботи, експертиза)</t>
  </si>
  <si>
    <t>Будівництво світлофорного об'єкту на перехресті вул. Седова - виїзд з 7 медчастини</t>
  </si>
  <si>
    <t>Будівництво світлофорного об'єкту на перехресті вул. Гоголя - вул. Комунарівська</t>
  </si>
  <si>
    <t>Будівництво світлофорного об'єкту на перехресті вул.Леппіка - вул. Дзержинського</t>
  </si>
  <si>
    <t>Реконструкція вул. Кірова, Чекістів до Прибережної магістралі в м. Запоріжжя</t>
  </si>
  <si>
    <t>Реконструкція дороги та зливової каналізації по вул. Шевченка від вул. 8 Березня до вул. Солідарності (проектні роботи)</t>
  </si>
  <si>
    <t>Реконструкція тротуару по вул. Новокузнецькій (непарта сторона) (проектні роботи, експертиза)</t>
  </si>
  <si>
    <t>Реконструкція Прибрежної магістралі від вул. Сергія Тюленіна до вул. Луначарського, м.Запоріжжя (проектні роботи)</t>
  </si>
  <si>
    <t xml:space="preserve">Комунальна установа «Міська клінічна лікарня екстреної та швидкої медичної допомоги м. Запоріжжя» -  реконструкція 3-го хірургічного відділення </t>
  </si>
  <si>
    <t>Будівництво мереж зовнішнього освітлення вулиці Історична від буд. 1 до буд. 5 (проектні роботи)</t>
  </si>
  <si>
    <t>Будівництво мереж зовнішнього освітлення вулиці  Косарєва (проектні роботи)</t>
  </si>
  <si>
    <t>Будівництво мереж зовнішнього освітлення вулиці Морфлотська (проектні роботи)</t>
  </si>
  <si>
    <t>Будівництво мереж зовнішнього освітлення вулиці Політехнічна (проектні роботи)</t>
  </si>
  <si>
    <t>Будівництво мереж зовнішнього освітлення вулиці Початкова (проектні роботи)</t>
  </si>
  <si>
    <t>Будівництво мереж зовнішнього освітлення  пров.Кедровий (проектні роботи)</t>
  </si>
  <si>
    <t>Будівництво мереж зовнішнього освітлення вулиці Байконурівська (проектні роботи)</t>
  </si>
  <si>
    <t>Будівництво мереж зовнішнього освітлення вулиці Фучика (проектні роботи)</t>
  </si>
  <si>
    <t>Будівництво мереж зовнішнього освітлення пров.Сріблястий (проектні роботи)</t>
  </si>
  <si>
    <t>Будівництво мереж зовнішнього освітлення пров.Якутський (проектні роботи)</t>
  </si>
  <si>
    <t>Будівництво мереж внутрішньоквартального зовнішнього освітлення вулиці Історична, 67, 69 (в межах вул. Історична, 67, 69 - пров. Черепашковий, 4 - вул. Алмазна, 54) (проектні роботи)</t>
  </si>
  <si>
    <t>01.11.2012 №6</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</si>
</sst>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
    <numFmt numFmtId="175" formatCode="#&quot; &quot;##0.000"/>
    <numFmt numFmtId="176" formatCode="0.00000"/>
    <numFmt numFmtId="177" formatCode="0.000000000"/>
    <numFmt numFmtId="178" formatCode="0.0000000000"/>
    <numFmt numFmtId="179" formatCode="0.00000000000"/>
    <numFmt numFmtId="180" formatCode="0.00000000"/>
    <numFmt numFmtId="181" formatCode="0.0000000"/>
    <numFmt numFmtId="182" formatCode="0.000000"/>
    <numFmt numFmtId="183" formatCode="0.00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0000"/>
  </numFmts>
  <fonts count="43">
    <font>
      <sz val="11"/>
      <color indexed="8"/>
      <name val="Calibri"/>
      <family val="2"/>
    </font>
    <font>
      <sz val="10"/>
      <name val="Arial Cyr"/>
      <family val="0"/>
    </font>
    <font>
      <b/>
      <sz val="14"/>
      <name val="Times New Roman"/>
      <family val="1"/>
    </font>
    <font>
      <sz val="14"/>
      <name val="Times New Roman"/>
      <family val="1"/>
    </font>
    <font>
      <b/>
      <sz val="12"/>
      <name val="Times New Roman"/>
      <family val="1"/>
    </font>
    <font>
      <sz val="10"/>
      <name val="Times New Roman"/>
      <family val="1"/>
    </font>
    <font>
      <sz val="12"/>
      <name val="Times New Roman"/>
      <family val="1"/>
    </font>
    <font>
      <sz val="11"/>
      <name val="Times New Roman"/>
      <family val="1"/>
    </font>
    <font>
      <b/>
      <sz val="10"/>
      <name val="Times New Roman"/>
      <family val="1"/>
    </font>
    <font>
      <sz val="13"/>
      <name val="Times New Roman"/>
      <family val="1"/>
    </font>
    <font>
      <b/>
      <sz val="11"/>
      <name val="Times New Roman"/>
      <family val="1"/>
    </font>
    <font>
      <sz val="15"/>
      <name val="Times New Roman"/>
      <family val="1"/>
    </font>
    <font>
      <b/>
      <sz val="14"/>
      <color indexed="8"/>
      <name val="Times New Roman"/>
      <family val="1"/>
    </font>
    <font>
      <sz val="14"/>
      <color indexed="8"/>
      <name val="Times New Roman"/>
      <family val="1"/>
    </font>
    <font>
      <sz val="16"/>
      <name val="Times New Roman"/>
      <family val="1"/>
    </font>
    <font>
      <sz val="20"/>
      <name val="Times New Roman"/>
      <family val="1"/>
    </font>
    <font>
      <sz val="18"/>
      <name val="Times New Roman"/>
      <family val="1"/>
    </font>
    <font>
      <b/>
      <sz val="16"/>
      <name val="Times New Roman"/>
      <family val="1"/>
    </font>
    <font>
      <b/>
      <sz val="18"/>
      <name val="Times New Roman"/>
      <family val="1"/>
    </font>
    <font>
      <b/>
      <sz val="20"/>
      <name val="Times New Roman"/>
      <family val="1"/>
    </font>
    <font>
      <sz val="13.5"/>
      <color indexed="8"/>
      <name val="Times New Roman"/>
      <family val="1"/>
    </font>
    <font>
      <sz val="13.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color indexed="8"/>
      <name val="Times New Roman"/>
      <family val="1"/>
    </font>
    <font>
      <sz val="14"/>
      <color indexed="10"/>
      <name val="Times New Roman"/>
      <family val="1"/>
    </font>
    <font>
      <b/>
      <u val="single"/>
      <sz val="1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thin"/>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2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205">
    <xf numFmtId="0" fontId="0" fillId="0" borderId="0" xfId="0" applyAlignment="1">
      <alignment/>
    </xf>
    <xf numFmtId="0" fontId="3" fillId="0" borderId="10" xfId="0" applyFont="1" applyFill="1" applyBorder="1" applyAlignment="1">
      <alignment horizontal="left" vertical="center" wrapText="1"/>
    </xf>
    <xf numFmtId="0" fontId="3" fillId="0" borderId="10" xfId="54" applyFont="1" applyFill="1" applyBorder="1" applyAlignment="1">
      <alignment horizontal="left" vertical="center" wrapText="1"/>
      <protection/>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wrapText="1"/>
    </xf>
    <xf numFmtId="0" fontId="2" fillId="0" borderId="0" xfId="0" applyNumberFormat="1" applyFont="1" applyFill="1" applyBorder="1" applyAlignment="1">
      <alignment horizontal="left" vertical="center" wrapText="1"/>
    </xf>
    <xf numFmtId="0" fontId="13" fillId="0" borderId="0" xfId="0" applyFont="1" applyFill="1" applyAlignment="1">
      <alignment horizontal="center" vertical="center" wrapText="1"/>
    </xf>
    <xf numFmtId="49" fontId="3" fillId="0" borderId="0" xfId="0" applyNumberFormat="1" applyFont="1" applyFill="1" applyBorder="1" applyAlignment="1">
      <alignment vertical="center" wrapText="1"/>
    </xf>
    <xf numFmtId="0" fontId="12" fillId="0" borderId="10" xfId="0" applyFont="1" applyFill="1" applyBorder="1" applyAlignment="1">
      <alignment vertical="center" wrapText="1"/>
    </xf>
    <xf numFmtId="3" fontId="12" fillId="0" borderId="0" xfId="0" applyNumberFormat="1"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Alignment="1">
      <alignment vertical="center" wrapText="1"/>
    </xf>
    <xf numFmtId="0" fontId="13" fillId="0" borderId="10" xfId="0" applyFont="1" applyFill="1" applyBorder="1" applyAlignment="1">
      <alignment vertical="center" wrapText="1"/>
    </xf>
    <xf numFmtId="3" fontId="13" fillId="0" borderId="0" xfId="0" applyNumberFormat="1" applyFont="1" applyFill="1" applyBorder="1" applyAlignment="1">
      <alignment vertical="center" wrapText="1"/>
    </xf>
    <xf numFmtId="49" fontId="13" fillId="0" borderId="1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184" fontId="12" fillId="0" borderId="13"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184" fontId="13" fillId="0" borderId="13"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184" fontId="2" fillId="0" borderId="16" xfId="0" applyNumberFormat="1" applyFont="1" applyFill="1" applyBorder="1" applyAlignment="1">
      <alignment horizontal="center" vertical="center" wrapText="1"/>
    </xf>
    <xf numFmtId="184" fontId="3" fillId="0" borderId="0" xfId="0" applyNumberFormat="1" applyFont="1" applyFill="1" applyBorder="1" applyAlignment="1">
      <alignment horizontal="right" vertical="center" wrapText="1"/>
    </xf>
    <xf numFmtId="184" fontId="2" fillId="0" borderId="0" xfId="0" applyNumberFormat="1" applyFont="1" applyFill="1" applyBorder="1" applyAlignment="1">
      <alignment horizontal="right" vertical="center" wrapText="1"/>
    </xf>
    <xf numFmtId="184" fontId="12" fillId="0" borderId="0" xfId="0" applyNumberFormat="1" applyFont="1" applyFill="1" applyBorder="1" applyAlignment="1">
      <alignment horizontal="right" vertical="center" wrapText="1"/>
    </xf>
    <xf numFmtId="184" fontId="13" fillId="0" borderId="0" xfId="0" applyNumberFormat="1" applyFont="1" applyFill="1" applyBorder="1" applyAlignment="1">
      <alignment horizontal="right" vertical="center" wrapText="1"/>
    </xf>
    <xf numFmtId="184" fontId="13" fillId="0" borderId="0" xfId="0" applyNumberFormat="1" applyFont="1" applyFill="1" applyBorder="1" applyAlignment="1">
      <alignment horizontal="right" vertical="center" wrapText="1"/>
    </xf>
    <xf numFmtId="184" fontId="2" fillId="0" borderId="0" xfId="0" applyNumberFormat="1" applyFont="1" applyFill="1" applyBorder="1" applyAlignment="1">
      <alignment horizontal="center" vertical="center" wrapText="1"/>
    </xf>
    <xf numFmtId="184"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0" fillId="0" borderId="10" xfId="0" applyFont="1" applyFill="1" applyBorder="1" applyAlignment="1">
      <alignment vertical="center" wrapText="1"/>
    </xf>
    <xf numFmtId="0" fontId="21" fillId="0" borderId="10" xfId="0" applyFont="1" applyFill="1" applyBorder="1" applyAlignment="1">
      <alignment vertical="center" wrapText="1"/>
    </xf>
    <xf numFmtId="184" fontId="40" fillId="0" borderId="0" xfId="0" applyNumberFormat="1" applyFont="1" applyFill="1" applyBorder="1" applyAlignment="1">
      <alignment horizontal="right" vertical="center" wrapText="1"/>
    </xf>
    <xf numFmtId="0" fontId="40" fillId="0" borderId="0" xfId="0" applyFont="1" applyFill="1" applyBorder="1" applyAlignment="1">
      <alignment vertical="center" wrapText="1"/>
    </xf>
    <xf numFmtId="0" fontId="40" fillId="0" borderId="0" xfId="0" applyFont="1" applyFill="1" applyAlignment="1">
      <alignmen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172" fontId="16" fillId="0" borderId="0" xfId="0" applyNumberFormat="1" applyFont="1" applyFill="1" applyBorder="1" applyAlignment="1">
      <alignment horizontal="center" vertical="center"/>
    </xf>
    <xf numFmtId="0" fontId="16" fillId="0" borderId="0" xfId="0" applyFont="1" applyFill="1" applyAlignment="1">
      <alignment horizontal="center"/>
    </xf>
    <xf numFmtId="0" fontId="16" fillId="0" borderId="0" xfId="0" applyFont="1" applyFill="1" applyAlignment="1">
      <alignment horizontal="left"/>
    </xf>
    <xf numFmtId="0" fontId="16" fillId="0" borderId="0" xfId="0" applyFont="1" applyFill="1" applyAlignment="1">
      <alignment/>
    </xf>
    <xf numFmtId="0" fontId="16" fillId="0" borderId="0" xfId="0" applyFont="1" applyFill="1" applyAlignment="1">
      <alignment horizontal="center" vertical="center" wrapText="1"/>
    </xf>
    <xf numFmtId="0" fontId="16" fillId="0" borderId="0" xfId="0" applyFont="1" applyFill="1" applyAlignment="1">
      <alignment wrapText="1"/>
    </xf>
    <xf numFmtId="0" fontId="15" fillId="0" borderId="0" xfId="0" applyFont="1" applyFill="1" applyAlignment="1">
      <alignment horizontal="left" indent="8"/>
    </xf>
    <xf numFmtId="0" fontId="16" fillId="0" borderId="0" xfId="0" applyFont="1" applyFill="1" applyAlignment="1">
      <alignment vertical="center"/>
    </xf>
    <xf numFmtId="0" fontId="16" fillId="0" borderId="0" xfId="0" applyFont="1" applyFill="1" applyBorder="1" applyAlignment="1">
      <alignment wrapText="1"/>
    </xf>
    <xf numFmtId="0" fontId="16" fillId="0" borderId="0" xfId="0" applyFont="1" applyFill="1" applyAlignment="1">
      <alignment vertical="center" wrapText="1"/>
    </xf>
    <xf numFmtId="0" fontId="11" fillId="0" borderId="0" xfId="0" applyFont="1" applyFill="1" applyAlignment="1">
      <alignment horizontal="center"/>
    </xf>
    <xf numFmtId="0" fontId="11" fillId="0" borderId="0" xfId="0" applyFont="1" applyFill="1" applyAlignment="1">
      <alignment horizontal="left"/>
    </xf>
    <xf numFmtId="0" fontId="11" fillId="0" borderId="0" xfId="0" applyFont="1" applyFill="1" applyAlignment="1">
      <alignment/>
    </xf>
    <xf numFmtId="0" fontId="11" fillId="0" borderId="0" xfId="0" applyFont="1" applyFill="1" applyAlignment="1">
      <alignment horizontal="center" vertical="center" wrapText="1"/>
    </xf>
    <xf numFmtId="0" fontId="11" fillId="0" borderId="0" xfId="0" applyFont="1" applyFill="1" applyAlignment="1">
      <alignment vertical="center" wrapText="1"/>
    </xf>
    <xf numFmtId="0" fontId="3" fillId="0" borderId="0" xfId="0" applyFont="1" applyFill="1" applyBorder="1" applyAlignment="1">
      <alignment wrapText="1"/>
    </xf>
    <xf numFmtId="0" fontId="3" fillId="0" borderId="0" xfId="0" applyFont="1" applyFill="1" applyAlignment="1">
      <alignment wrapText="1"/>
    </xf>
    <xf numFmtId="0" fontId="18" fillId="0" borderId="0" xfId="0"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8" fillId="0" borderId="0" xfId="0" applyNumberFormat="1" applyFont="1" applyFill="1" applyBorder="1" applyAlignment="1">
      <alignment horizontal="left" vertical="center"/>
    </xf>
    <xf numFmtId="49" fontId="16" fillId="0" borderId="0" xfId="0" applyNumberFormat="1" applyFont="1" applyFill="1" applyBorder="1" applyAlignment="1">
      <alignment vertical="center"/>
    </xf>
    <xf numFmtId="49" fontId="15" fillId="0" borderId="0" xfId="0" applyNumberFormat="1" applyFont="1" applyFill="1" applyBorder="1" applyAlignment="1">
      <alignment horizontal="right"/>
    </xf>
    <xf numFmtId="0" fontId="3" fillId="0" borderId="0" xfId="0" applyFont="1" applyFill="1" applyBorder="1" applyAlignment="1">
      <alignment horizontal="center" vertical="center"/>
    </xf>
    <xf numFmtId="172" fontId="3" fillId="0" borderId="0" xfId="0" applyNumberFormat="1" applyFont="1" applyFill="1" applyBorder="1" applyAlignment="1">
      <alignment horizontal="center" vertical="center"/>
    </xf>
    <xf numFmtId="0" fontId="3" fillId="0" borderId="0" xfId="0" applyFont="1" applyFill="1" applyBorder="1" applyAlignment="1">
      <alignment horizontal="center" wrapText="1"/>
    </xf>
    <xf numFmtId="0" fontId="4"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4"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left" vertical="center" wrapText="1"/>
    </xf>
    <xf numFmtId="184" fontId="2" fillId="0" borderId="10" xfId="0" applyNumberFormat="1" applyFont="1" applyFill="1" applyBorder="1" applyAlignment="1">
      <alignment horizontal="center" vertical="center" wrapText="1"/>
    </xf>
    <xf numFmtId="184" fontId="2" fillId="0" borderId="13" xfId="0" applyNumberFormat="1" applyFont="1" applyFill="1" applyBorder="1" applyAlignment="1">
      <alignment horizontal="center" vertical="center" wrapText="1"/>
    </xf>
    <xf numFmtId="18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textRotation="90"/>
    </xf>
    <xf numFmtId="0" fontId="3" fillId="0" borderId="12" xfId="0" applyFont="1" applyFill="1" applyBorder="1" applyAlignment="1">
      <alignment horizontal="center" vertical="center"/>
    </xf>
    <xf numFmtId="184" fontId="3" fillId="0" borderId="1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18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84" fontId="3" fillId="0" borderId="10" xfId="0" applyNumberFormat="1" applyFont="1" applyFill="1" applyBorder="1" applyAlignment="1">
      <alignment horizontal="center" vertical="center"/>
    </xf>
    <xf numFmtId="174" fontId="3" fillId="0" borderId="10" xfId="60" applyNumberFormat="1" applyFont="1" applyFill="1" applyBorder="1" applyAlignment="1">
      <alignment horizontal="center" vertical="center" wrapText="1"/>
    </xf>
    <xf numFmtId="184" fontId="3" fillId="0" borderId="0" xfId="0" applyNumberFormat="1" applyFont="1" applyFill="1" applyBorder="1" applyAlignment="1">
      <alignment horizontal="center" vertical="center"/>
    </xf>
    <xf numFmtId="184" fontId="6" fillId="0" borderId="0"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5" fillId="0" borderId="0" xfId="0" applyFont="1" applyFill="1" applyBorder="1" applyAlignment="1">
      <alignment horizontal="center" vertical="center" textRotation="90" wrapText="1"/>
    </xf>
    <xf numFmtId="0" fontId="3" fillId="0" borderId="12" xfId="54" applyFont="1" applyFill="1" applyBorder="1" applyAlignment="1">
      <alignment horizontal="center" vertical="center"/>
      <protection/>
    </xf>
    <xf numFmtId="184" fontId="3" fillId="0" borderId="10" xfId="54" applyNumberFormat="1" applyFont="1" applyFill="1" applyBorder="1" applyAlignment="1">
      <alignment horizontal="center" vertical="center" wrapText="1"/>
      <protection/>
    </xf>
    <xf numFmtId="172" fontId="3" fillId="0" borderId="10" xfId="0" applyNumberFormat="1" applyFont="1" applyFill="1" applyBorder="1" applyAlignment="1">
      <alignment horizontal="center" vertical="center" wrapText="1"/>
    </xf>
    <xf numFmtId="173" fontId="3" fillId="0" borderId="10" xfId="54" applyNumberFormat="1" applyFont="1" applyFill="1" applyBorder="1" applyAlignment="1">
      <alignment horizontal="center" vertical="center" wrapText="1"/>
      <protection/>
    </xf>
    <xf numFmtId="0" fontId="3" fillId="0" borderId="0" xfId="0" applyFont="1" applyFill="1" applyBorder="1" applyAlignment="1">
      <alignment/>
    </xf>
    <xf numFmtId="0" fontId="3" fillId="0" borderId="0" xfId="0" applyFont="1" applyFill="1" applyAlignment="1">
      <alignment/>
    </xf>
    <xf numFmtId="184" fontId="7" fillId="0" borderId="0" xfId="0" applyNumberFormat="1" applyFont="1" applyFill="1" applyBorder="1" applyAlignment="1">
      <alignment horizontal="center" vertical="center" wrapText="1"/>
    </xf>
    <xf numFmtId="49" fontId="3" fillId="0" borderId="12" xfId="54" applyNumberFormat="1" applyFont="1" applyFill="1" applyBorder="1" applyAlignment="1">
      <alignment horizontal="center" vertical="center" wrapText="1"/>
      <protection/>
    </xf>
    <xf numFmtId="174" fontId="3" fillId="0" borderId="10" xfId="0" applyNumberFormat="1" applyFont="1" applyFill="1" applyBorder="1" applyAlignment="1">
      <alignment horizontal="center" vertical="center" wrapText="1"/>
    </xf>
    <xf numFmtId="184" fontId="9"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8" fillId="0" borderId="0" xfId="0" applyFont="1" applyFill="1" applyBorder="1" applyAlignment="1">
      <alignment horizontal="center" vertical="center" textRotation="90"/>
    </xf>
    <xf numFmtId="0" fontId="2" fillId="0" borderId="0" xfId="0" applyFont="1" applyFill="1" applyBorder="1" applyAlignment="1">
      <alignment horizontal="center" vertical="center"/>
    </xf>
    <xf numFmtId="184" fontId="3" fillId="0" borderId="13" xfId="0" applyNumberFormat="1" applyFont="1" applyFill="1" applyBorder="1" applyAlignment="1">
      <alignment horizontal="center" vertical="center" wrapText="1"/>
    </xf>
    <xf numFmtId="0" fontId="41" fillId="0" borderId="13" xfId="0" applyFont="1" applyFill="1" applyBorder="1" applyAlignment="1">
      <alignment horizontal="center" vertical="center" wrapText="1"/>
    </xf>
    <xf numFmtId="173" fontId="6" fillId="0" borderId="0" xfId="0" applyNumberFormat="1" applyFont="1" applyFill="1" applyBorder="1" applyAlignment="1">
      <alignment horizontal="center" vertical="center" wrapText="1"/>
    </xf>
    <xf numFmtId="0" fontId="3" fillId="0" borderId="10" xfId="0" applyFont="1" applyFill="1" applyBorder="1" applyAlignment="1">
      <alignment vertical="center" wrapText="1"/>
    </xf>
    <xf numFmtId="184" fontId="3" fillId="0" borderId="13" xfId="0" applyNumberFormat="1" applyFont="1" applyFill="1" applyBorder="1" applyAlignment="1">
      <alignment horizontal="center" vertical="center"/>
    </xf>
    <xf numFmtId="174" fontId="3" fillId="0" borderId="10" xfId="68"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5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3" fillId="0" borderId="10" xfId="54" applyFont="1" applyFill="1" applyBorder="1" applyAlignment="1">
      <alignment vertical="center" wrapText="1"/>
      <protection/>
    </xf>
    <xf numFmtId="0" fontId="6" fillId="0" borderId="0" xfId="0" applyFont="1" applyFill="1" applyBorder="1" applyAlignment="1">
      <alignment horizontal="center" vertical="center"/>
    </xf>
    <xf numFmtId="49" fontId="3" fillId="0" borderId="1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49" fontId="3" fillId="0" borderId="10" xfId="54" applyNumberFormat="1" applyFont="1" applyFill="1" applyBorder="1" applyAlignment="1">
      <alignment horizontal="left" vertical="center" wrapText="1"/>
      <protection/>
    </xf>
    <xf numFmtId="0" fontId="7" fillId="0" borderId="0" xfId="0"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184" fontId="2" fillId="0" borderId="10" xfId="0" applyNumberFormat="1" applyFont="1" applyFill="1" applyBorder="1" applyAlignment="1">
      <alignment horizontal="center" vertical="center"/>
    </xf>
    <xf numFmtId="174" fontId="2" fillId="0" borderId="10" xfId="0" applyNumberFormat="1" applyFont="1" applyFill="1" applyBorder="1" applyAlignment="1">
      <alignment horizontal="center" vertical="center"/>
    </xf>
    <xf numFmtId="184" fontId="2" fillId="0" borderId="13" xfId="0" applyNumberFormat="1" applyFont="1" applyFill="1" applyBorder="1" applyAlignment="1">
      <alignment horizontal="center" vertical="center"/>
    </xf>
    <xf numFmtId="184" fontId="2"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174" fontId="2" fillId="0" borderId="10" xfId="6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172"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15" fillId="0" borderId="0" xfId="0" applyFont="1" applyFill="1" applyBorder="1" applyAlignment="1">
      <alignment horizontal="center" vertical="center" wrapText="1"/>
    </xf>
    <xf numFmtId="172"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6" fillId="0" borderId="10"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0" fontId="3" fillId="0" borderId="24" xfId="0" applyFont="1" applyFill="1" applyBorder="1" applyAlignment="1">
      <alignment horizontal="left" vertical="center" wrapText="1"/>
    </xf>
    <xf numFmtId="49" fontId="13" fillId="0" borderId="24" xfId="0" applyNumberFormat="1" applyFont="1" applyFill="1" applyBorder="1" applyAlignment="1">
      <alignment vertical="center" wrapText="1"/>
    </xf>
    <xf numFmtId="184" fontId="13" fillId="0" borderId="25"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textRotation="90"/>
    </xf>
    <xf numFmtId="0" fontId="13" fillId="0" borderId="10" xfId="0" applyFont="1" applyFill="1" applyBorder="1" applyAlignment="1">
      <alignment wrapText="1"/>
    </xf>
    <xf numFmtId="0" fontId="5" fillId="0" borderId="13" xfId="0" applyFont="1" applyFill="1" applyBorder="1" applyAlignment="1">
      <alignment horizontal="center" vertical="center" wrapText="1"/>
    </xf>
    <xf numFmtId="173" fontId="3" fillId="0" borderId="10" xfId="0" applyNumberFormat="1" applyFont="1" applyFill="1" applyBorder="1" applyAlignment="1">
      <alignment horizontal="center" vertical="center"/>
    </xf>
    <xf numFmtId="0" fontId="6" fillId="0" borderId="10" xfId="0" applyFont="1" applyFill="1" applyBorder="1" applyAlignment="1">
      <alignment vertical="center" wrapText="1"/>
    </xf>
    <xf numFmtId="184" fontId="1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84" fontId="3" fillId="0" borderId="24" xfId="0" applyNumberFormat="1" applyFont="1" applyFill="1" applyBorder="1" applyAlignment="1">
      <alignment horizontal="center" vertical="center"/>
    </xf>
    <xf numFmtId="174" fontId="3" fillId="0" borderId="24" xfId="60" applyNumberFormat="1" applyFont="1" applyFill="1" applyBorder="1" applyAlignment="1">
      <alignment horizontal="center" vertical="center" wrapText="1"/>
    </xf>
    <xf numFmtId="18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4" xfId="54" applyFont="1" applyFill="1" applyBorder="1" applyAlignment="1">
      <alignment vertical="center" wrapText="1"/>
      <protection/>
    </xf>
    <xf numFmtId="173" fontId="3" fillId="0" borderId="10" xfId="0" applyNumberFormat="1" applyFont="1" applyFill="1" applyBorder="1" applyAlignment="1">
      <alignment horizontal="center" vertical="center" wrapText="1"/>
    </xf>
    <xf numFmtId="0" fontId="6" fillId="0" borderId="10" xfId="54" applyFont="1" applyFill="1" applyBorder="1" applyAlignment="1">
      <alignment vertical="center" wrapText="1"/>
      <protection/>
    </xf>
    <xf numFmtId="0" fontId="4"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14" xfId="0" applyFont="1" applyFill="1" applyBorder="1" applyAlignment="1">
      <alignment horizontal="center" vertical="center"/>
    </xf>
    <xf numFmtId="0" fontId="17" fillId="0" borderId="15" xfId="0" applyFont="1" applyFill="1" applyBorder="1" applyAlignment="1">
      <alignment horizontal="left" vertical="center" wrapText="1"/>
    </xf>
    <xf numFmtId="184" fontId="17" fillId="0" borderId="15" xfId="0" applyNumberFormat="1" applyFont="1" applyFill="1" applyBorder="1" applyAlignment="1">
      <alignment horizontal="center" vertical="center" wrapText="1"/>
    </xf>
    <xf numFmtId="184" fontId="14" fillId="0" borderId="16"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wrapText="1"/>
    </xf>
    <xf numFmtId="1" fontId="2" fillId="0" borderId="19" xfId="0" applyNumberFormat="1" applyFont="1" applyFill="1" applyBorder="1" applyAlignment="1">
      <alignment horizontal="center" vertical="center" wrapText="1"/>
    </xf>
    <xf numFmtId="0" fontId="2" fillId="0" borderId="20" xfId="0" applyFont="1" applyFill="1" applyBorder="1" applyAlignment="1">
      <alignment horizontal="center" vertical="center"/>
    </xf>
    <xf numFmtId="0" fontId="3" fillId="0" borderId="10" xfId="0" applyFont="1" applyFill="1" applyBorder="1" applyAlignment="1">
      <alignment wrapText="1"/>
    </xf>
    <xf numFmtId="0" fontId="15" fillId="0" borderId="0" xfId="0" applyFont="1" applyFill="1" applyBorder="1" applyAlignment="1">
      <alignment horizontal="left" vertical="center" wrapText="1"/>
    </xf>
    <xf numFmtId="0" fontId="3" fillId="0" borderId="10" xfId="54" applyFont="1" applyFill="1" applyBorder="1" applyAlignment="1">
      <alignment horizontal="center" vertical="center" wrapText="1"/>
      <protection/>
    </xf>
    <xf numFmtId="0" fontId="3" fillId="0" borderId="12" xfId="54" applyFont="1" applyFill="1" applyBorder="1" applyAlignment="1">
      <alignment horizontal="center" vertical="center" wrapText="1"/>
      <protection/>
    </xf>
    <xf numFmtId="0" fontId="3" fillId="0" borderId="10" xfId="54" applyFont="1" applyFill="1" applyBorder="1" applyAlignment="1">
      <alignment horizontal="left" vertical="center" wrapText="1"/>
      <protection/>
    </xf>
    <xf numFmtId="0" fontId="3" fillId="0" borderId="12" xfId="0" applyFont="1" applyFill="1" applyBorder="1" applyAlignment="1">
      <alignment horizontal="center" vertical="center"/>
    </xf>
    <xf numFmtId="0" fontId="3" fillId="0" borderId="24" xfId="54" applyFont="1" applyFill="1" applyBorder="1" applyAlignment="1">
      <alignment horizontal="left" vertical="center" wrapText="1"/>
      <protection/>
    </xf>
    <xf numFmtId="0" fontId="3" fillId="0" borderId="23" xfId="54" applyFont="1" applyFill="1" applyBorder="1" applyAlignment="1">
      <alignment horizontal="center" vertical="center" wrapText="1"/>
      <protection/>
    </xf>
    <xf numFmtId="0" fontId="15" fillId="0" borderId="0" xfId="0" applyFont="1" applyFill="1" applyBorder="1" applyAlignment="1">
      <alignment horizontal="left" vertical="center" indent="8"/>
    </xf>
    <xf numFmtId="0" fontId="16" fillId="0" borderId="0" xfId="0" applyFont="1" applyFill="1" applyAlignment="1">
      <alignment horizontal="left" vertical="center" wrapText="1" indent="8"/>
    </xf>
    <xf numFmtId="0" fontId="2" fillId="0" borderId="11" xfId="0" applyFont="1" applyFill="1" applyBorder="1" applyAlignment="1">
      <alignment horizontal="center" vertical="center" wrapText="1"/>
    </xf>
    <xf numFmtId="0" fontId="2" fillId="0" borderId="22" xfId="0" applyFont="1" applyFill="1" applyBorder="1" applyAlignment="1">
      <alignment horizontal="center" vertical="center" wrapText="1"/>
    </xf>
    <xf numFmtId="49" fontId="19" fillId="0" borderId="0" xfId="0" applyNumberFormat="1" applyFont="1" applyFill="1" applyBorder="1" applyAlignment="1">
      <alignment horizontal="center" wrapText="1"/>
    </xf>
    <xf numFmtId="172" fontId="2" fillId="0" borderId="11" xfId="0" applyNumberFormat="1" applyFont="1" applyFill="1" applyBorder="1" applyAlignment="1">
      <alignment horizontal="center" vertical="center" wrapText="1"/>
    </xf>
    <xf numFmtId="172" fontId="2" fillId="0" borderId="22" xfId="0" applyNumberFormat="1" applyFont="1" applyFill="1" applyBorder="1" applyAlignment="1">
      <alignment horizontal="center" vertical="center" wrapText="1"/>
    </xf>
    <xf numFmtId="184" fontId="3" fillId="0" borderId="0" xfId="0" applyNumberFormat="1" applyFont="1" applyFill="1" applyBorder="1" applyAlignment="1">
      <alignment horizontal="center" vertical="center" wrapText="1"/>
    </xf>
    <xf numFmtId="0" fontId="11" fillId="0" borderId="0" xfId="0" applyFont="1" applyFill="1" applyAlignment="1">
      <alignment horizontal="left" vertical="center" wrapText="1"/>
    </xf>
    <xf numFmtId="49" fontId="19" fillId="0" borderId="0" xfId="0" applyNumberFormat="1" applyFont="1" applyFill="1" applyBorder="1" applyAlignment="1">
      <alignment horizont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0" xfId="0" applyFont="1" applyFill="1" applyBorder="1" applyAlignment="1">
      <alignment horizontal="left" vertical="center"/>
    </xf>
    <xf numFmtId="0" fontId="15" fillId="0" borderId="0" xfId="0" applyFont="1" applyFill="1" applyAlignment="1">
      <alignment horizontal="left" vertical="center" wrapText="1" indent="8"/>
    </xf>
    <xf numFmtId="49" fontId="2" fillId="0" borderId="0" xfId="0" applyNumberFormat="1" applyFont="1" applyFill="1" applyBorder="1" applyAlignment="1">
      <alignment horizont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40" fillId="0" borderId="0" xfId="0" applyFont="1" applyFill="1" applyAlignment="1">
      <alignment horizontal="right" vertical="center" wrapText="1" indent="4"/>
    </xf>
    <xf numFmtId="0" fontId="13" fillId="0" borderId="0" xfId="0" applyFont="1" applyFill="1" applyBorder="1" applyAlignment="1">
      <alignment horizontal="left" vertical="center" wrapText="1"/>
    </xf>
    <xf numFmtId="0" fontId="42" fillId="0" borderId="0" xfId="0" applyFont="1" applyFill="1" applyAlignment="1">
      <alignment horizontal="left" vertical="center" wrapText="1" indent="8"/>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5" xfId="54"/>
    <cellStyle name="Followed Hyperlink" xfId="55"/>
    <cellStyle name="Плохой" xfId="56"/>
    <cellStyle name="Пояснение" xfId="57"/>
    <cellStyle name="Примечание" xfId="58"/>
    <cellStyle name="Percent" xfId="59"/>
    <cellStyle name="Процентный 2" xfId="60"/>
    <cellStyle name="Процентный 2 10" xfId="61"/>
    <cellStyle name="Процентный 2 11" xfId="62"/>
    <cellStyle name="Процентный 2 12" xfId="63"/>
    <cellStyle name="Процентный 2 13" xfId="64"/>
    <cellStyle name="Процентный 2 14" xfId="65"/>
    <cellStyle name="Процентный 2 15" xfId="66"/>
    <cellStyle name="Процентный 2 2" xfId="67"/>
    <cellStyle name="Процентный 2 3" xfId="68"/>
    <cellStyle name="Процентный 2 4" xfId="69"/>
    <cellStyle name="Процентный 2 5" xfId="70"/>
    <cellStyle name="Процентный 2 6" xfId="71"/>
    <cellStyle name="Процентный 2 7" xfId="72"/>
    <cellStyle name="Процентный 2 8" xfId="73"/>
    <cellStyle name="Процентный 2 9" xfId="74"/>
    <cellStyle name="Процентный 5" xfId="75"/>
    <cellStyle name="Связанная ячейка" xfId="76"/>
    <cellStyle name="Текст предупреждения" xfId="77"/>
    <cellStyle name="Comma" xfId="78"/>
    <cellStyle name="Comma [0]" xfId="79"/>
    <cellStyle name="Хороший"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Z235"/>
  <sheetViews>
    <sheetView tabSelected="1" view="pageBreakPreview" zoomScale="65" zoomScaleNormal="40" zoomScaleSheetLayoutView="65" zoomScalePageLayoutView="0" workbookViewId="0" topLeftCell="A1">
      <selection activeCell="F3" sqref="F3:H3"/>
    </sheetView>
  </sheetViews>
  <sheetFormatPr defaultColWidth="9.140625" defaultRowHeight="15"/>
  <cols>
    <col min="1" max="1" width="16.7109375" style="73" customWidth="1"/>
    <col min="2" max="2" width="33.421875" style="135" customWidth="1"/>
    <col min="3" max="3" width="73.7109375" style="138" customWidth="1"/>
    <col min="4" max="4" width="20.7109375" style="73" customWidth="1"/>
    <col min="5" max="5" width="16.7109375" style="74" customWidth="1"/>
    <col min="6" max="6" width="21.140625" style="73" customWidth="1"/>
    <col min="7" max="7" width="20.7109375" style="73" customWidth="1"/>
    <col min="8" max="8" width="22.140625" style="73" customWidth="1"/>
    <col min="9" max="9" width="18.140625" style="73" customWidth="1"/>
    <col min="10" max="10" width="13.421875" style="73" customWidth="1"/>
    <col min="11" max="11" width="14.7109375" style="73" customWidth="1"/>
    <col min="12" max="12" width="15.57421875" style="73" customWidth="1"/>
    <col min="13" max="16384" width="9.140625" style="73" customWidth="1"/>
  </cols>
  <sheetData>
    <row r="1" spans="2:8" s="49" customFormat="1" ht="26.25">
      <c r="B1" s="48"/>
      <c r="C1" s="50"/>
      <c r="E1" s="51"/>
      <c r="F1" s="182" t="s">
        <v>167</v>
      </c>
      <c r="G1" s="182"/>
      <c r="H1" s="182"/>
    </row>
    <row r="2" spans="2:8" s="49" customFormat="1" ht="26.25">
      <c r="B2" s="48"/>
      <c r="C2" s="50"/>
      <c r="E2" s="51"/>
      <c r="F2" s="182" t="s">
        <v>168</v>
      </c>
      <c r="G2" s="182"/>
      <c r="H2" s="182"/>
    </row>
    <row r="3" spans="2:8" s="49" customFormat="1" ht="31.5" customHeight="1">
      <c r="B3" s="48"/>
      <c r="C3" s="50"/>
      <c r="E3" s="51"/>
      <c r="F3" s="204" t="s">
        <v>281</v>
      </c>
      <c r="G3" s="183"/>
      <c r="H3" s="183"/>
    </row>
    <row r="4" spans="1:10" s="56" customFormat="1" ht="48.75" customHeight="1">
      <c r="A4" s="52"/>
      <c r="B4" s="53"/>
      <c r="C4" s="54"/>
      <c r="D4" s="55"/>
      <c r="F4" s="57" t="s">
        <v>10</v>
      </c>
      <c r="G4" s="58"/>
      <c r="H4" s="58"/>
      <c r="I4" s="59"/>
      <c r="J4" s="59"/>
    </row>
    <row r="5" spans="1:10" s="56" customFormat="1" ht="27.75" customHeight="1">
      <c r="A5" s="52"/>
      <c r="B5" s="53"/>
      <c r="C5" s="54"/>
      <c r="D5" s="55"/>
      <c r="F5" s="195" t="s">
        <v>206</v>
      </c>
      <c r="G5" s="195"/>
      <c r="H5" s="195"/>
      <c r="I5" s="59"/>
      <c r="J5" s="59"/>
    </row>
    <row r="6" spans="1:10" s="56" customFormat="1" ht="50.25" customHeight="1">
      <c r="A6" s="52"/>
      <c r="B6" s="53"/>
      <c r="C6" s="54"/>
      <c r="D6" s="55"/>
      <c r="E6" s="60"/>
      <c r="F6" s="195"/>
      <c r="G6" s="195"/>
      <c r="H6" s="195"/>
      <c r="I6" s="59"/>
      <c r="J6" s="59"/>
    </row>
    <row r="7" spans="1:10" s="67" customFormat="1" ht="14.25" customHeight="1">
      <c r="A7" s="61"/>
      <c r="B7" s="62"/>
      <c r="C7" s="63"/>
      <c r="D7" s="64"/>
      <c r="E7" s="65"/>
      <c r="F7" s="65"/>
      <c r="G7" s="190"/>
      <c r="H7" s="190"/>
      <c r="I7" s="66"/>
      <c r="J7" s="66"/>
    </row>
    <row r="8" spans="1:8" s="68" customFormat="1" ht="33" customHeight="1">
      <c r="A8" s="191" t="s">
        <v>203</v>
      </c>
      <c r="B8" s="191"/>
      <c r="C8" s="191"/>
      <c r="D8" s="191"/>
      <c r="E8" s="191"/>
      <c r="F8" s="191"/>
      <c r="G8" s="191"/>
      <c r="H8" s="191"/>
    </row>
    <row r="9" spans="1:7" s="68" customFormat="1" ht="53.25" customHeight="1">
      <c r="A9" s="69"/>
      <c r="B9" s="70"/>
      <c r="C9" s="69"/>
      <c r="D9" s="69"/>
      <c r="F9" s="71"/>
      <c r="G9" s="72" t="s">
        <v>13</v>
      </c>
    </row>
    <row r="10" spans="1:8" s="68" customFormat="1" ht="49.5" customHeight="1">
      <c r="A10" s="186" t="s">
        <v>122</v>
      </c>
      <c r="B10" s="186"/>
      <c r="C10" s="186"/>
      <c r="D10" s="186"/>
      <c r="E10" s="186"/>
      <c r="F10" s="186"/>
      <c r="G10" s="186"/>
      <c r="H10" s="186"/>
    </row>
    <row r="11" spans="2:7" ht="26.25" customHeight="1" thickBot="1">
      <c r="B11" s="194"/>
      <c r="C11" s="194"/>
      <c r="G11" s="75" t="s">
        <v>8</v>
      </c>
    </row>
    <row r="12" spans="1:8" ht="97.5" customHeight="1">
      <c r="A12" s="76" t="s">
        <v>3</v>
      </c>
      <c r="B12" s="77" t="s">
        <v>5</v>
      </c>
      <c r="C12" s="184" t="s">
        <v>7</v>
      </c>
      <c r="D12" s="184" t="s">
        <v>0</v>
      </c>
      <c r="E12" s="187" t="s">
        <v>123</v>
      </c>
      <c r="F12" s="184" t="s">
        <v>11</v>
      </c>
      <c r="G12" s="184" t="s">
        <v>9</v>
      </c>
      <c r="H12" s="192" t="s">
        <v>67</v>
      </c>
    </row>
    <row r="13" spans="1:8" ht="77.25" customHeight="1" thickBot="1">
      <c r="A13" s="164" t="s">
        <v>4</v>
      </c>
      <c r="B13" s="165" t="s">
        <v>6</v>
      </c>
      <c r="C13" s="185"/>
      <c r="D13" s="185"/>
      <c r="E13" s="188"/>
      <c r="F13" s="185"/>
      <c r="G13" s="185"/>
      <c r="H13" s="193"/>
    </row>
    <row r="14" spans="1:8" ht="19.5" customHeight="1" thickBot="1">
      <c r="A14" s="170">
        <v>1</v>
      </c>
      <c r="B14" s="171">
        <v>2</v>
      </c>
      <c r="C14" s="171">
        <v>3</v>
      </c>
      <c r="D14" s="171">
        <v>4</v>
      </c>
      <c r="E14" s="172">
        <v>5</v>
      </c>
      <c r="F14" s="171">
        <v>6</v>
      </c>
      <c r="G14" s="171">
        <v>7</v>
      </c>
      <c r="H14" s="173">
        <v>8</v>
      </c>
    </row>
    <row r="15" spans="1:8" s="78" customFormat="1" ht="26.25" customHeight="1">
      <c r="A15" s="166"/>
      <c r="B15" s="167"/>
      <c r="C15" s="167" t="s">
        <v>12</v>
      </c>
      <c r="D15" s="168">
        <f>SUM(D16+D29+D95+D132+D146+D165+D169+D171+D174+D178+D184+D186+D188)</f>
        <v>450651.158</v>
      </c>
      <c r="E15" s="168"/>
      <c r="F15" s="168">
        <f>SUM(F16+F29+F95+F132+F146+F165+F169+F171+F174+F178+F184+F186+F188)</f>
        <v>369645.85287000006</v>
      </c>
      <c r="G15" s="168">
        <f>SUM(G16+G29+G95+G132+G146+G165+G169+G171+G174+G178+G184+G186+G188)</f>
        <v>114534.01400000002</v>
      </c>
      <c r="H15" s="169"/>
    </row>
    <row r="16" spans="1:16" ht="57.75" customHeight="1">
      <c r="A16" s="79">
        <v>73</v>
      </c>
      <c r="B16" s="80" t="s">
        <v>2</v>
      </c>
      <c r="C16" s="80"/>
      <c r="D16" s="81">
        <f>SUM(D17:D28)</f>
        <v>125563.78699999998</v>
      </c>
      <c r="E16" s="81"/>
      <c r="F16" s="81">
        <f>SUM(F17:F28)</f>
        <v>109685.65098000002</v>
      </c>
      <c r="G16" s="81">
        <f>SUM(G17:G28)</f>
        <v>9771.217999999999</v>
      </c>
      <c r="H16" s="82" t="s">
        <v>76</v>
      </c>
      <c r="I16" s="36"/>
      <c r="J16" s="36"/>
      <c r="K16" s="36"/>
      <c r="L16" s="36"/>
      <c r="M16" s="36"/>
      <c r="N16" s="83"/>
      <c r="O16" s="84"/>
      <c r="P16" s="85"/>
    </row>
    <row r="17" spans="1:16" ht="37.5" customHeight="1">
      <c r="A17" s="86">
        <v>150101</v>
      </c>
      <c r="B17" s="1" t="s">
        <v>1</v>
      </c>
      <c r="C17" s="1" t="s">
        <v>159</v>
      </c>
      <c r="D17" s="87"/>
      <c r="E17" s="87"/>
      <c r="F17" s="87"/>
      <c r="G17" s="87">
        <v>200.404</v>
      </c>
      <c r="H17" s="88" t="s">
        <v>79</v>
      </c>
      <c r="I17" s="37"/>
      <c r="J17" s="37"/>
      <c r="K17" s="37"/>
      <c r="L17" s="37"/>
      <c r="M17" s="37"/>
      <c r="N17" s="89"/>
      <c r="O17" s="90"/>
      <c r="P17" s="85"/>
    </row>
    <row r="18" spans="1:16" ht="39" customHeight="1">
      <c r="A18" s="86">
        <v>150101</v>
      </c>
      <c r="B18" s="1" t="s">
        <v>1</v>
      </c>
      <c r="C18" s="1" t="s">
        <v>27</v>
      </c>
      <c r="D18" s="91">
        <v>8428.076</v>
      </c>
      <c r="E18" s="92">
        <f aca="true" t="shared" si="0" ref="E18:E28">100-(F18/D18)*100</f>
        <v>17.300442473466077</v>
      </c>
      <c r="F18" s="87">
        <f>D18-(2.65228+224.04934+1231.39282)</f>
        <v>6969.981559999999</v>
      </c>
      <c r="G18" s="87">
        <f>532.674+1342.837+2088.752</f>
        <v>3964.263</v>
      </c>
      <c r="H18" s="88" t="s">
        <v>79</v>
      </c>
      <c r="I18" s="93"/>
      <c r="J18" s="93"/>
      <c r="K18" s="93"/>
      <c r="L18" s="93"/>
      <c r="M18" s="93"/>
      <c r="N18" s="94"/>
      <c r="O18" s="95"/>
      <c r="P18" s="85"/>
    </row>
    <row r="19" spans="1:16" ht="60.75" customHeight="1">
      <c r="A19" s="86">
        <v>150101</v>
      </c>
      <c r="B19" s="1" t="s">
        <v>1</v>
      </c>
      <c r="C19" s="1" t="s">
        <v>28</v>
      </c>
      <c r="D19" s="91">
        <v>3836.2</v>
      </c>
      <c r="E19" s="92">
        <f>100-(F19/D19)*100</f>
        <v>0.7438871800219005</v>
      </c>
      <c r="F19" s="91">
        <f>D19-(28.537)</f>
        <v>3807.663</v>
      </c>
      <c r="G19" s="87">
        <v>200</v>
      </c>
      <c r="H19" s="88" t="s">
        <v>79</v>
      </c>
      <c r="I19" s="93"/>
      <c r="J19" s="93"/>
      <c r="K19" s="93"/>
      <c r="L19" s="93"/>
      <c r="M19" s="93"/>
      <c r="N19" s="89"/>
      <c r="O19" s="90"/>
      <c r="P19" s="96"/>
    </row>
    <row r="20" spans="1:12" s="102" customFormat="1" ht="39.75" customHeight="1">
      <c r="A20" s="97">
        <v>150101</v>
      </c>
      <c r="B20" s="2" t="s">
        <v>1</v>
      </c>
      <c r="C20" s="1" t="s">
        <v>169</v>
      </c>
      <c r="D20" s="98">
        <v>286.653</v>
      </c>
      <c r="E20" s="99">
        <f>100-(F20/D20)*100</f>
        <v>95.28454263517213</v>
      </c>
      <c r="F20" s="100">
        <f>SUM(D20-250-23.136)</f>
        <v>13.51700000000002</v>
      </c>
      <c r="G20" s="153">
        <v>13.517</v>
      </c>
      <c r="H20" s="88" t="s">
        <v>79</v>
      </c>
      <c r="I20" s="73"/>
      <c r="J20" s="38"/>
      <c r="K20" s="37"/>
      <c r="L20" s="101"/>
    </row>
    <row r="21" spans="1:19" ht="24" customHeight="1">
      <c r="A21" s="97">
        <v>150101</v>
      </c>
      <c r="B21" s="2" t="s">
        <v>1</v>
      </c>
      <c r="C21" s="1" t="s">
        <v>183</v>
      </c>
      <c r="D21" s="87">
        <f>137.164</f>
        <v>137.164</v>
      </c>
      <c r="E21" s="99">
        <f>100-(F21/D21)*100</f>
        <v>0</v>
      </c>
      <c r="F21" s="87">
        <f>SUM(D21)</f>
        <v>137.164</v>
      </c>
      <c r="G21" s="162">
        <v>137.164</v>
      </c>
      <c r="H21" s="88" t="s">
        <v>79</v>
      </c>
      <c r="I21" s="37"/>
      <c r="J21" s="38"/>
      <c r="K21" s="37"/>
      <c r="L21" s="89"/>
      <c r="M21" s="103"/>
      <c r="N21" s="37"/>
      <c r="O21" s="37"/>
      <c r="P21" s="37"/>
      <c r="Q21" s="89"/>
      <c r="R21" s="90"/>
      <c r="S21" s="85"/>
    </row>
    <row r="22" spans="1:16" ht="94.5" customHeight="1">
      <c r="A22" s="86">
        <v>150121</v>
      </c>
      <c r="B22" s="142" t="s">
        <v>29</v>
      </c>
      <c r="C22" s="1" t="s">
        <v>158</v>
      </c>
      <c r="D22" s="91">
        <v>14110.057</v>
      </c>
      <c r="E22" s="92">
        <f>100-(F22/D22)*100</f>
        <v>15.856992356586503</v>
      </c>
      <c r="F22" s="91">
        <f>D22-(56.35656+1000+570.604+271.5277+338.9424)</f>
        <v>11872.62634</v>
      </c>
      <c r="G22" s="91">
        <f>1677.78+1205.98</f>
        <v>2883.76</v>
      </c>
      <c r="H22" s="88" t="s">
        <v>79</v>
      </c>
      <c r="I22" s="93"/>
      <c r="J22" s="93"/>
      <c r="K22" s="93"/>
      <c r="L22" s="93"/>
      <c r="M22" s="93"/>
      <c r="N22" s="89"/>
      <c r="O22" s="90"/>
      <c r="P22" s="85"/>
    </row>
    <row r="23" spans="1:16" ht="41.25" customHeight="1">
      <c r="A23" s="86">
        <v>150101</v>
      </c>
      <c r="B23" s="1" t="s">
        <v>1</v>
      </c>
      <c r="C23" s="1" t="s">
        <v>124</v>
      </c>
      <c r="D23" s="91">
        <v>4848.886</v>
      </c>
      <c r="E23" s="92">
        <f t="shared" si="0"/>
        <v>87.38717985945637</v>
      </c>
      <c r="F23" s="87">
        <f>SUM(D23-1337.30473-2900)</f>
        <v>611.5812700000006</v>
      </c>
      <c r="G23" s="87">
        <f>22.235+186.656</f>
        <v>208.89100000000002</v>
      </c>
      <c r="H23" s="88" t="s">
        <v>79</v>
      </c>
      <c r="I23" s="93"/>
      <c r="J23" s="93"/>
      <c r="K23" s="93"/>
      <c r="L23" s="93"/>
      <c r="M23" s="93"/>
      <c r="N23" s="94"/>
      <c r="O23" s="95"/>
      <c r="P23" s="85"/>
    </row>
    <row r="24" spans="1:16" ht="43.5" customHeight="1">
      <c r="A24" s="86">
        <v>150101</v>
      </c>
      <c r="B24" s="1" t="s">
        <v>1</v>
      </c>
      <c r="C24" s="2" t="s">
        <v>125</v>
      </c>
      <c r="D24" s="91">
        <v>8469.431</v>
      </c>
      <c r="E24" s="92">
        <f t="shared" si="0"/>
        <v>80.20124634110601</v>
      </c>
      <c r="F24" s="91">
        <f>SUM(D24-1500-1125.399-428.3483-479.307-3259.53492)</f>
        <v>1676.8417800000016</v>
      </c>
      <c r="G24" s="91">
        <v>311.886</v>
      </c>
      <c r="H24" s="88" t="s">
        <v>79</v>
      </c>
      <c r="I24" s="93"/>
      <c r="J24" s="37"/>
      <c r="K24" s="37"/>
      <c r="L24" s="93"/>
      <c r="M24" s="93"/>
      <c r="N24" s="89"/>
      <c r="O24" s="90"/>
      <c r="P24" s="85"/>
    </row>
    <row r="25" spans="1:16" ht="39.75" customHeight="1">
      <c r="A25" s="86">
        <v>150101</v>
      </c>
      <c r="B25" s="1" t="s">
        <v>1</v>
      </c>
      <c r="C25" s="2" t="s">
        <v>126</v>
      </c>
      <c r="D25" s="87">
        <v>40486.207</v>
      </c>
      <c r="E25" s="92">
        <f>100-(F25/D25)*100</f>
        <v>1.106544310263473</v>
      </c>
      <c r="F25" s="87">
        <f>D25-(160+149.35361+138.64421)</f>
        <v>40038.209180000005</v>
      </c>
      <c r="G25" s="87">
        <v>60</v>
      </c>
      <c r="H25" s="88" t="s">
        <v>79</v>
      </c>
      <c r="I25" s="37"/>
      <c r="J25" s="37"/>
      <c r="K25" s="37"/>
      <c r="L25" s="37"/>
      <c r="M25" s="37"/>
      <c r="N25" s="89"/>
      <c r="O25" s="107"/>
      <c r="P25" s="96"/>
    </row>
    <row r="26" spans="1:16" ht="38.25" customHeight="1">
      <c r="A26" s="86">
        <v>150101</v>
      </c>
      <c r="B26" s="1" t="s">
        <v>1</v>
      </c>
      <c r="C26" s="2" t="s">
        <v>30</v>
      </c>
      <c r="D26" s="87">
        <v>41973.922</v>
      </c>
      <c r="E26" s="92">
        <f t="shared" si="0"/>
        <v>0.7238618063854005</v>
      </c>
      <c r="F26" s="87">
        <f>SUM(D26-249.768-46.62-7.44519)</f>
        <v>41670.08881</v>
      </c>
      <c r="G26" s="87">
        <f>524-150</f>
        <v>374</v>
      </c>
      <c r="H26" s="88" t="s">
        <v>79</v>
      </c>
      <c r="I26" s="37"/>
      <c r="J26" s="37"/>
      <c r="K26" s="37"/>
      <c r="L26" s="37"/>
      <c r="M26" s="37"/>
      <c r="N26" s="89"/>
      <c r="O26" s="107"/>
      <c r="P26" s="96"/>
    </row>
    <row r="27" spans="1:16" ht="40.5" customHeight="1">
      <c r="A27" s="86">
        <v>150101</v>
      </c>
      <c r="B27" s="1" t="s">
        <v>1</v>
      </c>
      <c r="C27" s="2" t="s">
        <v>31</v>
      </c>
      <c r="D27" s="87">
        <v>1222.082</v>
      </c>
      <c r="E27" s="92">
        <f t="shared" si="0"/>
        <v>8.118355396773708</v>
      </c>
      <c r="F27" s="87">
        <f>D27-99.21296</f>
        <v>1122.86904</v>
      </c>
      <c r="G27" s="87">
        <v>65</v>
      </c>
      <c r="H27" s="88" t="s">
        <v>79</v>
      </c>
      <c r="I27" s="37"/>
      <c r="J27" s="37"/>
      <c r="K27" s="37"/>
      <c r="L27" s="37"/>
      <c r="M27" s="37"/>
      <c r="N27" s="89"/>
      <c r="O27" s="90"/>
      <c r="P27" s="85"/>
    </row>
    <row r="28" spans="1:16" ht="38.25" customHeight="1">
      <c r="A28" s="86">
        <v>150101</v>
      </c>
      <c r="B28" s="1" t="s">
        <v>1</v>
      </c>
      <c r="C28" s="2" t="s">
        <v>251</v>
      </c>
      <c r="D28" s="87">
        <v>1765.109</v>
      </c>
      <c r="E28" s="92">
        <f t="shared" si="0"/>
        <v>0</v>
      </c>
      <c r="F28" s="87">
        <f>SUM(D28)</f>
        <v>1765.109</v>
      </c>
      <c r="G28" s="87">
        <v>1352.333</v>
      </c>
      <c r="H28" s="88" t="s">
        <v>79</v>
      </c>
      <c r="I28" s="37"/>
      <c r="J28" s="37"/>
      <c r="K28" s="37"/>
      <c r="L28" s="37"/>
      <c r="M28" s="37"/>
      <c r="N28" s="89"/>
      <c r="O28" s="90"/>
      <c r="P28" s="85"/>
    </row>
    <row r="29" spans="1:16" s="110" customFormat="1" ht="75.75" customHeight="1">
      <c r="A29" s="79">
        <v>41</v>
      </c>
      <c r="B29" s="80" t="s">
        <v>32</v>
      </c>
      <c r="C29" s="80" t="s">
        <v>33</v>
      </c>
      <c r="D29" s="81">
        <f>SUM(D30:D94)</f>
        <v>147872.019</v>
      </c>
      <c r="E29" s="81"/>
      <c r="F29" s="81">
        <f>SUM(F30:F94)</f>
        <v>120024.21734</v>
      </c>
      <c r="G29" s="81">
        <f>SUM(G30:G94)</f>
        <v>34603.840000000004</v>
      </c>
      <c r="H29" s="82"/>
      <c r="I29" s="36"/>
      <c r="J29" s="36"/>
      <c r="K29" s="36"/>
      <c r="L29" s="36"/>
      <c r="M29" s="36"/>
      <c r="N29" s="83"/>
      <c r="O29" s="108"/>
      <c r="P29" s="109"/>
    </row>
    <row r="30" spans="1:16" ht="37.5" customHeight="1">
      <c r="A30" s="86">
        <v>150101</v>
      </c>
      <c r="B30" s="1" t="s">
        <v>1</v>
      </c>
      <c r="C30" s="1" t="s">
        <v>34</v>
      </c>
      <c r="D30" s="87">
        <v>33418</v>
      </c>
      <c r="E30" s="92">
        <f aca="true" t="shared" si="1" ref="E30:E57">100-(F30/D30)*100</f>
        <v>67.09543686037466</v>
      </c>
      <c r="F30" s="87">
        <f>D30-(18568.25313+3853.69996)</f>
        <v>10996.046909999997</v>
      </c>
      <c r="G30" s="87">
        <v>1622.458</v>
      </c>
      <c r="H30" s="111"/>
      <c r="I30" s="37"/>
      <c r="J30" s="37"/>
      <c r="K30" s="37"/>
      <c r="L30" s="37"/>
      <c r="M30" s="37"/>
      <c r="N30" s="89"/>
      <c r="O30" s="107"/>
      <c r="P30" s="85"/>
    </row>
    <row r="31" spans="1:18" ht="59.25" customHeight="1">
      <c r="A31" s="86">
        <v>150101</v>
      </c>
      <c r="B31" s="1" t="s">
        <v>1</v>
      </c>
      <c r="C31" s="1" t="s">
        <v>170</v>
      </c>
      <c r="D31" s="87">
        <v>51.997</v>
      </c>
      <c r="E31" s="92">
        <f t="shared" si="1"/>
        <v>0</v>
      </c>
      <c r="F31" s="87">
        <v>51.997</v>
      </c>
      <c r="G31" s="87">
        <v>36</v>
      </c>
      <c r="H31" s="112"/>
      <c r="I31" s="37"/>
      <c r="J31" s="37"/>
      <c r="K31" s="189"/>
      <c r="L31" s="37"/>
      <c r="M31" s="37"/>
      <c r="N31" s="37"/>
      <c r="O31" s="37"/>
      <c r="P31" s="89"/>
      <c r="Q31" s="107"/>
      <c r="R31" s="85"/>
    </row>
    <row r="32" spans="1:18" ht="39.75" customHeight="1">
      <c r="A32" s="86">
        <v>150101</v>
      </c>
      <c r="B32" s="1" t="s">
        <v>1</v>
      </c>
      <c r="C32" s="1" t="s">
        <v>171</v>
      </c>
      <c r="D32" s="87">
        <v>137.018</v>
      </c>
      <c r="E32" s="92">
        <f aca="true" t="shared" si="2" ref="E32:E40">100-(F32/D32)*100</f>
        <v>0</v>
      </c>
      <c r="F32" s="87">
        <v>137.018</v>
      </c>
      <c r="G32" s="87">
        <v>2</v>
      </c>
      <c r="H32" s="112"/>
      <c r="I32" s="37"/>
      <c r="J32" s="37"/>
      <c r="K32" s="189"/>
      <c r="L32" s="37"/>
      <c r="M32" s="37"/>
      <c r="N32" s="37"/>
      <c r="O32" s="37"/>
      <c r="P32" s="89"/>
      <c r="Q32" s="107"/>
      <c r="R32" s="85"/>
    </row>
    <row r="33" spans="1:18" ht="54.75" customHeight="1">
      <c r="A33" s="86">
        <v>150101</v>
      </c>
      <c r="B33" s="1" t="s">
        <v>1</v>
      </c>
      <c r="C33" s="1" t="s">
        <v>172</v>
      </c>
      <c r="D33" s="87">
        <v>44.962</v>
      </c>
      <c r="E33" s="92">
        <f t="shared" si="2"/>
        <v>0</v>
      </c>
      <c r="F33" s="87">
        <v>44.962</v>
      </c>
      <c r="G33" s="87">
        <v>12</v>
      </c>
      <c r="H33" s="112"/>
      <c r="I33" s="37"/>
      <c r="J33" s="37"/>
      <c r="K33" s="189"/>
      <c r="L33" s="37"/>
      <c r="M33" s="37"/>
      <c r="N33" s="37"/>
      <c r="O33" s="37"/>
      <c r="P33" s="89"/>
      <c r="Q33" s="107"/>
      <c r="R33" s="85"/>
    </row>
    <row r="34" spans="1:26" ht="37.5" customHeight="1">
      <c r="A34" s="86">
        <v>150101</v>
      </c>
      <c r="B34" s="1" t="s">
        <v>1</v>
      </c>
      <c r="C34" s="1" t="s">
        <v>198</v>
      </c>
      <c r="D34" s="87">
        <v>999.986</v>
      </c>
      <c r="E34" s="92">
        <f t="shared" si="2"/>
        <v>0</v>
      </c>
      <c r="F34" s="87">
        <f>SUM(D34)</f>
        <v>999.986</v>
      </c>
      <c r="G34" s="87">
        <f>970+29.486</f>
        <v>999.486</v>
      </c>
      <c r="H34" s="111"/>
      <c r="I34" s="37"/>
      <c r="J34" s="37"/>
      <c r="K34" s="156"/>
      <c r="L34" s="37"/>
      <c r="M34" s="37"/>
      <c r="N34" s="37"/>
      <c r="O34" s="37"/>
      <c r="P34" s="37"/>
      <c r="Q34" s="37"/>
      <c r="R34" s="37"/>
      <c r="S34" s="155"/>
      <c r="T34" s="37"/>
      <c r="U34" s="37"/>
      <c r="V34" s="37"/>
      <c r="W34" s="37"/>
      <c r="X34" s="89"/>
      <c r="Y34" s="107"/>
      <c r="Z34" s="85"/>
    </row>
    <row r="35" spans="1:26" ht="36.75" customHeight="1">
      <c r="A35" s="86">
        <v>150101</v>
      </c>
      <c r="B35" s="1" t="s">
        <v>1</v>
      </c>
      <c r="C35" s="1" t="s">
        <v>199</v>
      </c>
      <c r="D35" s="87">
        <v>987.421</v>
      </c>
      <c r="E35" s="92">
        <f t="shared" si="2"/>
        <v>0</v>
      </c>
      <c r="F35" s="87">
        <f>SUM(D35)</f>
        <v>987.421</v>
      </c>
      <c r="G35" s="87">
        <f>940+47.421</f>
        <v>987.421</v>
      </c>
      <c r="H35" s="111"/>
      <c r="I35" s="37"/>
      <c r="J35" s="37"/>
      <c r="K35" s="156"/>
      <c r="L35" s="37"/>
      <c r="M35" s="37"/>
      <c r="N35" s="37"/>
      <c r="O35" s="37"/>
      <c r="P35" s="37"/>
      <c r="Q35" s="37"/>
      <c r="R35" s="37"/>
      <c r="S35" s="155"/>
      <c r="T35" s="37"/>
      <c r="U35" s="37"/>
      <c r="V35" s="37"/>
      <c r="W35" s="37"/>
      <c r="X35" s="89"/>
      <c r="Y35" s="107"/>
      <c r="Z35" s="85"/>
    </row>
    <row r="36" spans="1:26" ht="36.75" customHeight="1">
      <c r="A36" s="86">
        <v>150101</v>
      </c>
      <c r="B36" s="1" t="s">
        <v>1</v>
      </c>
      <c r="C36" s="1" t="s">
        <v>200</v>
      </c>
      <c r="D36" s="87">
        <v>882.103</v>
      </c>
      <c r="E36" s="92">
        <f t="shared" si="2"/>
        <v>0</v>
      </c>
      <c r="F36" s="87">
        <f>SUM(D36)</f>
        <v>882.103</v>
      </c>
      <c r="G36" s="87">
        <v>882.103</v>
      </c>
      <c r="H36" s="111"/>
      <c r="I36" s="37"/>
      <c r="J36" s="37"/>
      <c r="K36" s="156"/>
      <c r="L36" s="37"/>
      <c r="M36" s="37"/>
      <c r="N36" s="37"/>
      <c r="O36" s="37"/>
      <c r="P36" s="37"/>
      <c r="Q36" s="37"/>
      <c r="R36" s="37"/>
      <c r="S36" s="155"/>
      <c r="T36" s="37"/>
      <c r="U36" s="37"/>
      <c r="V36" s="37"/>
      <c r="W36" s="37"/>
      <c r="X36" s="89"/>
      <c r="Y36" s="107"/>
      <c r="Z36" s="85"/>
    </row>
    <row r="37" spans="1:26" ht="41.25" customHeight="1">
      <c r="A37" s="86">
        <v>150101</v>
      </c>
      <c r="B37" s="1" t="s">
        <v>1</v>
      </c>
      <c r="C37" s="1" t="s">
        <v>201</v>
      </c>
      <c r="D37" s="87">
        <v>999.994</v>
      </c>
      <c r="E37" s="92">
        <f t="shared" si="2"/>
        <v>0</v>
      </c>
      <c r="F37" s="87">
        <f>SUM(D37)</f>
        <v>999.994</v>
      </c>
      <c r="G37" s="87">
        <v>999.994</v>
      </c>
      <c r="H37" s="111"/>
      <c r="I37" s="37"/>
      <c r="J37" s="37"/>
      <c r="K37" s="156"/>
      <c r="L37" s="37"/>
      <c r="M37" s="37"/>
      <c r="N37" s="37"/>
      <c r="O37" s="37"/>
      <c r="P37" s="37"/>
      <c r="Q37" s="37"/>
      <c r="R37" s="37"/>
      <c r="S37" s="155"/>
      <c r="T37" s="37"/>
      <c r="U37" s="37"/>
      <c r="V37" s="37"/>
      <c r="W37" s="37"/>
      <c r="X37" s="89"/>
      <c r="Y37" s="107"/>
      <c r="Z37" s="85"/>
    </row>
    <row r="38" spans="1:26" ht="41.25" customHeight="1">
      <c r="A38" s="86">
        <v>150101</v>
      </c>
      <c r="B38" s="1" t="s">
        <v>1</v>
      </c>
      <c r="C38" s="1" t="s">
        <v>202</v>
      </c>
      <c r="D38" s="87">
        <v>999.998</v>
      </c>
      <c r="E38" s="92">
        <f t="shared" si="2"/>
        <v>0</v>
      </c>
      <c r="F38" s="87">
        <f>SUM(D38)</f>
        <v>999.998</v>
      </c>
      <c r="G38" s="87">
        <v>999.998</v>
      </c>
      <c r="H38" s="111"/>
      <c r="I38" s="37"/>
      <c r="J38" s="37"/>
      <c r="K38" s="156"/>
      <c r="L38" s="37"/>
      <c r="M38" s="37"/>
      <c r="N38" s="37"/>
      <c r="O38" s="37"/>
      <c r="P38" s="37"/>
      <c r="Q38" s="37"/>
      <c r="R38" s="37"/>
      <c r="S38" s="155"/>
      <c r="T38" s="37"/>
      <c r="U38" s="37"/>
      <c r="V38" s="37"/>
      <c r="W38" s="37"/>
      <c r="X38" s="89"/>
      <c r="Y38" s="107"/>
      <c r="Z38" s="85"/>
    </row>
    <row r="39" spans="1:18" ht="74.25" customHeight="1">
      <c r="A39" s="86">
        <v>150101</v>
      </c>
      <c r="B39" s="1" t="s">
        <v>1</v>
      </c>
      <c r="C39" s="151" t="s">
        <v>204</v>
      </c>
      <c r="D39" s="87">
        <v>398.792</v>
      </c>
      <c r="E39" s="92">
        <f t="shared" si="2"/>
        <v>0</v>
      </c>
      <c r="F39" s="87">
        <v>398.792</v>
      </c>
      <c r="G39" s="87">
        <v>36.5</v>
      </c>
      <c r="H39" s="112"/>
      <c r="I39" s="37"/>
      <c r="J39" s="37"/>
      <c r="K39" s="37"/>
      <c r="L39" s="37"/>
      <c r="M39" s="37"/>
      <c r="N39" s="37"/>
      <c r="O39" s="37"/>
      <c r="P39" s="37"/>
      <c r="Q39" s="149"/>
      <c r="R39" s="150"/>
    </row>
    <row r="40" spans="1:18" ht="55.5" customHeight="1">
      <c r="A40" s="86">
        <v>150101</v>
      </c>
      <c r="B40" s="1" t="s">
        <v>1</v>
      </c>
      <c r="C40" s="174" t="s">
        <v>280</v>
      </c>
      <c r="D40" s="87">
        <v>18</v>
      </c>
      <c r="E40" s="92">
        <f t="shared" si="2"/>
        <v>0</v>
      </c>
      <c r="F40" s="87">
        <v>18</v>
      </c>
      <c r="G40" s="87">
        <v>18</v>
      </c>
      <c r="H40" s="112"/>
      <c r="I40" s="37"/>
      <c r="J40" s="37"/>
      <c r="K40" s="37"/>
      <c r="L40" s="37"/>
      <c r="M40" s="37"/>
      <c r="N40" s="37"/>
      <c r="O40" s="37"/>
      <c r="P40" s="37"/>
      <c r="Q40" s="149"/>
      <c r="R40" s="150"/>
    </row>
    <row r="41" spans="1:16" ht="40.5" customHeight="1">
      <c r="A41" s="86">
        <v>150101</v>
      </c>
      <c r="B41" s="1" t="s">
        <v>1</v>
      </c>
      <c r="C41" s="2" t="s">
        <v>35</v>
      </c>
      <c r="D41" s="87">
        <v>13492.94</v>
      </c>
      <c r="E41" s="92">
        <f t="shared" si="1"/>
        <v>21.184069594914064</v>
      </c>
      <c r="F41" s="87">
        <f>D41-(2764.6818+93.672)</f>
        <v>10634.586200000002</v>
      </c>
      <c r="G41" s="87">
        <v>50</v>
      </c>
      <c r="H41" s="88" t="s">
        <v>79</v>
      </c>
      <c r="I41" s="37"/>
      <c r="J41" s="37"/>
      <c r="K41" s="37"/>
      <c r="L41" s="37"/>
      <c r="M41" s="37"/>
      <c r="N41" s="89"/>
      <c r="O41" s="113"/>
      <c r="P41" s="96"/>
    </row>
    <row r="42" spans="1:16" ht="39" customHeight="1">
      <c r="A42" s="86">
        <v>150101</v>
      </c>
      <c r="B42" s="1" t="s">
        <v>1</v>
      </c>
      <c r="C42" s="1" t="s">
        <v>127</v>
      </c>
      <c r="D42" s="87">
        <v>5210</v>
      </c>
      <c r="E42" s="92">
        <f>100-(F42/D42)*100</f>
        <v>1.7417963531669756</v>
      </c>
      <c r="F42" s="87">
        <f>D42-90.74759</f>
        <v>5119.25241</v>
      </c>
      <c r="G42" s="87">
        <v>112.926</v>
      </c>
      <c r="H42" s="88" t="s">
        <v>79</v>
      </c>
      <c r="I42" s="37"/>
      <c r="J42" s="37"/>
      <c r="K42" s="37"/>
      <c r="L42" s="37"/>
      <c r="M42" s="37"/>
      <c r="N42" s="89"/>
      <c r="O42" s="90"/>
      <c r="P42" s="96"/>
    </row>
    <row r="43" spans="1:11" ht="25.5" customHeight="1">
      <c r="A43" s="86">
        <v>150101</v>
      </c>
      <c r="B43" s="114" t="s">
        <v>1</v>
      </c>
      <c r="C43" s="1" t="s">
        <v>226</v>
      </c>
      <c r="D43" s="87">
        <v>820.137</v>
      </c>
      <c r="E43" s="92">
        <f>100-(F43/D43)*100</f>
        <v>0</v>
      </c>
      <c r="F43" s="87">
        <v>820.137</v>
      </c>
      <c r="G43" s="87">
        <v>820.137</v>
      </c>
      <c r="H43" s="115" t="s">
        <v>80</v>
      </c>
      <c r="I43" s="93"/>
      <c r="J43" s="90"/>
      <c r="K43" s="103"/>
    </row>
    <row r="44" spans="1:11" ht="60" customHeight="1">
      <c r="A44" s="86">
        <v>150101</v>
      </c>
      <c r="B44" s="114" t="s">
        <v>1</v>
      </c>
      <c r="C44" s="1" t="s">
        <v>69</v>
      </c>
      <c r="D44" s="87">
        <v>329</v>
      </c>
      <c r="E44" s="92">
        <f>100-(F44/D44)*100</f>
        <v>0</v>
      </c>
      <c r="F44" s="87">
        <v>329</v>
      </c>
      <c r="G44" s="87">
        <v>329</v>
      </c>
      <c r="H44" s="88" t="s">
        <v>79</v>
      </c>
      <c r="I44" s="93"/>
      <c r="J44" s="89"/>
      <c r="K44" s="103"/>
    </row>
    <row r="45" spans="1:16" ht="41.25" customHeight="1">
      <c r="A45" s="86">
        <v>150101</v>
      </c>
      <c r="B45" s="1" t="s">
        <v>1</v>
      </c>
      <c r="C45" s="1" t="s">
        <v>70</v>
      </c>
      <c r="D45" s="87">
        <v>465</v>
      </c>
      <c r="E45" s="92">
        <f t="shared" si="1"/>
        <v>46.5410752688172</v>
      </c>
      <c r="F45" s="87">
        <f>D45-(79.512+136.904)</f>
        <v>248.584</v>
      </c>
      <c r="G45" s="87">
        <v>248.584</v>
      </c>
      <c r="H45" s="88" t="s">
        <v>79</v>
      </c>
      <c r="I45" s="37"/>
      <c r="J45" s="37"/>
      <c r="K45" s="37"/>
      <c r="L45" s="37"/>
      <c r="M45" s="37"/>
      <c r="N45" s="89"/>
      <c r="O45" s="90"/>
      <c r="P45" s="85"/>
    </row>
    <row r="46" spans="1:11" ht="40.5" customHeight="1">
      <c r="A46" s="86">
        <v>150101</v>
      </c>
      <c r="B46" s="114" t="s">
        <v>1</v>
      </c>
      <c r="C46" s="1" t="s">
        <v>229</v>
      </c>
      <c r="D46" s="87">
        <v>2925.506</v>
      </c>
      <c r="E46" s="92">
        <f>100-(F46/D46)*100</f>
        <v>0</v>
      </c>
      <c r="F46" s="87">
        <f>D46-0</f>
        <v>2925.506</v>
      </c>
      <c r="G46" s="91">
        <v>100</v>
      </c>
      <c r="H46" s="88" t="s">
        <v>79</v>
      </c>
      <c r="I46" s="93"/>
      <c r="J46" s="89"/>
      <c r="K46" s="103"/>
    </row>
    <row r="47" spans="1:16" ht="57" customHeight="1">
      <c r="A47" s="86">
        <v>150101</v>
      </c>
      <c r="B47" s="1" t="s">
        <v>1</v>
      </c>
      <c r="C47" s="1" t="s">
        <v>208</v>
      </c>
      <c r="D47" s="87">
        <v>997.202</v>
      </c>
      <c r="E47" s="92">
        <f t="shared" si="1"/>
        <v>31.945884585069024</v>
      </c>
      <c r="F47" s="87">
        <f>SUM(D47-318.565)</f>
        <v>678.637</v>
      </c>
      <c r="G47" s="87">
        <f>439.075-15</f>
        <v>424.075</v>
      </c>
      <c r="H47" s="111"/>
      <c r="I47" s="37"/>
      <c r="J47" s="37"/>
      <c r="K47" s="37"/>
      <c r="L47" s="37"/>
      <c r="M47" s="37"/>
      <c r="N47" s="89"/>
      <c r="O47" s="90"/>
      <c r="P47" s="85"/>
    </row>
    <row r="48" spans="1:16" ht="42" customHeight="1">
      <c r="A48" s="86">
        <v>150101</v>
      </c>
      <c r="B48" s="1" t="s">
        <v>1</v>
      </c>
      <c r="C48" s="1" t="s">
        <v>207</v>
      </c>
      <c r="D48" s="87">
        <v>1250.888</v>
      </c>
      <c r="E48" s="92">
        <f t="shared" si="1"/>
        <v>38.226829260493346</v>
      </c>
      <c r="F48" s="87">
        <f>SUM(D48-98.21146-96.41545-283.54791)</f>
        <v>772.71318</v>
      </c>
      <c r="G48" s="87">
        <v>772.713</v>
      </c>
      <c r="H48" s="88" t="s">
        <v>79</v>
      </c>
      <c r="I48" s="37"/>
      <c r="J48" s="37"/>
      <c r="K48" s="37"/>
      <c r="L48" s="37"/>
      <c r="M48" s="37"/>
      <c r="N48" s="89"/>
      <c r="O48" s="90"/>
      <c r="P48" s="85"/>
    </row>
    <row r="49" spans="1:18" ht="40.5" customHeight="1">
      <c r="A49" s="86">
        <v>150101</v>
      </c>
      <c r="B49" s="1" t="s">
        <v>1</v>
      </c>
      <c r="C49" s="1" t="s">
        <v>173</v>
      </c>
      <c r="D49" s="87">
        <f>65.92+28.77</f>
        <v>94.69</v>
      </c>
      <c r="E49" s="92">
        <f t="shared" si="1"/>
        <v>0</v>
      </c>
      <c r="F49" s="87">
        <f>SUM(D49)</f>
        <v>94.69</v>
      </c>
      <c r="G49" s="87">
        <f>65.92+28.77</f>
        <v>94.69</v>
      </c>
      <c r="H49" s="88" t="s">
        <v>79</v>
      </c>
      <c r="I49" s="37"/>
      <c r="J49" s="38"/>
      <c r="K49" s="37"/>
      <c r="L49" s="37"/>
      <c r="M49" s="37"/>
      <c r="N49" s="37"/>
      <c r="O49" s="37"/>
      <c r="P49" s="89"/>
      <c r="Q49" s="90"/>
      <c r="R49" s="85"/>
    </row>
    <row r="50" spans="1:16" ht="40.5" customHeight="1">
      <c r="A50" s="86">
        <v>150101</v>
      </c>
      <c r="B50" s="1" t="s">
        <v>1</v>
      </c>
      <c r="C50" s="1" t="s">
        <v>218</v>
      </c>
      <c r="D50" s="87">
        <f>320+60</f>
        <v>380</v>
      </c>
      <c r="E50" s="92">
        <f t="shared" si="1"/>
        <v>16.18976315789473</v>
      </c>
      <c r="F50" s="87">
        <f>D50-(60+1.5211)</f>
        <v>318.4789</v>
      </c>
      <c r="G50" s="87">
        <f>186.226+72.253+60</f>
        <v>318.479</v>
      </c>
      <c r="H50" s="88" t="s">
        <v>79</v>
      </c>
      <c r="I50" s="37"/>
      <c r="J50" s="37"/>
      <c r="K50" s="37"/>
      <c r="L50" s="37"/>
      <c r="M50" s="37"/>
      <c r="N50" s="89"/>
      <c r="O50" s="90"/>
      <c r="P50" s="85"/>
    </row>
    <row r="51" spans="1:16" ht="39.75" customHeight="1">
      <c r="A51" s="86">
        <v>150101</v>
      </c>
      <c r="B51" s="1" t="s">
        <v>1</v>
      </c>
      <c r="C51" s="1" t="s">
        <v>232</v>
      </c>
      <c r="D51" s="87">
        <v>17355.089</v>
      </c>
      <c r="E51" s="92">
        <f t="shared" si="1"/>
        <v>1.248861357034798</v>
      </c>
      <c r="F51" s="87">
        <v>17138.348</v>
      </c>
      <c r="G51" s="87">
        <f>184.976+35</f>
        <v>219.976</v>
      </c>
      <c r="H51" s="88" t="s">
        <v>79</v>
      </c>
      <c r="I51" s="37"/>
      <c r="J51" s="37"/>
      <c r="K51" s="37"/>
      <c r="L51" s="37"/>
      <c r="M51" s="37"/>
      <c r="N51" s="89"/>
      <c r="O51" s="90"/>
      <c r="P51" s="85"/>
    </row>
    <row r="52" spans="1:16" ht="39" customHeight="1">
      <c r="A52" s="86">
        <v>150101</v>
      </c>
      <c r="B52" s="1" t="s">
        <v>1</v>
      </c>
      <c r="C52" s="1" t="s">
        <v>36</v>
      </c>
      <c r="D52" s="87">
        <f>430+31.406</f>
        <v>461.406</v>
      </c>
      <c r="E52" s="92">
        <f t="shared" si="1"/>
        <v>21.11676051026646</v>
      </c>
      <c r="F52" s="87">
        <f>D52-(60.3528+37.0812)</f>
        <v>363.972</v>
      </c>
      <c r="G52" s="87">
        <f>317.262+15.304+31.406</f>
        <v>363.972</v>
      </c>
      <c r="H52" s="88" t="s">
        <v>79</v>
      </c>
      <c r="I52" s="37"/>
      <c r="J52" s="37"/>
      <c r="K52" s="37"/>
      <c r="L52" s="37"/>
      <c r="M52" s="37"/>
      <c r="N52" s="89"/>
      <c r="O52" s="90"/>
      <c r="P52" s="85"/>
    </row>
    <row r="53" spans="1:16" ht="78" customHeight="1">
      <c r="A53" s="86">
        <v>150101</v>
      </c>
      <c r="B53" s="1" t="s">
        <v>1</v>
      </c>
      <c r="C53" s="1" t="s">
        <v>128</v>
      </c>
      <c r="D53" s="87">
        <v>2800</v>
      </c>
      <c r="E53" s="92">
        <f t="shared" si="1"/>
        <v>3.8084935714285706</v>
      </c>
      <c r="F53" s="87">
        <f>D53-106.63782</f>
        <v>2693.36218</v>
      </c>
      <c r="G53" s="87">
        <f>450-200</f>
        <v>250</v>
      </c>
      <c r="H53" s="88" t="s">
        <v>79</v>
      </c>
      <c r="I53" s="37"/>
      <c r="J53" s="37"/>
      <c r="K53" s="37"/>
      <c r="L53" s="37"/>
      <c r="M53" s="37"/>
      <c r="N53" s="89"/>
      <c r="O53" s="90"/>
      <c r="P53" s="85"/>
    </row>
    <row r="54" spans="1:16" ht="58.5" customHeight="1">
      <c r="A54" s="86">
        <v>150101</v>
      </c>
      <c r="B54" s="1" t="s">
        <v>1</v>
      </c>
      <c r="C54" s="1" t="s">
        <v>37</v>
      </c>
      <c r="D54" s="87">
        <v>4500</v>
      </c>
      <c r="E54" s="92">
        <f t="shared" si="1"/>
        <v>3.7698666666666725</v>
      </c>
      <c r="F54" s="87">
        <f>D54-169.644</f>
        <v>4330.356</v>
      </c>
      <c r="G54" s="87">
        <v>350</v>
      </c>
      <c r="H54" s="88" t="s">
        <v>79</v>
      </c>
      <c r="I54" s="37"/>
      <c r="J54" s="37"/>
      <c r="K54" s="37"/>
      <c r="L54" s="37"/>
      <c r="M54" s="37"/>
      <c r="N54" s="89"/>
      <c r="O54" s="90"/>
      <c r="P54" s="85"/>
    </row>
    <row r="55" spans="1:16" ht="45" customHeight="1">
      <c r="A55" s="86">
        <v>150101</v>
      </c>
      <c r="B55" s="1" t="s">
        <v>1</v>
      </c>
      <c r="C55" s="1" t="s">
        <v>129</v>
      </c>
      <c r="D55" s="87">
        <v>1951.998</v>
      </c>
      <c r="E55" s="92">
        <f t="shared" si="1"/>
        <v>4.2933973293005465</v>
      </c>
      <c r="F55" s="87">
        <f>D55-83.80703</f>
        <v>1868.19097</v>
      </c>
      <c r="G55" s="87">
        <v>150</v>
      </c>
      <c r="H55" s="88" t="s">
        <v>79</v>
      </c>
      <c r="I55" s="37"/>
      <c r="J55" s="37"/>
      <c r="K55" s="37"/>
      <c r="L55" s="37"/>
      <c r="M55" s="37"/>
      <c r="N55" s="89"/>
      <c r="O55" s="90"/>
      <c r="P55" s="85"/>
    </row>
    <row r="56" spans="1:16" ht="38.25" customHeight="1">
      <c r="A56" s="86">
        <v>150101</v>
      </c>
      <c r="B56" s="1" t="s">
        <v>1</v>
      </c>
      <c r="C56" s="1" t="s">
        <v>130</v>
      </c>
      <c r="D56" s="87">
        <v>2037.432</v>
      </c>
      <c r="E56" s="92">
        <f t="shared" si="1"/>
        <v>3.727133960789857</v>
      </c>
      <c r="F56" s="87">
        <f>D56-75.93782</f>
        <v>1961.49418</v>
      </c>
      <c r="G56" s="87">
        <v>500</v>
      </c>
      <c r="H56" s="88" t="s">
        <v>79</v>
      </c>
      <c r="I56" s="37"/>
      <c r="J56" s="37"/>
      <c r="K56" s="37"/>
      <c r="L56" s="37"/>
      <c r="M56" s="37"/>
      <c r="N56" s="89"/>
      <c r="O56" s="90"/>
      <c r="P56" s="85"/>
    </row>
    <row r="57" spans="1:16" ht="42" customHeight="1">
      <c r="A57" s="86">
        <v>150101</v>
      </c>
      <c r="B57" s="1" t="s">
        <v>1</v>
      </c>
      <c r="C57" s="1" t="s">
        <v>131</v>
      </c>
      <c r="D57" s="87">
        <v>325</v>
      </c>
      <c r="E57" s="92">
        <f t="shared" si="1"/>
        <v>0</v>
      </c>
      <c r="F57" s="87">
        <f>D57-0</f>
        <v>325</v>
      </c>
      <c r="G57" s="87">
        <v>325</v>
      </c>
      <c r="H57" s="88" t="s">
        <v>79</v>
      </c>
      <c r="I57" s="37"/>
      <c r="J57" s="37"/>
      <c r="K57" s="37"/>
      <c r="L57" s="37"/>
      <c r="M57" s="37"/>
      <c r="N57" s="89"/>
      <c r="O57" s="90"/>
      <c r="P57" s="96"/>
    </row>
    <row r="58" spans="1:16" ht="56.25" customHeight="1">
      <c r="A58" s="86">
        <v>150101</v>
      </c>
      <c r="B58" s="1" t="s">
        <v>1</v>
      </c>
      <c r="C58" s="1" t="s">
        <v>132</v>
      </c>
      <c r="D58" s="87">
        <v>29998.001</v>
      </c>
      <c r="E58" s="116">
        <v>0</v>
      </c>
      <c r="F58" s="87">
        <v>29998.001</v>
      </c>
      <c r="G58" s="87">
        <f>5000-4996.218+3254.59</f>
        <v>3258.3720000000003</v>
      </c>
      <c r="H58" s="88" t="s">
        <v>79</v>
      </c>
      <c r="I58" s="37"/>
      <c r="J58" s="37"/>
      <c r="K58" s="37"/>
      <c r="L58" s="37"/>
      <c r="M58" s="37"/>
      <c r="N58" s="89"/>
      <c r="O58" s="90"/>
      <c r="P58" s="96"/>
    </row>
    <row r="59" spans="1:16" ht="55.5" customHeight="1">
      <c r="A59" s="86">
        <v>150101</v>
      </c>
      <c r="B59" s="1" t="s">
        <v>1</v>
      </c>
      <c r="C59" s="1" t="s">
        <v>77</v>
      </c>
      <c r="D59" s="87">
        <v>332.8</v>
      </c>
      <c r="E59" s="92">
        <f aca="true" t="shared" si="3" ref="E59:E65">100-(F59/D59)*100</f>
        <v>96.0459735576923</v>
      </c>
      <c r="F59" s="87">
        <v>13.159</v>
      </c>
      <c r="G59" s="87">
        <v>0.426</v>
      </c>
      <c r="H59" s="88" t="s">
        <v>79</v>
      </c>
      <c r="I59" s="37"/>
      <c r="J59" s="37"/>
      <c r="K59" s="37"/>
      <c r="L59" s="37"/>
      <c r="M59" s="37"/>
      <c r="N59" s="89"/>
      <c r="O59" s="90"/>
      <c r="P59" s="85"/>
    </row>
    <row r="60" spans="1:17" ht="42" customHeight="1">
      <c r="A60" s="86">
        <v>150101</v>
      </c>
      <c r="B60" s="1" t="s">
        <v>1</v>
      </c>
      <c r="C60" s="1" t="s">
        <v>177</v>
      </c>
      <c r="D60" s="87">
        <v>6839.924</v>
      </c>
      <c r="E60" s="92">
        <f t="shared" si="3"/>
        <v>2.154147765384522</v>
      </c>
      <c r="F60" s="87">
        <f>D60-147.34207</f>
        <v>6692.58193</v>
      </c>
      <c r="G60" s="87">
        <v>100</v>
      </c>
      <c r="H60" s="88" t="s">
        <v>79</v>
      </c>
      <c r="I60" s="37"/>
      <c r="J60" s="89"/>
      <c r="K60" s="106"/>
      <c r="L60" s="37"/>
      <c r="M60" s="37"/>
      <c r="N60" s="37"/>
      <c r="O60" s="89"/>
      <c r="P60" s="90"/>
      <c r="Q60" s="85"/>
    </row>
    <row r="61" spans="1:16" ht="42" customHeight="1">
      <c r="A61" s="86">
        <v>150101</v>
      </c>
      <c r="B61" s="1" t="s">
        <v>1</v>
      </c>
      <c r="C61" s="1" t="s">
        <v>71</v>
      </c>
      <c r="D61" s="87">
        <v>330</v>
      </c>
      <c r="E61" s="92">
        <f t="shared" si="3"/>
        <v>0</v>
      </c>
      <c r="F61" s="87">
        <f>D61-0</f>
        <v>330</v>
      </c>
      <c r="G61" s="87">
        <v>330</v>
      </c>
      <c r="H61" s="88" t="s">
        <v>79</v>
      </c>
      <c r="I61" s="37"/>
      <c r="J61" s="37"/>
      <c r="K61" s="37"/>
      <c r="L61" s="37"/>
      <c r="M61" s="37"/>
      <c r="N61" s="89"/>
      <c r="O61" s="90"/>
      <c r="P61" s="85"/>
    </row>
    <row r="62" spans="1:16" ht="38.25" customHeight="1">
      <c r="A62" s="86">
        <v>150101</v>
      </c>
      <c r="B62" s="1" t="s">
        <v>1</v>
      </c>
      <c r="C62" s="1" t="s">
        <v>160</v>
      </c>
      <c r="D62" s="87">
        <v>3216.012</v>
      </c>
      <c r="E62" s="92">
        <f t="shared" si="3"/>
        <v>0.10837148617605408</v>
      </c>
      <c r="F62" s="87">
        <f>D62-3.48524</f>
        <v>3212.52676</v>
      </c>
      <c r="G62" s="87">
        <v>3212.527</v>
      </c>
      <c r="H62" s="88" t="s">
        <v>79</v>
      </c>
      <c r="I62" s="37"/>
      <c r="J62" s="37"/>
      <c r="K62" s="37"/>
      <c r="L62" s="37"/>
      <c r="M62" s="37"/>
      <c r="N62" s="89"/>
      <c r="O62" s="90"/>
      <c r="P62" s="85"/>
    </row>
    <row r="63" spans="1:16" ht="26.25" customHeight="1">
      <c r="A63" s="86">
        <v>150101</v>
      </c>
      <c r="B63" s="1" t="s">
        <v>1</v>
      </c>
      <c r="C63" s="1" t="s">
        <v>38</v>
      </c>
      <c r="D63" s="87">
        <v>1600.549</v>
      </c>
      <c r="E63" s="92">
        <f t="shared" si="3"/>
        <v>0.6112277724705706</v>
      </c>
      <c r="F63" s="87">
        <v>1590.766</v>
      </c>
      <c r="G63" s="87">
        <v>1590.766</v>
      </c>
      <c r="H63" s="88" t="s">
        <v>79</v>
      </c>
      <c r="I63" s="37"/>
      <c r="J63" s="37"/>
      <c r="K63" s="37"/>
      <c r="L63" s="37"/>
      <c r="M63" s="37"/>
      <c r="N63" s="89"/>
      <c r="O63" s="90"/>
      <c r="P63" s="85"/>
    </row>
    <row r="64" spans="1:16" ht="41.25" customHeight="1">
      <c r="A64" s="118">
        <v>150101</v>
      </c>
      <c r="B64" s="2" t="s">
        <v>1</v>
      </c>
      <c r="C64" s="2" t="s">
        <v>133</v>
      </c>
      <c r="D64" s="98">
        <v>205.17</v>
      </c>
      <c r="E64" s="105">
        <f t="shared" si="3"/>
        <v>0</v>
      </c>
      <c r="F64" s="98">
        <f>SUM(D64)</f>
        <v>205.17</v>
      </c>
      <c r="G64" s="87">
        <v>33.408</v>
      </c>
      <c r="H64" s="111"/>
      <c r="I64" s="37"/>
      <c r="J64" s="37"/>
      <c r="K64" s="37"/>
      <c r="L64" s="37"/>
      <c r="M64" s="37"/>
      <c r="N64" s="89"/>
      <c r="O64" s="90"/>
      <c r="P64" s="85"/>
    </row>
    <row r="65" spans="1:16" ht="59.25" customHeight="1">
      <c r="A65" s="118">
        <v>150101</v>
      </c>
      <c r="B65" s="2" t="s">
        <v>1</v>
      </c>
      <c r="C65" s="2" t="s">
        <v>134</v>
      </c>
      <c r="D65" s="98">
        <v>169.307</v>
      </c>
      <c r="E65" s="105">
        <f t="shared" si="3"/>
        <v>0</v>
      </c>
      <c r="F65" s="98">
        <f>SUM(D65)</f>
        <v>169.307</v>
      </c>
      <c r="G65" s="87">
        <v>169.215</v>
      </c>
      <c r="H65" s="111"/>
      <c r="I65" s="37"/>
      <c r="J65" s="37"/>
      <c r="K65" s="37"/>
      <c r="L65" s="37"/>
      <c r="M65" s="37"/>
      <c r="N65" s="89"/>
      <c r="O65" s="90"/>
      <c r="P65" s="85"/>
    </row>
    <row r="66" spans="1:16" ht="37.5" customHeight="1">
      <c r="A66" s="118">
        <v>150101</v>
      </c>
      <c r="B66" s="2" t="s">
        <v>1</v>
      </c>
      <c r="C66" s="174" t="s">
        <v>270</v>
      </c>
      <c r="D66" s="98">
        <v>20.278</v>
      </c>
      <c r="E66" s="105">
        <f aca="true" t="shared" si="4" ref="E66:E75">100-(F66/D66)*100</f>
        <v>0</v>
      </c>
      <c r="F66" s="98">
        <f aca="true" t="shared" si="5" ref="F66:F75">SUM(D66)</f>
        <v>20.278</v>
      </c>
      <c r="G66" s="87">
        <v>15</v>
      </c>
      <c r="H66" s="111"/>
      <c r="I66" s="37"/>
      <c r="J66" s="37"/>
      <c r="K66" s="37"/>
      <c r="L66" s="37"/>
      <c r="M66" s="37"/>
      <c r="N66" s="89"/>
      <c r="O66" s="90"/>
      <c r="P66" s="85"/>
    </row>
    <row r="67" spans="1:16" ht="37.5" customHeight="1">
      <c r="A67" s="118">
        <v>150101</v>
      </c>
      <c r="B67" s="2" t="s">
        <v>1</v>
      </c>
      <c r="C67" s="174" t="s">
        <v>271</v>
      </c>
      <c r="D67" s="98">
        <v>21.328</v>
      </c>
      <c r="E67" s="105">
        <f t="shared" si="4"/>
        <v>0</v>
      </c>
      <c r="F67" s="98">
        <f t="shared" si="5"/>
        <v>21.328</v>
      </c>
      <c r="G67" s="87">
        <v>15</v>
      </c>
      <c r="H67" s="111"/>
      <c r="I67" s="37"/>
      <c r="J67" s="37"/>
      <c r="K67" s="37"/>
      <c r="L67" s="37"/>
      <c r="M67" s="37"/>
      <c r="N67" s="89"/>
      <c r="O67" s="90"/>
      <c r="P67" s="85"/>
    </row>
    <row r="68" spans="1:16" ht="37.5" customHeight="1">
      <c r="A68" s="118">
        <v>150101</v>
      </c>
      <c r="B68" s="2" t="s">
        <v>1</v>
      </c>
      <c r="C68" s="174" t="s">
        <v>272</v>
      </c>
      <c r="D68" s="98">
        <v>24.608</v>
      </c>
      <c r="E68" s="105">
        <f t="shared" si="4"/>
        <v>0</v>
      </c>
      <c r="F68" s="98">
        <f t="shared" si="5"/>
        <v>24.608</v>
      </c>
      <c r="G68" s="87">
        <v>15</v>
      </c>
      <c r="H68" s="111"/>
      <c r="I68" s="37"/>
      <c r="J68" s="37"/>
      <c r="K68" s="37"/>
      <c r="L68" s="37"/>
      <c r="M68" s="37"/>
      <c r="N68" s="89"/>
      <c r="O68" s="90"/>
      <c r="P68" s="85"/>
    </row>
    <row r="69" spans="1:16" ht="37.5" customHeight="1">
      <c r="A69" s="118">
        <v>150101</v>
      </c>
      <c r="B69" s="2" t="s">
        <v>1</v>
      </c>
      <c r="C69" s="174" t="s">
        <v>273</v>
      </c>
      <c r="D69" s="98">
        <v>27.555</v>
      </c>
      <c r="E69" s="105">
        <f t="shared" si="4"/>
        <v>0</v>
      </c>
      <c r="F69" s="98">
        <f t="shared" si="5"/>
        <v>27.555</v>
      </c>
      <c r="G69" s="87">
        <v>15</v>
      </c>
      <c r="H69" s="111"/>
      <c r="I69" s="37"/>
      <c r="J69" s="37"/>
      <c r="K69" s="37"/>
      <c r="L69" s="37"/>
      <c r="M69" s="37"/>
      <c r="N69" s="89"/>
      <c r="O69" s="90"/>
      <c r="P69" s="85"/>
    </row>
    <row r="70" spans="1:16" ht="37.5" customHeight="1">
      <c r="A70" s="118">
        <v>150101</v>
      </c>
      <c r="B70" s="2" t="s">
        <v>1</v>
      </c>
      <c r="C70" s="174" t="s">
        <v>274</v>
      </c>
      <c r="D70" s="98">
        <v>26.655</v>
      </c>
      <c r="E70" s="105">
        <f t="shared" si="4"/>
        <v>0</v>
      </c>
      <c r="F70" s="98">
        <f t="shared" si="5"/>
        <v>26.655</v>
      </c>
      <c r="G70" s="87">
        <v>15</v>
      </c>
      <c r="H70" s="111"/>
      <c r="I70" s="37"/>
      <c r="J70" s="37"/>
      <c r="K70" s="37"/>
      <c r="L70" s="37"/>
      <c r="M70" s="37"/>
      <c r="N70" s="89"/>
      <c r="O70" s="90"/>
      <c r="P70" s="85"/>
    </row>
    <row r="71" spans="1:16" ht="37.5" customHeight="1">
      <c r="A71" s="118">
        <v>150101</v>
      </c>
      <c r="B71" s="2" t="s">
        <v>1</v>
      </c>
      <c r="C71" s="174" t="s">
        <v>275</v>
      </c>
      <c r="D71" s="98">
        <v>16.744</v>
      </c>
      <c r="E71" s="105">
        <f t="shared" si="4"/>
        <v>0</v>
      </c>
      <c r="F71" s="98">
        <f t="shared" si="5"/>
        <v>16.744</v>
      </c>
      <c r="G71" s="87">
        <v>15</v>
      </c>
      <c r="H71" s="111"/>
      <c r="I71" s="37"/>
      <c r="J71" s="37"/>
      <c r="K71" s="37"/>
      <c r="L71" s="37"/>
      <c r="M71" s="37"/>
      <c r="N71" s="89"/>
      <c r="O71" s="90"/>
      <c r="P71" s="85"/>
    </row>
    <row r="72" spans="1:16" ht="37.5" customHeight="1">
      <c r="A72" s="118">
        <v>150101</v>
      </c>
      <c r="B72" s="2" t="s">
        <v>1</v>
      </c>
      <c r="C72" s="174" t="s">
        <v>276</v>
      </c>
      <c r="D72" s="98">
        <v>16.114</v>
      </c>
      <c r="E72" s="105">
        <f t="shared" si="4"/>
        <v>0</v>
      </c>
      <c r="F72" s="98">
        <f t="shared" si="5"/>
        <v>16.114</v>
      </c>
      <c r="G72" s="87">
        <v>16</v>
      </c>
      <c r="H72" s="111"/>
      <c r="I72" s="37"/>
      <c r="J72" s="37"/>
      <c r="K72" s="37"/>
      <c r="L72" s="37"/>
      <c r="M72" s="37"/>
      <c r="N72" s="89"/>
      <c r="O72" s="90"/>
      <c r="P72" s="85"/>
    </row>
    <row r="73" spans="1:16" ht="37.5" customHeight="1">
      <c r="A73" s="118">
        <v>150101</v>
      </c>
      <c r="B73" s="2" t="s">
        <v>1</v>
      </c>
      <c r="C73" s="174" t="s">
        <v>277</v>
      </c>
      <c r="D73" s="98">
        <v>25.955</v>
      </c>
      <c r="E73" s="105">
        <f t="shared" si="4"/>
        <v>0</v>
      </c>
      <c r="F73" s="98">
        <f t="shared" si="5"/>
        <v>25.955</v>
      </c>
      <c r="G73" s="87">
        <v>17</v>
      </c>
      <c r="H73" s="111"/>
      <c r="I73" s="37"/>
      <c r="J73" s="37"/>
      <c r="K73" s="37"/>
      <c r="L73" s="37"/>
      <c r="M73" s="37"/>
      <c r="N73" s="89"/>
      <c r="O73" s="90"/>
      <c r="P73" s="85"/>
    </row>
    <row r="74" spans="1:16" ht="37.5" customHeight="1">
      <c r="A74" s="118">
        <v>150101</v>
      </c>
      <c r="B74" s="2" t="s">
        <v>1</v>
      </c>
      <c r="C74" s="174" t="s">
        <v>278</v>
      </c>
      <c r="D74" s="98">
        <v>23.873</v>
      </c>
      <c r="E74" s="105">
        <f t="shared" si="4"/>
        <v>0</v>
      </c>
      <c r="F74" s="98">
        <f t="shared" si="5"/>
        <v>23.873</v>
      </c>
      <c r="G74" s="87">
        <v>15</v>
      </c>
      <c r="H74" s="111"/>
      <c r="I74" s="37"/>
      <c r="J74" s="37"/>
      <c r="K74" s="37"/>
      <c r="L74" s="37"/>
      <c r="M74" s="37"/>
      <c r="N74" s="89"/>
      <c r="O74" s="90"/>
      <c r="P74" s="85"/>
    </row>
    <row r="75" spans="1:16" ht="37.5" customHeight="1">
      <c r="A75" s="118">
        <v>150101</v>
      </c>
      <c r="B75" s="2" t="s">
        <v>1</v>
      </c>
      <c r="C75" s="174" t="s">
        <v>279</v>
      </c>
      <c r="D75" s="98">
        <v>16.014</v>
      </c>
      <c r="E75" s="105">
        <f t="shared" si="4"/>
        <v>0</v>
      </c>
      <c r="F75" s="98">
        <f t="shared" si="5"/>
        <v>16.014</v>
      </c>
      <c r="G75" s="87">
        <v>15</v>
      </c>
      <c r="H75" s="111"/>
      <c r="I75" s="37"/>
      <c r="J75" s="37"/>
      <c r="K75" s="37"/>
      <c r="L75" s="37"/>
      <c r="M75" s="37"/>
      <c r="N75" s="89"/>
      <c r="O75" s="90"/>
      <c r="P75" s="85"/>
    </row>
    <row r="76" spans="1:16" ht="40.5" customHeight="1">
      <c r="A76" s="118">
        <v>150101</v>
      </c>
      <c r="B76" s="2" t="s">
        <v>1</v>
      </c>
      <c r="C76" s="2" t="s">
        <v>256</v>
      </c>
      <c r="D76" s="98">
        <v>150</v>
      </c>
      <c r="E76" s="105">
        <f aca="true" t="shared" si="6" ref="E76:E86">100-(F76/D76)*100</f>
        <v>0</v>
      </c>
      <c r="F76" s="98">
        <f aca="true" t="shared" si="7" ref="F76:F84">SUM(D76)</f>
        <v>150</v>
      </c>
      <c r="G76" s="87">
        <v>150</v>
      </c>
      <c r="H76" s="111"/>
      <c r="I76" s="37"/>
      <c r="J76" s="37"/>
      <c r="K76" s="37"/>
      <c r="L76" s="37"/>
      <c r="M76" s="37"/>
      <c r="N76" s="89"/>
      <c r="O76" s="90"/>
      <c r="P76" s="85"/>
    </row>
    <row r="77" spans="1:16" ht="40.5" customHeight="1">
      <c r="A77" s="118">
        <v>150101</v>
      </c>
      <c r="B77" s="2" t="s">
        <v>1</v>
      </c>
      <c r="C77" s="2" t="s">
        <v>257</v>
      </c>
      <c r="D77" s="98">
        <v>200</v>
      </c>
      <c r="E77" s="105">
        <f t="shared" si="6"/>
        <v>0</v>
      </c>
      <c r="F77" s="98">
        <f t="shared" si="7"/>
        <v>200</v>
      </c>
      <c r="G77" s="87">
        <v>200</v>
      </c>
      <c r="H77" s="111"/>
      <c r="I77" s="37"/>
      <c r="J77" s="37"/>
      <c r="K77" s="37"/>
      <c r="L77" s="37"/>
      <c r="M77" s="37"/>
      <c r="N77" s="89"/>
      <c r="O77" s="90"/>
      <c r="P77" s="85"/>
    </row>
    <row r="78" spans="1:16" ht="40.5" customHeight="1">
      <c r="A78" s="118">
        <v>150101</v>
      </c>
      <c r="B78" s="2" t="s">
        <v>1</v>
      </c>
      <c r="C78" s="2" t="s">
        <v>258</v>
      </c>
      <c r="D78" s="98">
        <v>300</v>
      </c>
      <c r="E78" s="105">
        <f t="shared" si="6"/>
        <v>0</v>
      </c>
      <c r="F78" s="98">
        <f t="shared" si="7"/>
        <v>300</v>
      </c>
      <c r="G78" s="87">
        <v>300</v>
      </c>
      <c r="H78" s="111"/>
      <c r="I78" s="37"/>
      <c r="J78" s="37"/>
      <c r="K78" s="37"/>
      <c r="L78" s="37"/>
      <c r="M78" s="37"/>
      <c r="N78" s="89"/>
      <c r="O78" s="90"/>
      <c r="P78" s="85"/>
    </row>
    <row r="79" spans="1:16" ht="40.5" customHeight="1">
      <c r="A79" s="118">
        <v>150101</v>
      </c>
      <c r="B79" s="2" t="s">
        <v>1</v>
      </c>
      <c r="C79" s="2" t="s">
        <v>259</v>
      </c>
      <c r="D79" s="98">
        <v>100</v>
      </c>
      <c r="E79" s="105">
        <f t="shared" si="6"/>
        <v>0</v>
      </c>
      <c r="F79" s="98">
        <f t="shared" si="7"/>
        <v>100</v>
      </c>
      <c r="G79" s="87">
        <v>100</v>
      </c>
      <c r="H79" s="111"/>
      <c r="I79" s="37"/>
      <c r="J79" s="37"/>
      <c r="K79" s="37"/>
      <c r="L79" s="37"/>
      <c r="M79" s="37"/>
      <c r="N79" s="89"/>
      <c r="O79" s="90"/>
      <c r="P79" s="85"/>
    </row>
    <row r="80" spans="1:16" ht="59.25" customHeight="1">
      <c r="A80" s="118">
        <v>150101</v>
      </c>
      <c r="B80" s="2" t="s">
        <v>1</v>
      </c>
      <c r="C80" s="2" t="s">
        <v>260</v>
      </c>
      <c r="D80" s="98">
        <v>20.184</v>
      </c>
      <c r="E80" s="105">
        <f t="shared" si="6"/>
        <v>0</v>
      </c>
      <c r="F80" s="98">
        <f t="shared" si="7"/>
        <v>20.184</v>
      </c>
      <c r="G80" s="87">
        <v>20.184</v>
      </c>
      <c r="H80" s="111"/>
      <c r="I80" s="37"/>
      <c r="J80" s="37"/>
      <c r="K80" s="37"/>
      <c r="L80" s="37"/>
      <c r="M80" s="37"/>
      <c r="N80" s="89"/>
      <c r="O80" s="90"/>
      <c r="P80" s="85"/>
    </row>
    <row r="81" spans="1:16" ht="59.25" customHeight="1">
      <c r="A81" s="118">
        <v>150101</v>
      </c>
      <c r="B81" s="2" t="s">
        <v>1</v>
      </c>
      <c r="C81" s="2" t="s">
        <v>261</v>
      </c>
      <c r="D81" s="98">
        <v>222.588</v>
      </c>
      <c r="E81" s="105">
        <f t="shared" si="6"/>
        <v>0</v>
      </c>
      <c r="F81" s="98">
        <f t="shared" si="7"/>
        <v>222.588</v>
      </c>
      <c r="G81" s="87">
        <v>222.588</v>
      </c>
      <c r="H81" s="88" t="s">
        <v>79</v>
      </c>
      <c r="I81" s="37"/>
      <c r="J81" s="37"/>
      <c r="K81" s="37"/>
      <c r="L81" s="37"/>
      <c r="M81" s="37"/>
      <c r="N81" s="89"/>
      <c r="O81" s="90"/>
      <c r="P81" s="85"/>
    </row>
    <row r="82" spans="1:16" ht="39.75" customHeight="1">
      <c r="A82" s="118">
        <v>150101</v>
      </c>
      <c r="B82" s="2" t="s">
        <v>1</v>
      </c>
      <c r="C82" s="2" t="s">
        <v>262</v>
      </c>
      <c r="D82" s="98">
        <v>24.9</v>
      </c>
      <c r="E82" s="105">
        <f t="shared" si="6"/>
        <v>0</v>
      </c>
      <c r="F82" s="98">
        <f t="shared" si="7"/>
        <v>24.9</v>
      </c>
      <c r="G82" s="87">
        <v>24.9</v>
      </c>
      <c r="H82" s="111"/>
      <c r="I82" s="37"/>
      <c r="J82" s="37"/>
      <c r="K82" s="37"/>
      <c r="L82" s="37"/>
      <c r="M82" s="37"/>
      <c r="N82" s="89"/>
      <c r="O82" s="90"/>
      <c r="P82" s="85"/>
    </row>
    <row r="83" spans="1:16" ht="39.75" customHeight="1">
      <c r="A83" s="118">
        <v>150101</v>
      </c>
      <c r="B83" s="2" t="s">
        <v>1</v>
      </c>
      <c r="C83" s="2" t="s">
        <v>263</v>
      </c>
      <c r="D83" s="98">
        <v>27.18</v>
      </c>
      <c r="E83" s="105">
        <f t="shared" si="6"/>
        <v>0</v>
      </c>
      <c r="F83" s="98">
        <f t="shared" si="7"/>
        <v>27.18</v>
      </c>
      <c r="G83" s="87">
        <v>27.18</v>
      </c>
      <c r="H83" s="111"/>
      <c r="I83" s="37"/>
      <c r="J83" s="37"/>
      <c r="K83" s="37"/>
      <c r="L83" s="37"/>
      <c r="M83" s="37"/>
      <c r="N83" s="89"/>
      <c r="O83" s="90"/>
      <c r="P83" s="85"/>
    </row>
    <row r="84" spans="1:16" ht="39.75" customHeight="1">
      <c r="A84" s="118">
        <v>150101</v>
      </c>
      <c r="B84" s="2" t="s">
        <v>1</v>
      </c>
      <c r="C84" s="2" t="s">
        <v>264</v>
      </c>
      <c r="D84" s="98">
        <v>27.54</v>
      </c>
      <c r="E84" s="105">
        <f t="shared" si="6"/>
        <v>0</v>
      </c>
      <c r="F84" s="98">
        <f t="shared" si="7"/>
        <v>27.54</v>
      </c>
      <c r="G84" s="87">
        <v>27.54</v>
      </c>
      <c r="H84" s="111"/>
      <c r="I84" s="37"/>
      <c r="J84" s="37"/>
      <c r="K84" s="37"/>
      <c r="L84" s="37"/>
      <c r="M84" s="37"/>
      <c r="N84" s="89"/>
      <c r="O84" s="90"/>
      <c r="P84" s="85"/>
    </row>
    <row r="85" spans="1:16" ht="39.75" customHeight="1">
      <c r="A85" s="118">
        <v>150101</v>
      </c>
      <c r="B85" s="2" t="s">
        <v>1</v>
      </c>
      <c r="C85" s="2" t="s">
        <v>265</v>
      </c>
      <c r="D85" s="98">
        <v>8169.181</v>
      </c>
      <c r="E85" s="105">
        <f t="shared" si="6"/>
        <v>2.1007892957690615</v>
      </c>
      <c r="F85" s="98">
        <f>SUM(D85-160.8-10.81728)</f>
        <v>7997.563719999999</v>
      </c>
      <c r="G85" s="87">
        <v>120</v>
      </c>
      <c r="H85" s="88" t="s">
        <v>79</v>
      </c>
      <c r="I85" s="37"/>
      <c r="J85" s="37"/>
      <c r="K85" s="37"/>
      <c r="L85" s="37"/>
      <c r="M85" s="37"/>
      <c r="N85" s="89"/>
      <c r="O85" s="90"/>
      <c r="P85" s="85"/>
    </row>
    <row r="86" spans="1:16" ht="39.75" customHeight="1">
      <c r="A86" s="118">
        <v>150101</v>
      </c>
      <c r="B86" s="2" t="s">
        <v>1</v>
      </c>
      <c r="C86" s="2" t="s">
        <v>266</v>
      </c>
      <c r="D86" s="98">
        <v>300</v>
      </c>
      <c r="E86" s="105">
        <f t="shared" si="6"/>
        <v>0</v>
      </c>
      <c r="F86" s="98">
        <f>SUM(D86)</f>
        <v>300</v>
      </c>
      <c r="G86" s="87">
        <v>300</v>
      </c>
      <c r="H86" s="111"/>
      <c r="I86" s="37"/>
      <c r="J86" s="37"/>
      <c r="K86" s="37"/>
      <c r="L86" s="37"/>
      <c r="M86" s="37"/>
      <c r="N86" s="89"/>
      <c r="O86" s="90"/>
      <c r="P86" s="85"/>
    </row>
    <row r="87" spans="1:16" ht="39.75" customHeight="1">
      <c r="A87" s="118">
        <v>150101</v>
      </c>
      <c r="B87" s="2" t="s">
        <v>1</v>
      </c>
      <c r="C87" s="2" t="s">
        <v>267</v>
      </c>
      <c r="D87" s="98">
        <v>85</v>
      </c>
      <c r="E87" s="105">
        <f>100-(F87/D87)*100</f>
        <v>0</v>
      </c>
      <c r="F87" s="98">
        <f>SUM(D87)</f>
        <v>85</v>
      </c>
      <c r="G87" s="87">
        <v>85</v>
      </c>
      <c r="H87" s="88" t="s">
        <v>79</v>
      </c>
      <c r="I87" s="37"/>
      <c r="J87" s="37"/>
      <c r="K87" s="37"/>
      <c r="L87" s="37"/>
      <c r="M87" s="37"/>
      <c r="N87" s="89"/>
      <c r="O87" s="90"/>
      <c r="P87" s="85"/>
    </row>
    <row r="88" spans="1:16" ht="39.75" customHeight="1">
      <c r="A88" s="118">
        <v>150101</v>
      </c>
      <c r="B88" s="2" t="s">
        <v>1</v>
      </c>
      <c r="C88" s="2" t="s">
        <v>268</v>
      </c>
      <c r="D88" s="98">
        <v>1000</v>
      </c>
      <c r="E88" s="105">
        <f>100-(F88/D88)*100</f>
        <v>0</v>
      </c>
      <c r="F88" s="98">
        <f>SUM(D88)</f>
        <v>1000</v>
      </c>
      <c r="G88" s="87">
        <v>400</v>
      </c>
      <c r="H88" s="111"/>
      <c r="I88" s="37"/>
      <c r="J88" s="37"/>
      <c r="K88" s="37"/>
      <c r="L88" s="37"/>
      <c r="M88" s="37"/>
      <c r="N88" s="89"/>
      <c r="O88" s="90"/>
      <c r="P88" s="85"/>
    </row>
    <row r="89" spans="1:16" ht="25.5" customHeight="1">
      <c r="A89" s="177">
        <v>180409</v>
      </c>
      <c r="B89" s="176" t="s">
        <v>39</v>
      </c>
      <c r="C89" s="178" t="s">
        <v>175</v>
      </c>
      <c r="D89" s="98"/>
      <c r="E89" s="105"/>
      <c r="F89" s="98"/>
      <c r="G89" s="87">
        <v>8399.604</v>
      </c>
      <c r="H89" s="111" t="s">
        <v>180</v>
      </c>
      <c r="I89" s="37"/>
      <c r="J89" s="37"/>
      <c r="K89" s="37"/>
      <c r="L89" s="37"/>
      <c r="M89" s="37"/>
      <c r="N89" s="89"/>
      <c r="O89" s="90"/>
      <c r="P89" s="85"/>
    </row>
    <row r="90" spans="1:16" ht="19.5" customHeight="1">
      <c r="A90" s="177"/>
      <c r="B90" s="176"/>
      <c r="C90" s="178"/>
      <c r="D90" s="98"/>
      <c r="E90" s="105"/>
      <c r="F90" s="98"/>
      <c r="G90" s="87">
        <f>800-84.322</f>
        <v>715.678</v>
      </c>
      <c r="H90" s="111" t="s">
        <v>181</v>
      </c>
      <c r="I90" s="37"/>
      <c r="J90" s="37"/>
      <c r="K90" s="37"/>
      <c r="L90" s="37"/>
      <c r="M90" s="37"/>
      <c r="N90" s="89"/>
      <c r="O90" s="90"/>
      <c r="P90" s="85"/>
    </row>
    <row r="91" spans="1:16" ht="35.25" customHeight="1">
      <c r="A91" s="177"/>
      <c r="B91" s="176"/>
      <c r="C91" s="178"/>
      <c r="D91" s="87"/>
      <c r="E91" s="92"/>
      <c r="F91" s="87"/>
      <c r="G91" s="87">
        <v>990</v>
      </c>
      <c r="H91" s="111" t="s">
        <v>194</v>
      </c>
      <c r="I91" s="37"/>
      <c r="J91" s="37"/>
      <c r="K91" s="37"/>
      <c r="L91" s="37"/>
      <c r="M91" s="37"/>
      <c r="N91" s="89"/>
      <c r="O91" s="90"/>
      <c r="P91" s="85"/>
    </row>
    <row r="92" spans="1:16" ht="95.25" customHeight="1">
      <c r="A92" s="179">
        <v>180409</v>
      </c>
      <c r="B92" s="176" t="s">
        <v>39</v>
      </c>
      <c r="C92" s="178" t="s">
        <v>78</v>
      </c>
      <c r="D92" s="87"/>
      <c r="E92" s="92"/>
      <c r="F92" s="87"/>
      <c r="G92" s="87">
        <v>1125.14</v>
      </c>
      <c r="H92" s="111" t="s">
        <v>193</v>
      </c>
      <c r="I92" s="37"/>
      <c r="J92" s="37"/>
      <c r="K92" s="37"/>
      <c r="L92" s="37"/>
      <c r="M92" s="37"/>
      <c r="N92" s="89"/>
      <c r="O92" s="90"/>
      <c r="P92" s="85"/>
    </row>
    <row r="93" spans="1:16" ht="57.75" customHeight="1">
      <c r="A93" s="179"/>
      <c r="B93" s="176"/>
      <c r="C93" s="178"/>
      <c r="D93" s="87"/>
      <c r="E93" s="92"/>
      <c r="F93" s="87"/>
      <c r="G93" s="87">
        <v>382.8</v>
      </c>
      <c r="H93" s="111" t="s">
        <v>182</v>
      </c>
      <c r="I93" s="37"/>
      <c r="J93" s="37"/>
      <c r="K93" s="37"/>
      <c r="L93" s="37"/>
      <c r="M93" s="37"/>
      <c r="N93" s="89"/>
      <c r="O93" s="90"/>
      <c r="P93" s="85"/>
    </row>
    <row r="94" spans="1:16" ht="26.25" customHeight="1">
      <c r="A94" s="179"/>
      <c r="B94" s="176"/>
      <c r="C94" s="178"/>
      <c r="D94" s="117"/>
      <c r="E94" s="92"/>
      <c r="F94" s="87"/>
      <c r="G94" s="87">
        <v>140</v>
      </c>
      <c r="H94" s="111" t="s">
        <v>80</v>
      </c>
      <c r="I94" s="37"/>
      <c r="J94" s="37"/>
      <c r="K94" s="37"/>
      <c r="L94" s="37"/>
      <c r="M94" s="37"/>
      <c r="N94" s="89"/>
      <c r="O94" s="90"/>
      <c r="P94" s="85"/>
    </row>
    <row r="95" spans="1:16" s="110" customFormat="1" ht="75" customHeight="1">
      <c r="A95" s="79">
        <v>40</v>
      </c>
      <c r="B95" s="80" t="s">
        <v>22</v>
      </c>
      <c r="C95" s="80"/>
      <c r="D95" s="81">
        <f>SUM(D96:D131)</f>
        <v>42272.94099999997</v>
      </c>
      <c r="E95" s="81"/>
      <c r="F95" s="81">
        <f>SUM(F96:F131)</f>
        <v>32416.729120000018</v>
      </c>
      <c r="G95" s="81">
        <f>SUM(G96:G131)</f>
        <v>17719.29399999999</v>
      </c>
      <c r="H95" s="82"/>
      <c r="I95" s="36"/>
      <c r="J95" s="36"/>
      <c r="K95" s="36"/>
      <c r="L95" s="36"/>
      <c r="M95" s="36"/>
      <c r="N95" s="83"/>
      <c r="O95" s="84"/>
      <c r="P95" s="109"/>
    </row>
    <row r="96" spans="1:16" ht="24" customHeight="1">
      <c r="A96" s="86">
        <v>150101</v>
      </c>
      <c r="B96" s="1" t="s">
        <v>1</v>
      </c>
      <c r="C96" s="1" t="s">
        <v>41</v>
      </c>
      <c r="D96" s="91">
        <v>3036.56</v>
      </c>
      <c r="E96" s="92">
        <f aca="true" t="shared" si="8" ref="E96:E121">100-(F96/D96)*100</f>
        <v>30.88672017019259</v>
      </c>
      <c r="F96" s="91">
        <f>D96-(884.915+52.97879)</f>
        <v>2098.66621</v>
      </c>
      <c r="G96" s="91">
        <v>678.935</v>
      </c>
      <c r="H96" s="88" t="s">
        <v>228</v>
      </c>
      <c r="I96" s="93"/>
      <c r="J96" s="93"/>
      <c r="K96" s="93"/>
      <c r="L96" s="93"/>
      <c r="M96" s="93"/>
      <c r="N96" s="89"/>
      <c r="O96" s="90"/>
      <c r="P96" s="85"/>
    </row>
    <row r="97" spans="1:16" ht="37.5" customHeight="1">
      <c r="A97" s="86">
        <v>150101</v>
      </c>
      <c r="B97" s="1" t="s">
        <v>1</v>
      </c>
      <c r="C97" s="1" t="s">
        <v>42</v>
      </c>
      <c r="D97" s="87">
        <v>840</v>
      </c>
      <c r="E97" s="92">
        <f t="shared" si="8"/>
        <v>0</v>
      </c>
      <c r="F97" s="87">
        <f>D97</f>
        <v>840</v>
      </c>
      <c r="G97" s="87">
        <v>840</v>
      </c>
      <c r="H97" s="88" t="s">
        <v>228</v>
      </c>
      <c r="I97" s="37"/>
      <c r="J97" s="37"/>
      <c r="K97" s="37"/>
      <c r="L97" s="37"/>
      <c r="M97" s="37"/>
      <c r="N97" s="89"/>
      <c r="O97" s="90"/>
      <c r="P97" s="85"/>
    </row>
    <row r="98" spans="1:16" ht="56.25" customHeight="1">
      <c r="A98" s="86">
        <v>150101</v>
      </c>
      <c r="B98" s="1" t="s">
        <v>1</v>
      </c>
      <c r="C98" s="1" t="s">
        <v>43</v>
      </c>
      <c r="D98" s="87">
        <v>1512</v>
      </c>
      <c r="E98" s="92">
        <f t="shared" si="8"/>
        <v>33.69751322751323</v>
      </c>
      <c r="F98" s="87">
        <f>D98-509.5064</f>
        <v>1002.4936</v>
      </c>
      <c r="G98" s="87">
        <v>196.381</v>
      </c>
      <c r="H98" s="88" t="s">
        <v>79</v>
      </c>
      <c r="I98" s="37"/>
      <c r="J98" s="37"/>
      <c r="K98" s="37"/>
      <c r="L98" s="37"/>
      <c r="M98" s="37"/>
      <c r="N98" s="89"/>
      <c r="O98" s="90"/>
      <c r="P98" s="85"/>
    </row>
    <row r="99" spans="1:16" ht="25.5" customHeight="1">
      <c r="A99" s="86">
        <v>150101</v>
      </c>
      <c r="B99" s="1" t="s">
        <v>1</v>
      </c>
      <c r="C99" s="1" t="s">
        <v>44</v>
      </c>
      <c r="D99" s="87">
        <v>1761.669</v>
      </c>
      <c r="E99" s="92">
        <f t="shared" si="8"/>
        <v>40.32799237541217</v>
      </c>
      <c r="F99" s="87">
        <f>D99-710.44574</f>
        <v>1051.2232600000002</v>
      </c>
      <c r="G99" s="87">
        <v>254.224</v>
      </c>
      <c r="H99" s="88" t="s">
        <v>228</v>
      </c>
      <c r="I99" s="37"/>
      <c r="J99" s="37"/>
      <c r="K99" s="37"/>
      <c r="L99" s="37"/>
      <c r="M99" s="37"/>
      <c r="N99" s="89"/>
      <c r="O99" s="90"/>
      <c r="P99" s="85"/>
    </row>
    <row r="100" spans="1:16" ht="25.5" customHeight="1">
      <c r="A100" s="86">
        <v>150101</v>
      </c>
      <c r="B100" s="1" t="s">
        <v>1</v>
      </c>
      <c r="C100" s="1" t="s">
        <v>45</v>
      </c>
      <c r="D100" s="87">
        <v>800</v>
      </c>
      <c r="E100" s="92">
        <f t="shared" si="8"/>
        <v>0.27025374999999485</v>
      </c>
      <c r="F100" s="87">
        <f>D100-2.16203</f>
        <v>797.83797</v>
      </c>
      <c r="G100" s="87">
        <v>99.511</v>
      </c>
      <c r="H100" s="88" t="s">
        <v>79</v>
      </c>
      <c r="I100" s="37"/>
      <c r="J100" s="37"/>
      <c r="K100" s="37"/>
      <c r="L100" s="37"/>
      <c r="M100" s="37"/>
      <c r="N100" s="89"/>
      <c r="O100" s="90"/>
      <c r="P100" s="85"/>
    </row>
    <row r="101" spans="1:16" ht="25.5" customHeight="1">
      <c r="A101" s="86">
        <v>150101</v>
      </c>
      <c r="B101" s="1" t="s">
        <v>1</v>
      </c>
      <c r="C101" s="1" t="s">
        <v>46</v>
      </c>
      <c r="D101" s="87">
        <v>1664.934</v>
      </c>
      <c r="E101" s="92">
        <f t="shared" si="8"/>
        <v>0</v>
      </c>
      <c r="F101" s="87">
        <f>D101</f>
        <v>1664.934</v>
      </c>
      <c r="G101" s="87">
        <f>550+44.404</f>
        <v>594.404</v>
      </c>
      <c r="H101" s="88" t="s">
        <v>228</v>
      </c>
      <c r="I101" s="37"/>
      <c r="J101" s="37"/>
      <c r="K101" s="37"/>
      <c r="L101" s="37"/>
      <c r="M101" s="37"/>
      <c r="N101" s="89"/>
      <c r="O101" s="90"/>
      <c r="P101" s="85"/>
    </row>
    <row r="102" spans="1:16" ht="37.5" customHeight="1">
      <c r="A102" s="86">
        <v>150101</v>
      </c>
      <c r="B102" s="1" t="s">
        <v>1</v>
      </c>
      <c r="C102" s="1" t="s">
        <v>47</v>
      </c>
      <c r="D102" s="87">
        <v>1050.483</v>
      </c>
      <c r="E102" s="92">
        <f t="shared" si="8"/>
        <v>0</v>
      </c>
      <c r="F102" s="87">
        <f>D102-0</f>
        <v>1050.483</v>
      </c>
      <c r="G102" s="87">
        <v>1050.483</v>
      </c>
      <c r="H102" s="88" t="s">
        <v>79</v>
      </c>
      <c r="I102" s="37"/>
      <c r="J102" s="37"/>
      <c r="K102" s="37"/>
      <c r="L102" s="37"/>
      <c r="M102" s="37"/>
      <c r="N102" s="89"/>
      <c r="O102" s="90"/>
      <c r="P102" s="85"/>
    </row>
    <row r="103" spans="1:16" ht="37.5" customHeight="1">
      <c r="A103" s="86">
        <v>150101</v>
      </c>
      <c r="B103" s="1" t="s">
        <v>1</v>
      </c>
      <c r="C103" s="1" t="s">
        <v>48</v>
      </c>
      <c r="D103" s="87">
        <v>3231.882</v>
      </c>
      <c r="E103" s="92">
        <f>100-(F103/D103)*100</f>
        <v>66.36832099686808</v>
      </c>
      <c r="F103" s="87">
        <f>1131.882-44.94582</f>
        <v>1086.9361800000001</v>
      </c>
      <c r="G103" s="87">
        <v>575.931</v>
      </c>
      <c r="H103" s="88" t="s">
        <v>228</v>
      </c>
      <c r="I103" s="37"/>
      <c r="J103" s="37"/>
      <c r="K103" s="37"/>
      <c r="L103" s="37"/>
      <c r="M103" s="37"/>
      <c r="N103" s="89"/>
      <c r="O103" s="90"/>
      <c r="P103" s="85"/>
    </row>
    <row r="104" spans="1:16" ht="37.5" customHeight="1">
      <c r="A104" s="86">
        <v>150101</v>
      </c>
      <c r="B104" s="1" t="s">
        <v>1</v>
      </c>
      <c r="C104" s="1" t="s">
        <v>49</v>
      </c>
      <c r="D104" s="87">
        <v>2667.701</v>
      </c>
      <c r="E104" s="92">
        <f t="shared" si="8"/>
        <v>6.489295464521689</v>
      </c>
      <c r="F104" s="87">
        <f>D104-173.115</f>
        <v>2494.5860000000002</v>
      </c>
      <c r="G104" s="87">
        <v>1100</v>
      </c>
      <c r="H104" s="88" t="s">
        <v>84</v>
      </c>
      <c r="I104" s="37"/>
      <c r="J104" s="37"/>
      <c r="K104" s="37"/>
      <c r="L104" s="37"/>
      <c r="M104" s="37"/>
      <c r="N104" s="89"/>
      <c r="O104" s="90"/>
      <c r="P104" s="85"/>
    </row>
    <row r="105" spans="1:16" ht="27" customHeight="1">
      <c r="A105" s="86">
        <v>150101</v>
      </c>
      <c r="B105" s="1" t="s">
        <v>1</v>
      </c>
      <c r="C105" s="2" t="s">
        <v>209</v>
      </c>
      <c r="D105" s="87">
        <v>5000</v>
      </c>
      <c r="E105" s="92">
        <f t="shared" si="8"/>
        <v>0</v>
      </c>
      <c r="F105" s="87">
        <f>D105</f>
        <v>5000</v>
      </c>
      <c r="G105" s="87">
        <v>253.405</v>
      </c>
      <c r="H105" s="88" t="s">
        <v>79</v>
      </c>
      <c r="I105" s="37"/>
      <c r="J105" s="37"/>
      <c r="K105" s="37"/>
      <c r="L105" s="37"/>
      <c r="M105" s="37"/>
      <c r="N105" s="89"/>
      <c r="O105" s="90"/>
      <c r="P105" s="85"/>
    </row>
    <row r="106" spans="1:16" ht="42.75" customHeight="1">
      <c r="A106" s="86">
        <v>150101</v>
      </c>
      <c r="B106" s="1" t="s">
        <v>1</v>
      </c>
      <c r="C106" s="2" t="s">
        <v>50</v>
      </c>
      <c r="D106" s="87">
        <v>3116.841</v>
      </c>
      <c r="E106" s="92">
        <f t="shared" si="8"/>
        <v>2.7912877172752815</v>
      </c>
      <c r="F106" s="87">
        <f>D106-87</f>
        <v>3029.841</v>
      </c>
      <c r="G106" s="87">
        <f>209.114+800+412.555</f>
        <v>1421.669</v>
      </c>
      <c r="H106" s="88" t="s">
        <v>79</v>
      </c>
      <c r="I106" s="37"/>
      <c r="J106" s="37"/>
      <c r="K106" s="37"/>
      <c r="L106" s="37"/>
      <c r="M106" s="37"/>
      <c r="N106" s="89"/>
      <c r="O106" s="90"/>
      <c r="P106" s="85"/>
    </row>
    <row r="107" spans="1:16" ht="44.25" customHeight="1">
      <c r="A107" s="86">
        <v>150101</v>
      </c>
      <c r="B107" s="1" t="s">
        <v>1</v>
      </c>
      <c r="C107" s="2" t="s">
        <v>161</v>
      </c>
      <c r="D107" s="87">
        <v>822.602</v>
      </c>
      <c r="E107" s="92">
        <f t="shared" si="8"/>
        <v>56.382807238494436</v>
      </c>
      <c r="F107" s="87">
        <f>SUM(D107-463.8061)</f>
        <v>358.79589999999996</v>
      </c>
      <c r="G107" s="87">
        <v>358.796</v>
      </c>
      <c r="H107" s="88" t="s">
        <v>228</v>
      </c>
      <c r="I107" s="37"/>
      <c r="J107" s="37"/>
      <c r="K107" s="37"/>
      <c r="L107" s="37"/>
      <c r="M107" s="37"/>
      <c r="N107" s="89"/>
      <c r="O107" s="90"/>
      <c r="P107" s="85"/>
    </row>
    <row r="108" spans="1:16" ht="40.5" customHeight="1">
      <c r="A108" s="86">
        <v>150101</v>
      </c>
      <c r="B108" s="1" t="s">
        <v>1</v>
      </c>
      <c r="C108" s="2" t="s">
        <v>135</v>
      </c>
      <c r="D108" s="87">
        <v>480.88</v>
      </c>
      <c r="E108" s="92">
        <f t="shared" si="8"/>
        <v>38.585925802695066</v>
      </c>
      <c r="F108" s="87">
        <v>295.328</v>
      </c>
      <c r="G108" s="87">
        <f>277.274+18.054</f>
        <v>295.328</v>
      </c>
      <c r="H108" s="88" t="s">
        <v>228</v>
      </c>
      <c r="I108" s="37"/>
      <c r="J108" s="37"/>
      <c r="K108" s="37"/>
      <c r="L108" s="37"/>
      <c r="M108" s="37"/>
      <c r="N108" s="89"/>
      <c r="O108" s="90"/>
      <c r="P108" s="85"/>
    </row>
    <row r="109" spans="1:16" ht="24.75" customHeight="1">
      <c r="A109" s="86">
        <v>150101</v>
      </c>
      <c r="B109" s="1" t="s">
        <v>1</v>
      </c>
      <c r="C109" s="2" t="s">
        <v>51</v>
      </c>
      <c r="D109" s="87">
        <v>1062</v>
      </c>
      <c r="E109" s="92">
        <f t="shared" si="8"/>
        <v>50.847457627118644</v>
      </c>
      <c r="F109" s="87">
        <v>522</v>
      </c>
      <c r="G109" s="87">
        <v>461.143</v>
      </c>
      <c r="H109" s="88" t="s">
        <v>228</v>
      </c>
      <c r="I109" s="37"/>
      <c r="J109" s="37"/>
      <c r="K109" s="37"/>
      <c r="L109" s="37"/>
      <c r="M109" s="37"/>
      <c r="N109" s="89"/>
      <c r="O109" s="90"/>
      <c r="P109" s="85"/>
    </row>
    <row r="110" spans="1:16" ht="25.5" customHeight="1">
      <c r="A110" s="86">
        <v>150101</v>
      </c>
      <c r="B110" s="1" t="s">
        <v>1</v>
      </c>
      <c r="C110" s="2" t="s">
        <v>52</v>
      </c>
      <c r="D110" s="87">
        <v>1366.871</v>
      </c>
      <c r="E110" s="92">
        <f t="shared" si="8"/>
        <v>83.2401155632097</v>
      </c>
      <c r="F110" s="87">
        <v>229.086</v>
      </c>
      <c r="G110" s="87">
        <v>14.595</v>
      </c>
      <c r="H110" s="88" t="s">
        <v>228</v>
      </c>
      <c r="I110" s="37"/>
      <c r="J110" s="37"/>
      <c r="K110" s="37"/>
      <c r="L110" s="37"/>
      <c r="M110" s="37"/>
      <c r="N110" s="89"/>
      <c r="O110" s="90"/>
      <c r="P110" s="85"/>
    </row>
    <row r="111" spans="1:16" ht="40.5" customHeight="1">
      <c r="A111" s="86">
        <v>150101</v>
      </c>
      <c r="B111" s="1" t="s">
        <v>1</v>
      </c>
      <c r="C111" s="2" t="s">
        <v>53</v>
      </c>
      <c r="D111" s="87">
        <v>2664.013</v>
      </c>
      <c r="E111" s="92">
        <f t="shared" si="8"/>
        <v>52.10826673893858</v>
      </c>
      <c r="F111" s="87">
        <v>1275.842</v>
      </c>
      <c r="G111" s="87">
        <v>289.816</v>
      </c>
      <c r="H111" s="88" t="s">
        <v>84</v>
      </c>
      <c r="I111" s="37"/>
      <c r="J111" s="37"/>
      <c r="K111" s="37"/>
      <c r="L111" s="37"/>
      <c r="M111" s="37"/>
      <c r="N111" s="89"/>
      <c r="O111" s="90"/>
      <c r="P111" s="85"/>
    </row>
    <row r="112" spans="1:16" ht="28.5" customHeight="1">
      <c r="A112" s="86">
        <v>150101</v>
      </c>
      <c r="B112" s="1" t="s">
        <v>1</v>
      </c>
      <c r="C112" s="2" t="s">
        <v>136</v>
      </c>
      <c r="D112" s="87">
        <v>610.807</v>
      </c>
      <c r="E112" s="92">
        <f t="shared" si="8"/>
        <v>23.40379203250781</v>
      </c>
      <c r="F112" s="87">
        <v>467.855</v>
      </c>
      <c r="G112" s="87">
        <f>178.128+289.727</f>
        <v>467.85499999999996</v>
      </c>
      <c r="H112" s="88" t="s">
        <v>228</v>
      </c>
      <c r="I112" s="37"/>
      <c r="J112" s="37"/>
      <c r="K112" s="37"/>
      <c r="L112" s="37"/>
      <c r="M112" s="37"/>
      <c r="N112" s="89"/>
      <c r="O112" s="90"/>
      <c r="P112" s="85"/>
    </row>
    <row r="113" spans="1:16" ht="25.5" customHeight="1">
      <c r="A113" s="86">
        <v>150101</v>
      </c>
      <c r="B113" s="1" t="s">
        <v>1</v>
      </c>
      <c r="C113" s="2" t="s">
        <v>137</v>
      </c>
      <c r="D113" s="87">
        <v>717.305</v>
      </c>
      <c r="E113" s="92">
        <f t="shared" si="8"/>
        <v>3.9168833341465614</v>
      </c>
      <c r="F113" s="87">
        <v>689.209</v>
      </c>
      <c r="G113" s="87">
        <f>325.758+354.451</f>
        <v>680.2090000000001</v>
      </c>
      <c r="H113" s="88" t="s">
        <v>228</v>
      </c>
      <c r="I113" s="37"/>
      <c r="J113" s="37"/>
      <c r="K113" s="37"/>
      <c r="L113" s="37"/>
      <c r="M113" s="37"/>
      <c r="N113" s="89"/>
      <c r="O113" s="90"/>
      <c r="P113" s="85"/>
    </row>
    <row r="114" spans="1:16" ht="40.5" customHeight="1">
      <c r="A114" s="86">
        <v>150101</v>
      </c>
      <c r="B114" s="1" t="s">
        <v>1</v>
      </c>
      <c r="C114" s="2" t="s">
        <v>154</v>
      </c>
      <c r="D114" s="87">
        <v>294</v>
      </c>
      <c r="E114" s="92">
        <f t="shared" si="8"/>
        <v>29.31972789115646</v>
      </c>
      <c r="F114" s="87">
        <v>207.8</v>
      </c>
      <c r="G114" s="87">
        <f>54.138+153.662</f>
        <v>207.8</v>
      </c>
      <c r="H114" s="88" t="s">
        <v>228</v>
      </c>
      <c r="I114" s="37"/>
      <c r="J114" s="37"/>
      <c r="K114" s="37"/>
      <c r="L114" s="37"/>
      <c r="M114" s="37"/>
      <c r="N114" s="89"/>
      <c r="O114" s="90"/>
      <c r="P114" s="85"/>
    </row>
    <row r="115" spans="1:16" ht="27" customHeight="1">
      <c r="A115" s="86">
        <v>150101</v>
      </c>
      <c r="B115" s="1" t="s">
        <v>1</v>
      </c>
      <c r="C115" s="2" t="s">
        <v>54</v>
      </c>
      <c r="D115" s="87">
        <v>1502.982</v>
      </c>
      <c r="E115" s="92">
        <f t="shared" si="8"/>
        <v>87.73099079030887</v>
      </c>
      <c r="F115" s="87">
        <v>184.401</v>
      </c>
      <c r="G115" s="87">
        <v>93.587</v>
      </c>
      <c r="H115" s="88" t="s">
        <v>228</v>
      </c>
      <c r="I115" s="37"/>
      <c r="J115" s="37"/>
      <c r="K115" s="37"/>
      <c r="L115" s="37"/>
      <c r="M115" s="37"/>
      <c r="N115" s="89"/>
      <c r="O115" s="90"/>
      <c r="P115" s="85"/>
    </row>
    <row r="116" spans="1:16" ht="39.75" customHeight="1">
      <c r="A116" s="86">
        <v>150101</v>
      </c>
      <c r="B116" s="1" t="s">
        <v>1</v>
      </c>
      <c r="C116" s="2" t="s">
        <v>55</v>
      </c>
      <c r="D116" s="87">
        <v>298.864</v>
      </c>
      <c r="E116" s="92">
        <f t="shared" si="8"/>
        <v>0</v>
      </c>
      <c r="F116" s="87">
        <v>298.864</v>
      </c>
      <c r="G116" s="87">
        <f>86.43+212.434</f>
        <v>298.86400000000003</v>
      </c>
      <c r="H116" s="88" t="s">
        <v>83</v>
      </c>
      <c r="I116" s="37"/>
      <c r="J116" s="37"/>
      <c r="K116" s="37"/>
      <c r="L116" s="37"/>
      <c r="M116" s="37"/>
      <c r="N116" s="89"/>
      <c r="O116" s="90"/>
      <c r="P116" s="85"/>
    </row>
    <row r="117" spans="1:16" ht="40.5" customHeight="1">
      <c r="A117" s="86">
        <v>150101</v>
      </c>
      <c r="B117" s="1" t="s">
        <v>1</v>
      </c>
      <c r="C117" s="2" t="s">
        <v>138</v>
      </c>
      <c r="D117" s="87">
        <v>4548.06</v>
      </c>
      <c r="E117" s="92">
        <f t="shared" si="8"/>
        <v>0</v>
      </c>
      <c r="F117" s="87">
        <v>4548.06</v>
      </c>
      <c r="G117" s="87">
        <v>1015.071</v>
      </c>
      <c r="H117" s="88" t="s">
        <v>79</v>
      </c>
      <c r="I117" s="37"/>
      <c r="J117" s="37"/>
      <c r="K117" s="37"/>
      <c r="L117" s="37"/>
      <c r="M117" s="37"/>
      <c r="N117" s="89"/>
      <c r="O117" s="90"/>
      <c r="P117" s="85"/>
    </row>
    <row r="118" spans="1:16" ht="40.5" customHeight="1">
      <c r="A118" s="86">
        <v>150101</v>
      </c>
      <c r="B118" s="1" t="s">
        <v>1</v>
      </c>
      <c r="C118" s="2" t="s">
        <v>237</v>
      </c>
      <c r="D118" s="87">
        <v>26.666</v>
      </c>
      <c r="E118" s="92">
        <f t="shared" si="8"/>
        <v>0</v>
      </c>
      <c r="F118" s="87">
        <v>26.666</v>
      </c>
      <c r="G118" s="87">
        <v>26.666</v>
      </c>
      <c r="H118" s="88" t="s">
        <v>238</v>
      </c>
      <c r="I118" s="37"/>
      <c r="J118" s="37"/>
      <c r="K118" s="37"/>
      <c r="L118" s="37"/>
      <c r="M118" s="37"/>
      <c r="N118" s="89"/>
      <c r="O118" s="90"/>
      <c r="P118" s="85"/>
    </row>
    <row r="119" spans="1:16" ht="40.5" customHeight="1">
      <c r="A119" s="86">
        <v>150101</v>
      </c>
      <c r="B119" s="1" t="s">
        <v>1</v>
      </c>
      <c r="C119" s="2" t="s">
        <v>239</v>
      </c>
      <c r="D119" s="87">
        <v>26.666</v>
      </c>
      <c r="E119" s="92">
        <f t="shared" si="8"/>
        <v>0</v>
      </c>
      <c r="F119" s="87">
        <v>26.666</v>
      </c>
      <c r="G119" s="87">
        <v>26.666</v>
      </c>
      <c r="H119" s="88" t="s">
        <v>238</v>
      </c>
      <c r="I119" s="37"/>
      <c r="J119" s="37"/>
      <c r="K119" s="37"/>
      <c r="L119" s="37"/>
      <c r="M119" s="37"/>
      <c r="N119" s="89"/>
      <c r="O119" s="90"/>
      <c r="P119" s="85"/>
    </row>
    <row r="120" spans="1:16" ht="40.5" customHeight="1">
      <c r="A120" s="86">
        <v>150101</v>
      </c>
      <c r="B120" s="1" t="s">
        <v>1</v>
      </c>
      <c r="C120" s="2" t="s">
        <v>240</v>
      </c>
      <c r="D120" s="87">
        <v>26.666</v>
      </c>
      <c r="E120" s="92">
        <f t="shared" si="8"/>
        <v>0</v>
      </c>
      <c r="F120" s="87">
        <v>26.666</v>
      </c>
      <c r="G120" s="87">
        <v>26.666</v>
      </c>
      <c r="H120" s="88" t="s">
        <v>238</v>
      </c>
      <c r="I120" s="37"/>
      <c r="J120" s="37"/>
      <c r="K120" s="37"/>
      <c r="L120" s="37"/>
      <c r="M120" s="37"/>
      <c r="N120" s="89"/>
      <c r="O120" s="90"/>
      <c r="P120" s="85"/>
    </row>
    <row r="121" spans="1:16" ht="40.5" customHeight="1">
      <c r="A121" s="86">
        <v>150101</v>
      </c>
      <c r="B121" s="1" t="s">
        <v>1</v>
      </c>
      <c r="C121" s="2" t="s">
        <v>241</v>
      </c>
      <c r="D121" s="87">
        <v>26.666</v>
      </c>
      <c r="E121" s="92">
        <f t="shared" si="8"/>
        <v>0</v>
      </c>
      <c r="F121" s="87">
        <v>26.666</v>
      </c>
      <c r="G121" s="87">
        <v>26.666</v>
      </c>
      <c r="H121" s="88" t="s">
        <v>238</v>
      </c>
      <c r="I121" s="37"/>
      <c r="J121" s="37"/>
      <c r="K121" s="37"/>
      <c r="L121" s="37"/>
      <c r="M121" s="37"/>
      <c r="N121" s="89"/>
      <c r="O121" s="90"/>
      <c r="P121" s="85"/>
    </row>
    <row r="122" spans="1:16" ht="40.5" customHeight="1">
      <c r="A122" s="86">
        <v>150101</v>
      </c>
      <c r="B122" s="1" t="s">
        <v>1</v>
      </c>
      <c r="C122" s="2" t="s">
        <v>242</v>
      </c>
      <c r="D122" s="87">
        <v>26.666</v>
      </c>
      <c r="E122" s="92">
        <f aca="true" t="shared" si="9" ref="E122:E130">100-(F122/D122)*100</f>
        <v>0</v>
      </c>
      <c r="F122" s="87">
        <v>26.666</v>
      </c>
      <c r="G122" s="87">
        <v>26.666</v>
      </c>
      <c r="H122" s="88" t="s">
        <v>238</v>
      </c>
      <c r="I122" s="37"/>
      <c r="J122" s="37"/>
      <c r="K122" s="37"/>
      <c r="L122" s="37"/>
      <c r="M122" s="37"/>
      <c r="N122" s="89"/>
      <c r="O122" s="90"/>
      <c r="P122" s="85"/>
    </row>
    <row r="123" spans="1:16" ht="40.5" customHeight="1">
      <c r="A123" s="86">
        <v>150101</v>
      </c>
      <c r="B123" s="1" t="s">
        <v>1</v>
      </c>
      <c r="C123" s="2" t="s">
        <v>243</v>
      </c>
      <c r="D123" s="87">
        <v>26.666</v>
      </c>
      <c r="E123" s="92">
        <f t="shared" si="9"/>
        <v>0</v>
      </c>
      <c r="F123" s="87">
        <v>26.666</v>
      </c>
      <c r="G123" s="87">
        <v>26.666</v>
      </c>
      <c r="H123" s="88" t="s">
        <v>238</v>
      </c>
      <c r="I123" s="37"/>
      <c r="J123" s="37"/>
      <c r="K123" s="37"/>
      <c r="L123" s="37"/>
      <c r="M123" s="37"/>
      <c r="N123" s="89"/>
      <c r="O123" s="90"/>
      <c r="P123" s="85"/>
    </row>
    <row r="124" spans="1:16" ht="40.5" customHeight="1">
      <c r="A124" s="86">
        <v>150101</v>
      </c>
      <c r="B124" s="1" t="s">
        <v>1</v>
      </c>
      <c r="C124" s="2" t="s">
        <v>244</v>
      </c>
      <c r="D124" s="87">
        <v>26.666</v>
      </c>
      <c r="E124" s="92">
        <f t="shared" si="9"/>
        <v>0</v>
      </c>
      <c r="F124" s="87">
        <v>26.666</v>
      </c>
      <c r="G124" s="87">
        <v>26.666</v>
      </c>
      <c r="H124" s="88" t="s">
        <v>238</v>
      </c>
      <c r="I124" s="37"/>
      <c r="J124" s="37"/>
      <c r="K124" s="37"/>
      <c r="L124" s="37"/>
      <c r="M124" s="37"/>
      <c r="N124" s="89"/>
      <c r="O124" s="90"/>
      <c r="P124" s="85"/>
    </row>
    <row r="125" spans="1:16" ht="40.5" customHeight="1">
      <c r="A125" s="86">
        <v>150101</v>
      </c>
      <c r="B125" s="1" t="s">
        <v>1</v>
      </c>
      <c r="C125" s="2" t="s">
        <v>245</v>
      </c>
      <c r="D125" s="87">
        <v>26.666</v>
      </c>
      <c r="E125" s="92">
        <f t="shared" si="9"/>
        <v>0</v>
      </c>
      <c r="F125" s="87">
        <v>26.666</v>
      </c>
      <c r="G125" s="87">
        <v>26.666</v>
      </c>
      <c r="H125" s="88" t="s">
        <v>238</v>
      </c>
      <c r="I125" s="37"/>
      <c r="J125" s="37"/>
      <c r="K125" s="37"/>
      <c r="L125" s="37"/>
      <c r="M125" s="37"/>
      <c r="N125" s="89"/>
      <c r="O125" s="90"/>
      <c r="P125" s="85"/>
    </row>
    <row r="126" spans="1:16" ht="40.5" customHeight="1">
      <c r="A126" s="86">
        <v>150101</v>
      </c>
      <c r="B126" s="1" t="s">
        <v>1</v>
      </c>
      <c r="C126" s="2" t="s">
        <v>246</v>
      </c>
      <c r="D126" s="87">
        <v>26.666</v>
      </c>
      <c r="E126" s="92">
        <f t="shared" si="9"/>
        <v>0</v>
      </c>
      <c r="F126" s="87">
        <v>26.666</v>
      </c>
      <c r="G126" s="87">
        <v>26.666</v>
      </c>
      <c r="H126" s="88" t="s">
        <v>238</v>
      </c>
      <c r="I126" s="37"/>
      <c r="J126" s="37"/>
      <c r="K126" s="37"/>
      <c r="L126" s="37"/>
      <c r="M126" s="37"/>
      <c r="N126" s="89"/>
      <c r="O126" s="90"/>
      <c r="P126" s="85"/>
    </row>
    <row r="127" spans="1:16" ht="40.5" customHeight="1">
      <c r="A127" s="86">
        <v>150101</v>
      </c>
      <c r="B127" s="1" t="s">
        <v>1</v>
      </c>
      <c r="C127" s="2" t="s">
        <v>247</v>
      </c>
      <c r="D127" s="87">
        <v>26.666</v>
      </c>
      <c r="E127" s="92">
        <f t="shared" si="9"/>
        <v>0</v>
      </c>
      <c r="F127" s="87">
        <v>26.666</v>
      </c>
      <c r="G127" s="87">
        <v>26.666</v>
      </c>
      <c r="H127" s="88" t="s">
        <v>238</v>
      </c>
      <c r="I127" s="37"/>
      <c r="J127" s="37"/>
      <c r="K127" s="37"/>
      <c r="L127" s="37"/>
      <c r="M127" s="37"/>
      <c r="N127" s="89"/>
      <c r="O127" s="90"/>
      <c r="P127" s="85"/>
    </row>
    <row r="128" spans="1:16" ht="40.5" customHeight="1">
      <c r="A128" s="86">
        <v>150101</v>
      </c>
      <c r="B128" s="1" t="s">
        <v>1</v>
      </c>
      <c r="C128" s="2" t="s">
        <v>248</v>
      </c>
      <c r="D128" s="87">
        <v>26.666</v>
      </c>
      <c r="E128" s="92">
        <f t="shared" si="9"/>
        <v>0</v>
      </c>
      <c r="F128" s="87">
        <v>26.666</v>
      </c>
      <c r="G128" s="87">
        <v>26.666</v>
      </c>
      <c r="H128" s="88" t="s">
        <v>238</v>
      </c>
      <c r="I128" s="37"/>
      <c r="J128" s="37"/>
      <c r="K128" s="37"/>
      <c r="L128" s="37"/>
      <c r="M128" s="37"/>
      <c r="N128" s="89"/>
      <c r="O128" s="90"/>
      <c r="P128" s="85"/>
    </row>
    <row r="129" spans="1:16" ht="40.5" customHeight="1">
      <c r="A129" s="86">
        <v>150101</v>
      </c>
      <c r="B129" s="1" t="s">
        <v>1</v>
      </c>
      <c r="C129" s="2" t="s">
        <v>249</v>
      </c>
      <c r="D129" s="87">
        <v>26.666</v>
      </c>
      <c r="E129" s="92">
        <f t="shared" si="9"/>
        <v>0</v>
      </c>
      <c r="F129" s="87">
        <v>26.666</v>
      </c>
      <c r="G129" s="87">
        <v>26.666</v>
      </c>
      <c r="H129" s="88" t="s">
        <v>238</v>
      </c>
      <c r="I129" s="37"/>
      <c r="J129" s="37"/>
      <c r="K129" s="37"/>
      <c r="L129" s="37"/>
      <c r="M129" s="37"/>
      <c r="N129" s="89"/>
      <c r="O129" s="90"/>
      <c r="P129" s="85"/>
    </row>
    <row r="130" spans="1:16" ht="59.25" customHeight="1">
      <c r="A130" s="86">
        <v>150118</v>
      </c>
      <c r="B130" s="1" t="s">
        <v>252</v>
      </c>
      <c r="C130" s="2" t="s">
        <v>253</v>
      </c>
      <c r="D130" s="87">
        <v>2902.495</v>
      </c>
      <c r="E130" s="92">
        <f t="shared" si="9"/>
        <v>0</v>
      </c>
      <c r="F130" s="87">
        <v>2902.495</v>
      </c>
      <c r="G130" s="87">
        <v>2902.495</v>
      </c>
      <c r="H130" s="88"/>
      <c r="I130" s="37"/>
      <c r="J130" s="37"/>
      <c r="K130" s="37"/>
      <c r="L130" s="37"/>
      <c r="M130" s="37"/>
      <c r="N130" s="89"/>
      <c r="O130" s="90"/>
      <c r="P130" s="85"/>
    </row>
    <row r="131" spans="1:16" ht="67.5" customHeight="1">
      <c r="A131" s="118">
        <v>180409</v>
      </c>
      <c r="B131" s="163" t="s">
        <v>39</v>
      </c>
      <c r="C131" s="120" t="s">
        <v>40</v>
      </c>
      <c r="D131" s="87"/>
      <c r="E131" s="92"/>
      <c r="F131" s="87"/>
      <c r="G131" s="87">
        <v>3248.8</v>
      </c>
      <c r="H131" s="88" t="s">
        <v>228</v>
      </c>
      <c r="I131" s="37"/>
      <c r="J131" s="37"/>
      <c r="K131" s="37"/>
      <c r="L131" s="37"/>
      <c r="M131" s="37"/>
      <c r="N131" s="89"/>
      <c r="O131" s="90"/>
      <c r="P131" s="85"/>
    </row>
    <row r="132" spans="1:16" ht="56.25" customHeight="1">
      <c r="A132" s="79">
        <v>10</v>
      </c>
      <c r="B132" s="80" t="s">
        <v>14</v>
      </c>
      <c r="C132" s="80"/>
      <c r="D132" s="81">
        <f>SUM(D133:D145)</f>
        <v>62815.80800000001</v>
      </c>
      <c r="E132" s="81"/>
      <c r="F132" s="81">
        <f>SUM(F133:F145)</f>
        <v>54633.761710000006</v>
      </c>
      <c r="G132" s="81">
        <f>SUM(G133:G145)</f>
        <v>16281.324</v>
      </c>
      <c r="H132" s="82"/>
      <c r="I132" s="36"/>
      <c r="J132" s="36"/>
      <c r="K132" s="36"/>
      <c r="L132" s="36"/>
      <c r="M132" s="36"/>
      <c r="N132" s="83"/>
      <c r="O132" s="90"/>
      <c r="P132" s="85"/>
    </row>
    <row r="133" spans="1:16" ht="61.5" customHeight="1">
      <c r="A133" s="86">
        <v>150101</v>
      </c>
      <c r="B133" s="1" t="s">
        <v>1</v>
      </c>
      <c r="C133" s="1" t="s">
        <v>56</v>
      </c>
      <c r="D133" s="87">
        <v>2105.695</v>
      </c>
      <c r="E133" s="92">
        <f aca="true" t="shared" si="10" ref="E133:E143">100-(F133/D133)*100</f>
        <v>7.531995374448826</v>
      </c>
      <c r="F133" s="87">
        <f>D133-158.60085</f>
        <v>1947.0941500000001</v>
      </c>
      <c r="G133" s="87">
        <f>274.246+1672.848</f>
        <v>1947.094</v>
      </c>
      <c r="H133" s="88" t="s">
        <v>79</v>
      </c>
      <c r="I133" s="37"/>
      <c r="J133" s="37"/>
      <c r="K133" s="37"/>
      <c r="L133" s="37"/>
      <c r="M133" s="37"/>
      <c r="N133" s="89"/>
      <c r="O133" s="90"/>
      <c r="P133" s="96"/>
    </row>
    <row r="134" spans="1:16" ht="60.75" customHeight="1">
      <c r="A134" s="86">
        <v>150101</v>
      </c>
      <c r="B134" s="1" t="s">
        <v>1</v>
      </c>
      <c r="C134" s="2" t="s">
        <v>57</v>
      </c>
      <c r="D134" s="87">
        <v>3519.492</v>
      </c>
      <c r="E134" s="92">
        <f t="shared" si="10"/>
        <v>37.06448544278549</v>
      </c>
      <c r="F134" s="87">
        <f>2397.192-182.1816</f>
        <v>2215.0104</v>
      </c>
      <c r="G134" s="87">
        <f>54.072+1120.562-5.081-8.492</f>
        <v>1161.0610000000001</v>
      </c>
      <c r="H134" s="111"/>
      <c r="I134" s="37"/>
      <c r="J134" s="37"/>
      <c r="K134" s="37"/>
      <c r="L134" s="37"/>
      <c r="M134" s="37"/>
      <c r="N134" s="89"/>
      <c r="O134" s="113"/>
      <c r="P134" s="85"/>
    </row>
    <row r="135" spans="1:16" ht="61.5" customHeight="1">
      <c r="A135" s="86">
        <v>150101</v>
      </c>
      <c r="B135" s="1" t="s">
        <v>1</v>
      </c>
      <c r="C135" s="1" t="s">
        <v>139</v>
      </c>
      <c r="D135" s="87">
        <v>2335.982</v>
      </c>
      <c r="E135" s="92">
        <f t="shared" si="10"/>
        <v>66.29837943956761</v>
      </c>
      <c r="F135" s="87">
        <f>D135-(1069.8304+474.25929+1.38856+3.23996)</f>
        <v>787.2637899999997</v>
      </c>
      <c r="G135" s="87">
        <f>583.111+204.153</f>
        <v>787.264</v>
      </c>
      <c r="H135" s="111"/>
      <c r="I135" s="37"/>
      <c r="J135" s="37"/>
      <c r="K135" s="37"/>
      <c r="L135" s="37"/>
      <c r="M135" s="37"/>
      <c r="N135" s="89"/>
      <c r="O135" s="113"/>
      <c r="P135" s="85"/>
    </row>
    <row r="136" spans="1:16" ht="39.75" customHeight="1">
      <c r="A136" s="86">
        <v>150101</v>
      </c>
      <c r="B136" s="1" t="s">
        <v>1</v>
      </c>
      <c r="C136" s="2" t="s">
        <v>162</v>
      </c>
      <c r="D136" s="87">
        <v>6379.139</v>
      </c>
      <c r="E136" s="92">
        <f t="shared" si="10"/>
        <v>35.38813482509158</v>
      </c>
      <c r="F136" s="87">
        <f>D136-(1687.311+344.04021+44.9761+181.131)</f>
        <v>4121.680690000001</v>
      </c>
      <c r="G136" s="87">
        <f>46.111+1149.714+261.296</f>
        <v>1457.121</v>
      </c>
      <c r="H136" s="88" t="s">
        <v>79</v>
      </c>
      <c r="I136" s="37"/>
      <c r="J136" s="37"/>
      <c r="K136" s="37"/>
      <c r="L136" s="37"/>
      <c r="M136" s="37"/>
      <c r="N136" s="94"/>
      <c r="O136" s="113"/>
      <c r="P136" s="85"/>
    </row>
    <row r="137" spans="1:16" ht="41.25" customHeight="1">
      <c r="A137" s="86">
        <v>150101</v>
      </c>
      <c r="B137" s="1" t="s">
        <v>1</v>
      </c>
      <c r="C137" s="1" t="s">
        <v>163</v>
      </c>
      <c r="D137" s="87">
        <v>7632.826</v>
      </c>
      <c r="E137" s="92">
        <f t="shared" si="10"/>
        <v>16.719485548340813</v>
      </c>
      <c r="F137" s="87">
        <f>D137-(1069.7+206.46924)</f>
        <v>6356.65676</v>
      </c>
      <c r="G137" s="87">
        <f>0.133+553.564-260-59.972</f>
        <v>233.725</v>
      </c>
      <c r="H137" s="88" t="s">
        <v>79</v>
      </c>
      <c r="I137" s="37"/>
      <c r="J137" s="37"/>
      <c r="K137" s="37"/>
      <c r="L137" s="37"/>
      <c r="M137" s="37"/>
      <c r="N137" s="89"/>
      <c r="O137" s="90"/>
      <c r="P137" s="85"/>
    </row>
    <row r="138" spans="1:17" ht="58.5" customHeight="1">
      <c r="A138" s="118">
        <v>150101</v>
      </c>
      <c r="B138" s="2" t="s">
        <v>1</v>
      </c>
      <c r="C138" s="1" t="s">
        <v>58</v>
      </c>
      <c r="D138" s="98">
        <f>13005.346+2884.005</f>
        <v>15889.350999999999</v>
      </c>
      <c r="E138" s="92">
        <f t="shared" si="10"/>
        <v>2.0143220449973143</v>
      </c>
      <c r="F138" s="87">
        <f>SUM(D138-202.12564-117.93706)</f>
        <v>15569.288299999998</v>
      </c>
      <c r="G138" s="87">
        <f>7672-280.65</f>
        <v>7391.35</v>
      </c>
      <c r="H138" s="88" t="s">
        <v>79</v>
      </c>
      <c r="I138" s="37"/>
      <c r="J138" s="89"/>
      <c r="K138" s="103"/>
      <c r="L138" s="37"/>
      <c r="M138" s="37"/>
      <c r="N138" s="37"/>
      <c r="O138" s="89"/>
      <c r="P138" s="90"/>
      <c r="Q138" s="85"/>
    </row>
    <row r="139" spans="1:17" ht="41.25" customHeight="1">
      <c r="A139" s="118">
        <v>150101</v>
      </c>
      <c r="B139" s="2" t="s">
        <v>1</v>
      </c>
      <c r="C139" s="2" t="s">
        <v>140</v>
      </c>
      <c r="D139" s="98">
        <v>11138.05</v>
      </c>
      <c r="E139" s="105">
        <f>100-(F139/D139)*100</f>
        <v>2.566631142794307</v>
      </c>
      <c r="F139" s="98">
        <f>D139-285.87266</f>
        <v>10852.177339999998</v>
      </c>
      <c r="G139" s="87">
        <f>20+15</f>
        <v>35</v>
      </c>
      <c r="H139" s="88" t="s">
        <v>79</v>
      </c>
      <c r="I139" s="37"/>
      <c r="J139" s="89"/>
      <c r="K139" s="103"/>
      <c r="L139" s="37"/>
      <c r="M139" s="37"/>
      <c r="N139" s="37"/>
      <c r="O139" s="89"/>
      <c r="P139" s="90"/>
      <c r="Q139" s="85"/>
    </row>
    <row r="140" spans="1:17" ht="56.25" customHeight="1">
      <c r="A140" s="118">
        <v>150101</v>
      </c>
      <c r="B140" s="2" t="s">
        <v>1</v>
      </c>
      <c r="C140" s="2" t="s">
        <v>141</v>
      </c>
      <c r="D140" s="98">
        <v>260</v>
      </c>
      <c r="E140" s="105">
        <f>100-(F140/D140)*100</f>
        <v>0</v>
      </c>
      <c r="F140" s="98">
        <v>260</v>
      </c>
      <c r="G140" s="87">
        <v>260</v>
      </c>
      <c r="H140" s="88" t="s">
        <v>79</v>
      </c>
      <c r="I140" s="37"/>
      <c r="J140" s="89"/>
      <c r="K140" s="103"/>
      <c r="L140" s="37"/>
      <c r="M140" s="37"/>
      <c r="N140" s="37"/>
      <c r="O140" s="89"/>
      <c r="P140" s="90"/>
      <c r="Q140" s="85"/>
    </row>
    <row r="141" spans="1:19" ht="39" customHeight="1">
      <c r="A141" s="118">
        <v>150102</v>
      </c>
      <c r="B141" s="2" t="s">
        <v>1</v>
      </c>
      <c r="C141" s="2" t="s">
        <v>174</v>
      </c>
      <c r="D141" s="87">
        <v>9459.239</v>
      </c>
      <c r="E141" s="105">
        <f>100-(F141/D141)*100</f>
        <v>10.67089572427551</v>
      </c>
      <c r="F141" s="87">
        <f>SUM(D141-796.858-70-74.6-67.92753)</f>
        <v>8449.853469999998</v>
      </c>
      <c r="G141" s="87">
        <v>44.972</v>
      </c>
      <c r="H141" s="88" t="s">
        <v>79</v>
      </c>
      <c r="I141" s="37"/>
      <c r="J141" s="38"/>
      <c r="K141" s="37"/>
      <c r="L141" s="89"/>
      <c r="M141" s="103"/>
      <c r="N141" s="37"/>
      <c r="O141" s="37"/>
      <c r="P141" s="37"/>
      <c r="Q141" s="89"/>
      <c r="R141" s="90"/>
      <c r="S141" s="85"/>
    </row>
    <row r="142" spans="1:16" ht="57.75" customHeight="1">
      <c r="A142" s="86">
        <v>150101</v>
      </c>
      <c r="B142" s="1" t="s">
        <v>1</v>
      </c>
      <c r="C142" s="1" t="s">
        <v>142</v>
      </c>
      <c r="D142" s="87">
        <v>1002.696</v>
      </c>
      <c r="E142" s="92">
        <f t="shared" si="10"/>
        <v>2.123992715638636</v>
      </c>
      <c r="F142" s="87">
        <f>D142-21.29719</f>
        <v>981.39881</v>
      </c>
      <c r="G142" s="87">
        <v>870.399</v>
      </c>
      <c r="H142" s="88" t="s">
        <v>79</v>
      </c>
      <c r="I142" s="37"/>
      <c r="J142" s="37"/>
      <c r="K142" s="37"/>
      <c r="L142" s="37"/>
      <c r="M142" s="37"/>
      <c r="N142" s="89"/>
      <c r="O142" s="90"/>
      <c r="P142" s="96"/>
    </row>
    <row r="143" spans="1:16" ht="39" customHeight="1">
      <c r="A143" s="86">
        <v>150101</v>
      </c>
      <c r="B143" s="1" t="s">
        <v>1</v>
      </c>
      <c r="C143" s="1" t="s">
        <v>178</v>
      </c>
      <c r="D143" s="87">
        <v>2533.338</v>
      </c>
      <c r="E143" s="92">
        <f t="shared" si="10"/>
        <v>0</v>
      </c>
      <c r="F143" s="87">
        <v>2533.338</v>
      </c>
      <c r="G143" s="87">
        <f>2533.338-1000</f>
        <v>1533.3380000000002</v>
      </c>
      <c r="H143" s="88" t="s">
        <v>79</v>
      </c>
      <c r="I143" s="37"/>
      <c r="J143" s="37"/>
      <c r="K143" s="37"/>
      <c r="L143" s="37"/>
      <c r="M143" s="37"/>
      <c r="N143" s="89"/>
      <c r="O143" s="90"/>
      <c r="P143" s="96"/>
    </row>
    <row r="144" spans="1:16" ht="37.5" customHeight="1">
      <c r="A144" s="86">
        <v>150101</v>
      </c>
      <c r="B144" s="1" t="s">
        <v>1</v>
      </c>
      <c r="C144" s="1" t="s">
        <v>230</v>
      </c>
      <c r="D144" s="87">
        <v>300</v>
      </c>
      <c r="E144" s="92">
        <f>100-(F144/D144)*100</f>
        <v>0</v>
      </c>
      <c r="F144" s="87">
        <v>300</v>
      </c>
      <c r="G144" s="87">
        <v>300</v>
      </c>
      <c r="H144" s="88" t="s">
        <v>79</v>
      </c>
      <c r="I144" s="37"/>
      <c r="J144" s="37"/>
      <c r="K144" s="37"/>
      <c r="L144" s="37"/>
      <c r="M144" s="37"/>
      <c r="N144" s="89"/>
      <c r="O144" s="90"/>
      <c r="P144" s="96"/>
    </row>
    <row r="145" spans="1:19" ht="57" customHeight="1">
      <c r="A145" s="104">
        <v>150101</v>
      </c>
      <c r="B145" s="120" t="s">
        <v>1</v>
      </c>
      <c r="C145" s="1" t="s">
        <v>227</v>
      </c>
      <c r="D145" s="87">
        <v>260</v>
      </c>
      <c r="E145" s="105">
        <v>0</v>
      </c>
      <c r="F145" s="87">
        <v>260</v>
      </c>
      <c r="G145" s="87">
        <v>260</v>
      </c>
      <c r="H145" s="88" t="s">
        <v>79</v>
      </c>
      <c r="I145" s="37"/>
      <c r="J145" s="38"/>
      <c r="K145" s="103"/>
      <c r="L145" s="90"/>
      <c r="M145" s="103"/>
      <c r="N145" s="38"/>
      <c r="O145" s="38"/>
      <c r="P145" s="38"/>
      <c r="Q145" s="90"/>
      <c r="R145" s="121"/>
      <c r="S145" s="85"/>
    </row>
    <row r="146" spans="1:16" ht="58.5" customHeight="1">
      <c r="A146" s="79">
        <v>14</v>
      </c>
      <c r="B146" s="80" t="s">
        <v>59</v>
      </c>
      <c r="C146" s="80"/>
      <c r="D146" s="81">
        <f>SUM(D147:D164)</f>
        <v>50874.337999999996</v>
      </c>
      <c r="E146" s="81"/>
      <c r="F146" s="81">
        <f>SUM(F147:F164)</f>
        <v>33313.71723</v>
      </c>
      <c r="G146" s="81">
        <f>SUM(G147:G164)</f>
        <v>12238.342</v>
      </c>
      <c r="H146" s="82"/>
      <c r="I146" s="36"/>
      <c r="J146" s="36"/>
      <c r="K146" s="36"/>
      <c r="L146" s="36"/>
      <c r="M146" s="36"/>
      <c r="N146" s="83"/>
      <c r="O146" s="90"/>
      <c r="P146" s="85"/>
    </row>
    <row r="147" spans="1:16" ht="57.75" customHeight="1">
      <c r="A147" s="86">
        <v>150101</v>
      </c>
      <c r="B147" s="1" t="s">
        <v>1</v>
      </c>
      <c r="C147" s="122" t="s">
        <v>60</v>
      </c>
      <c r="D147" s="87">
        <v>7053.562</v>
      </c>
      <c r="E147" s="92">
        <f>100-(F147/D147)*100</f>
        <v>40.961137365773496</v>
      </c>
      <c r="F147" s="87">
        <f>D147-(1131.01602+23.73674+2.4632+1732.00326)</f>
        <v>4164.34278</v>
      </c>
      <c r="G147" s="87">
        <v>989.609</v>
      </c>
      <c r="H147" s="88" t="s">
        <v>79</v>
      </c>
      <c r="I147" s="37"/>
      <c r="J147" s="37"/>
      <c r="K147" s="37"/>
      <c r="L147" s="37"/>
      <c r="M147" s="37"/>
      <c r="N147" s="94"/>
      <c r="O147" s="123"/>
      <c r="P147" s="85"/>
    </row>
    <row r="148" spans="1:16" ht="83.25" customHeight="1">
      <c r="A148" s="86">
        <v>150101</v>
      </c>
      <c r="B148" s="1" t="s">
        <v>1</v>
      </c>
      <c r="C148" s="122" t="s">
        <v>179</v>
      </c>
      <c r="D148" s="87">
        <v>778</v>
      </c>
      <c r="E148" s="92">
        <f>100-(F148/D148)*100</f>
        <v>0</v>
      </c>
      <c r="F148" s="87">
        <f>D148</f>
        <v>778</v>
      </c>
      <c r="G148" s="87">
        <f>500+278</f>
        <v>778</v>
      </c>
      <c r="H148" s="88" t="s">
        <v>79</v>
      </c>
      <c r="I148" s="37"/>
      <c r="J148" s="37"/>
      <c r="K148" s="37"/>
      <c r="L148" s="37"/>
      <c r="M148" s="37"/>
      <c r="N148" s="94"/>
      <c r="O148" s="123"/>
      <c r="P148" s="85"/>
    </row>
    <row r="149" spans="1:16" ht="81" customHeight="1">
      <c r="A149" s="86">
        <v>150101</v>
      </c>
      <c r="B149" s="1" t="s">
        <v>1</v>
      </c>
      <c r="C149" s="122" t="s">
        <v>210</v>
      </c>
      <c r="D149" s="87">
        <v>350</v>
      </c>
      <c r="E149" s="92">
        <f aca="true" t="shared" si="11" ref="E149:E163">100-(F149/D149)*100</f>
        <v>0</v>
      </c>
      <c r="F149" s="87">
        <f>SUM(D149-0)</f>
        <v>350</v>
      </c>
      <c r="G149" s="87">
        <v>350</v>
      </c>
      <c r="H149" s="88" t="s">
        <v>79</v>
      </c>
      <c r="I149" s="37"/>
      <c r="J149" s="37"/>
      <c r="K149" s="37"/>
      <c r="L149" s="37"/>
      <c r="M149" s="37"/>
      <c r="N149" s="89"/>
      <c r="O149" s="90"/>
      <c r="P149" s="85"/>
    </row>
    <row r="150" spans="1:16" ht="77.25" customHeight="1">
      <c r="A150" s="86">
        <v>150101</v>
      </c>
      <c r="B150" s="1" t="s">
        <v>1</v>
      </c>
      <c r="C150" s="122" t="s">
        <v>143</v>
      </c>
      <c r="D150" s="87">
        <f>2652.552-128.264</f>
        <v>2524.288</v>
      </c>
      <c r="E150" s="92">
        <f t="shared" si="11"/>
        <v>6.584059742786877</v>
      </c>
      <c r="F150" s="87">
        <f>D150-(30.1488+136.05183)</f>
        <v>2358.08737</v>
      </c>
      <c r="G150" s="87">
        <f>2.414+1500</f>
        <v>1502.414</v>
      </c>
      <c r="H150" s="88" t="s">
        <v>79</v>
      </c>
      <c r="I150" s="37"/>
      <c r="J150" s="37"/>
      <c r="K150" s="37"/>
      <c r="L150" s="37"/>
      <c r="M150" s="37"/>
      <c r="N150" s="89"/>
      <c r="O150" s="113"/>
      <c r="P150" s="85"/>
    </row>
    <row r="151" spans="1:16" ht="66.75" customHeight="1">
      <c r="A151" s="86">
        <v>150101</v>
      </c>
      <c r="B151" s="1" t="s">
        <v>1</v>
      </c>
      <c r="C151" s="122" t="s">
        <v>72</v>
      </c>
      <c r="D151" s="87">
        <v>6405.982</v>
      </c>
      <c r="E151" s="92">
        <f t="shared" si="11"/>
        <v>78.30015757146992</v>
      </c>
      <c r="F151" s="87">
        <v>1390.088</v>
      </c>
      <c r="G151" s="87">
        <v>4.634</v>
      </c>
      <c r="H151" s="88" t="s">
        <v>79</v>
      </c>
      <c r="I151" s="37"/>
      <c r="J151" s="37"/>
      <c r="K151" s="37"/>
      <c r="L151" s="37"/>
      <c r="M151" s="37"/>
      <c r="N151" s="89"/>
      <c r="O151" s="113"/>
      <c r="P151" s="85"/>
    </row>
    <row r="152" spans="1:16" ht="58.5" customHeight="1">
      <c r="A152" s="86">
        <v>150101</v>
      </c>
      <c r="B152" s="1" t="s">
        <v>1</v>
      </c>
      <c r="C152" s="124" t="s">
        <v>61</v>
      </c>
      <c r="D152" s="98">
        <v>5540.75</v>
      </c>
      <c r="E152" s="92">
        <f t="shared" si="11"/>
        <v>61.36748635112575</v>
      </c>
      <c r="F152" s="87">
        <f>D152-3400.219</f>
        <v>2140.531</v>
      </c>
      <c r="G152" s="87">
        <v>2140.531</v>
      </c>
      <c r="H152" s="88" t="s">
        <v>79</v>
      </c>
      <c r="I152" s="37"/>
      <c r="J152" s="37"/>
      <c r="K152" s="37"/>
      <c r="L152" s="37"/>
      <c r="M152" s="37"/>
      <c r="N152" s="89"/>
      <c r="O152" s="90"/>
      <c r="P152" s="85"/>
    </row>
    <row r="153" spans="1:16" ht="60" customHeight="1">
      <c r="A153" s="86">
        <v>150101</v>
      </c>
      <c r="B153" s="1" t="s">
        <v>1</v>
      </c>
      <c r="C153" s="124" t="s">
        <v>62</v>
      </c>
      <c r="D153" s="87">
        <f>6538.291+708.775</f>
        <v>7247.066</v>
      </c>
      <c r="E153" s="92">
        <f t="shared" si="11"/>
        <v>0.07612018436149981</v>
      </c>
      <c r="F153" s="87">
        <f>D153-(1.655+3.86148)</f>
        <v>7241.54952</v>
      </c>
      <c r="G153" s="87">
        <v>2032.775</v>
      </c>
      <c r="H153" s="88" t="s">
        <v>79</v>
      </c>
      <c r="I153" s="37"/>
      <c r="J153" s="37"/>
      <c r="K153" s="37"/>
      <c r="L153" s="37"/>
      <c r="M153" s="37"/>
      <c r="N153" s="89"/>
      <c r="O153" s="90"/>
      <c r="P153" s="85"/>
    </row>
    <row r="154" spans="1:16" ht="56.25" customHeight="1">
      <c r="A154" s="86">
        <v>150101</v>
      </c>
      <c r="B154" s="1" t="s">
        <v>1</v>
      </c>
      <c r="C154" s="122" t="s">
        <v>144</v>
      </c>
      <c r="D154" s="87">
        <v>6346.025</v>
      </c>
      <c r="E154" s="92">
        <f t="shared" si="11"/>
        <v>88.30155002540961</v>
      </c>
      <c r="F154" s="87">
        <f>D154-(1388.68+1250+594.39965+183.85879+1020+1166.7)</f>
        <v>742.3865599999999</v>
      </c>
      <c r="G154" s="87">
        <v>742.387</v>
      </c>
      <c r="H154" s="88" t="s">
        <v>79</v>
      </c>
      <c r="I154" s="37"/>
      <c r="J154" s="37"/>
      <c r="K154" s="37"/>
      <c r="L154" s="37"/>
      <c r="M154" s="37"/>
      <c r="N154" s="89"/>
      <c r="O154" s="90"/>
      <c r="P154" s="85"/>
    </row>
    <row r="155" spans="1:16" ht="57" customHeight="1">
      <c r="A155" s="86">
        <v>150101</v>
      </c>
      <c r="B155" s="1" t="s">
        <v>1</v>
      </c>
      <c r="C155" s="122" t="s">
        <v>63</v>
      </c>
      <c r="D155" s="87">
        <f>808.91-6.23</f>
        <v>802.68</v>
      </c>
      <c r="E155" s="92">
        <f t="shared" si="11"/>
        <v>0</v>
      </c>
      <c r="F155" s="87">
        <f>D155-0</f>
        <v>802.68</v>
      </c>
      <c r="G155" s="87">
        <f>808.91-6.23</f>
        <v>802.68</v>
      </c>
      <c r="H155" s="88" t="s">
        <v>79</v>
      </c>
      <c r="I155" s="37"/>
      <c r="J155" s="37"/>
      <c r="K155" s="37"/>
      <c r="L155" s="37"/>
      <c r="M155" s="37"/>
      <c r="N155" s="89"/>
      <c r="O155" s="90"/>
      <c r="P155" s="96"/>
    </row>
    <row r="156" spans="1:19" ht="41.25" customHeight="1">
      <c r="A156" s="86">
        <v>150101</v>
      </c>
      <c r="B156" s="1" t="s">
        <v>1</v>
      </c>
      <c r="C156" s="114" t="s">
        <v>211</v>
      </c>
      <c r="D156" s="87">
        <v>1100</v>
      </c>
      <c r="E156" s="92">
        <f>100-(F156/D156)*100</f>
        <v>0</v>
      </c>
      <c r="F156" s="87">
        <v>1100</v>
      </c>
      <c r="G156" s="87">
        <v>1100</v>
      </c>
      <c r="H156" s="88" t="s">
        <v>79</v>
      </c>
      <c r="I156" s="37"/>
      <c r="J156" s="38"/>
      <c r="K156" s="103"/>
      <c r="L156" s="89"/>
      <c r="M156" s="103"/>
      <c r="N156" s="37"/>
      <c r="O156" s="37"/>
      <c r="P156" s="37"/>
      <c r="Q156" s="89"/>
      <c r="R156" s="90"/>
      <c r="S156" s="96"/>
    </row>
    <row r="157" spans="1:19" ht="39.75" customHeight="1">
      <c r="A157" s="86">
        <v>150101</v>
      </c>
      <c r="B157" s="1" t="s">
        <v>1</v>
      </c>
      <c r="C157" s="114" t="s">
        <v>213</v>
      </c>
      <c r="D157" s="87">
        <v>1200</v>
      </c>
      <c r="E157" s="92">
        <f>100-(F157/D157)*100</f>
        <v>0</v>
      </c>
      <c r="F157" s="87">
        <v>1200</v>
      </c>
      <c r="G157" s="87">
        <f>1200-1000</f>
        <v>200</v>
      </c>
      <c r="H157" s="88" t="s">
        <v>79</v>
      </c>
      <c r="I157" s="37"/>
      <c r="J157" s="38"/>
      <c r="K157" s="103"/>
      <c r="L157" s="89"/>
      <c r="M157" s="103"/>
      <c r="N157" s="37"/>
      <c r="O157" s="37"/>
      <c r="P157" s="37"/>
      <c r="Q157" s="89"/>
      <c r="R157" s="90"/>
      <c r="S157" s="96"/>
    </row>
    <row r="158" spans="1:17" ht="62.25" customHeight="1">
      <c r="A158" s="86">
        <v>150101</v>
      </c>
      <c r="B158" s="1" t="s">
        <v>1</v>
      </c>
      <c r="C158" s="114" t="s">
        <v>212</v>
      </c>
      <c r="D158" s="87">
        <v>1100</v>
      </c>
      <c r="E158" s="92">
        <f>100-(F158/D158)*100</f>
        <v>0</v>
      </c>
      <c r="F158" s="87">
        <v>1100</v>
      </c>
      <c r="G158" s="87">
        <f>1100-900</f>
        <v>200</v>
      </c>
      <c r="H158" s="88" t="s">
        <v>79</v>
      </c>
      <c r="I158" s="37"/>
      <c r="J158" s="89"/>
      <c r="K158" s="103"/>
      <c r="L158" s="37"/>
      <c r="M158" s="37"/>
      <c r="N158" s="37"/>
      <c r="O158" s="89"/>
      <c r="P158" s="90"/>
      <c r="Q158" s="96"/>
    </row>
    <row r="159" spans="1:16" ht="57" customHeight="1">
      <c r="A159" s="86">
        <v>150101</v>
      </c>
      <c r="B159" s="1" t="s">
        <v>1</v>
      </c>
      <c r="C159" s="122" t="s">
        <v>164</v>
      </c>
      <c r="D159" s="87">
        <v>581.015</v>
      </c>
      <c r="E159" s="92">
        <f t="shared" si="11"/>
        <v>34.90168067950053</v>
      </c>
      <c r="F159" s="87">
        <v>378.231</v>
      </c>
      <c r="G159" s="87">
        <f>371.539+6.692</f>
        <v>378.231</v>
      </c>
      <c r="H159" s="88" t="s">
        <v>79</v>
      </c>
      <c r="I159" s="37"/>
      <c r="J159" s="37"/>
      <c r="K159" s="37"/>
      <c r="L159" s="37"/>
      <c r="M159" s="37"/>
      <c r="N159" s="89"/>
      <c r="O159" s="90"/>
      <c r="P159" s="96"/>
    </row>
    <row r="160" spans="1:16" ht="39.75" customHeight="1">
      <c r="A160" s="86">
        <v>150101</v>
      </c>
      <c r="B160" s="1" t="s">
        <v>1</v>
      </c>
      <c r="C160" s="122" t="s">
        <v>145</v>
      </c>
      <c r="D160" s="87">
        <v>340.85</v>
      </c>
      <c r="E160" s="92">
        <f t="shared" si="11"/>
        <v>81.31113392988118</v>
      </c>
      <c r="F160" s="87">
        <v>63.701</v>
      </c>
      <c r="G160" s="87">
        <f>61.496+2.205</f>
        <v>63.701</v>
      </c>
      <c r="H160" s="88" t="s">
        <v>79</v>
      </c>
      <c r="I160" s="37"/>
      <c r="J160" s="37"/>
      <c r="K160" s="37"/>
      <c r="L160" s="37"/>
      <c r="M160" s="37"/>
      <c r="N160" s="89"/>
      <c r="O160" s="90"/>
      <c r="P160" s="96"/>
    </row>
    <row r="161" spans="1:17" ht="57.75" customHeight="1">
      <c r="A161" s="86">
        <v>150101</v>
      </c>
      <c r="B161" s="1" t="s">
        <v>1</v>
      </c>
      <c r="C161" s="122" t="s">
        <v>146</v>
      </c>
      <c r="D161" s="87">
        <f>300+20.647</f>
        <v>320.647</v>
      </c>
      <c r="E161" s="92">
        <f>100-(F161/D161)*100</f>
        <v>0</v>
      </c>
      <c r="F161" s="87">
        <f>SUM(D161)</f>
        <v>320.647</v>
      </c>
      <c r="G161" s="87">
        <v>300</v>
      </c>
      <c r="H161" s="88" t="s">
        <v>79</v>
      </c>
      <c r="I161" s="37"/>
      <c r="J161" s="89"/>
      <c r="K161" s="125"/>
      <c r="L161" s="37"/>
      <c r="M161" s="37"/>
      <c r="N161" s="37"/>
      <c r="O161" s="89"/>
      <c r="P161" s="90"/>
      <c r="Q161" s="96"/>
    </row>
    <row r="162" spans="1:17" ht="56.25" customHeight="1">
      <c r="A162" s="86">
        <v>150101</v>
      </c>
      <c r="B162" s="1" t="s">
        <v>1</v>
      </c>
      <c r="C162" s="122" t="s">
        <v>147</v>
      </c>
      <c r="D162" s="87">
        <v>3401.878</v>
      </c>
      <c r="E162" s="92">
        <f>100-(F162/D162)*100</f>
        <v>0</v>
      </c>
      <c r="F162" s="87">
        <f>SUM(D162)</f>
        <v>3401.878</v>
      </c>
      <c r="G162" s="87">
        <v>159.591</v>
      </c>
      <c r="H162" s="88" t="s">
        <v>79</v>
      </c>
      <c r="I162" s="37"/>
      <c r="J162" s="89"/>
      <c r="K162" s="103"/>
      <c r="L162" s="37"/>
      <c r="M162" s="37"/>
      <c r="N162" s="37"/>
      <c r="O162" s="89"/>
      <c r="P162" s="90"/>
      <c r="Q162" s="96"/>
    </row>
    <row r="163" spans="1:16" ht="47.25" customHeight="1">
      <c r="A163" s="86">
        <v>150101</v>
      </c>
      <c r="B163" s="1" t="s">
        <v>1</v>
      </c>
      <c r="C163" s="114" t="s">
        <v>73</v>
      </c>
      <c r="D163" s="87">
        <v>3417</v>
      </c>
      <c r="E163" s="92">
        <f t="shared" si="11"/>
        <v>0</v>
      </c>
      <c r="F163" s="87">
        <f>D163-0</f>
        <v>3417</v>
      </c>
      <c r="G163" s="87">
        <v>310</v>
      </c>
      <c r="H163" s="88" t="s">
        <v>79</v>
      </c>
      <c r="I163" s="37"/>
      <c r="J163" s="37"/>
      <c r="K163" s="37"/>
      <c r="L163" s="37"/>
      <c r="M163" s="37"/>
      <c r="N163" s="89"/>
      <c r="O163" s="90"/>
      <c r="P163" s="85"/>
    </row>
    <row r="164" spans="1:16" ht="57" customHeight="1">
      <c r="A164" s="86">
        <v>150101</v>
      </c>
      <c r="B164" s="1" t="s">
        <v>1</v>
      </c>
      <c r="C164" s="122" t="s">
        <v>269</v>
      </c>
      <c r="D164" s="87">
        <v>2364.595</v>
      </c>
      <c r="E164" s="92">
        <f>100-(F164/D164)*100</f>
        <v>0</v>
      </c>
      <c r="F164" s="87">
        <f>D164-0</f>
        <v>2364.595</v>
      </c>
      <c r="G164" s="87">
        <v>183.789</v>
      </c>
      <c r="H164" s="88" t="s">
        <v>79</v>
      </c>
      <c r="I164" s="37"/>
      <c r="J164" s="37"/>
      <c r="K164" s="37"/>
      <c r="L164" s="37"/>
      <c r="M164" s="37"/>
      <c r="N164" s="89"/>
      <c r="O164" s="90"/>
      <c r="P164" s="85"/>
    </row>
    <row r="165" spans="1:16" ht="59.25" customHeight="1">
      <c r="A165" s="79">
        <v>15</v>
      </c>
      <c r="B165" s="80" t="s">
        <v>64</v>
      </c>
      <c r="C165" s="80"/>
      <c r="D165" s="81">
        <f>SUM(D166:D168)</f>
        <v>9370.429</v>
      </c>
      <c r="E165" s="81"/>
      <c r="F165" s="81">
        <f>SUM(F166:F168)</f>
        <v>7689.940490000001</v>
      </c>
      <c r="G165" s="81">
        <f>SUM(G166:G168)</f>
        <v>5341.456</v>
      </c>
      <c r="H165" s="82"/>
      <c r="I165" s="36"/>
      <c r="J165" s="36"/>
      <c r="K165" s="36"/>
      <c r="L165" s="36"/>
      <c r="M165" s="36"/>
      <c r="N165" s="83"/>
      <c r="O165" s="90"/>
      <c r="P165" s="85"/>
    </row>
    <row r="166" spans="1:16" ht="78.75" customHeight="1">
      <c r="A166" s="86">
        <v>150101</v>
      </c>
      <c r="B166" s="1" t="s">
        <v>1</v>
      </c>
      <c r="C166" s="1" t="s">
        <v>205</v>
      </c>
      <c r="D166" s="87">
        <v>5314.369</v>
      </c>
      <c r="E166" s="92">
        <f>100-(F166/D166)*100</f>
        <v>10.206197574914341</v>
      </c>
      <c r="F166" s="87">
        <v>4771.974</v>
      </c>
      <c r="G166" s="87">
        <f>1423.49+1000</f>
        <v>2423.49</v>
      </c>
      <c r="H166" s="88" t="s">
        <v>79</v>
      </c>
      <c r="I166" s="37"/>
      <c r="J166" s="37"/>
      <c r="K166" s="37"/>
      <c r="L166" s="37"/>
      <c r="M166" s="37"/>
      <c r="N166" s="89"/>
      <c r="O166" s="90"/>
      <c r="P166" s="85"/>
    </row>
    <row r="167" spans="1:16" ht="67.5" customHeight="1">
      <c r="A167" s="86">
        <v>150101</v>
      </c>
      <c r="B167" s="1" t="s">
        <v>1</v>
      </c>
      <c r="C167" s="1" t="s">
        <v>65</v>
      </c>
      <c r="D167" s="87">
        <v>3766.06</v>
      </c>
      <c r="E167" s="92">
        <f>100-(F167/D167)*100</f>
        <v>30.219739196932593</v>
      </c>
      <c r="F167" s="87">
        <f>D167-878.841-259.25251</f>
        <v>2627.9664900000002</v>
      </c>
      <c r="G167" s="87">
        <f>452.799+2175.167</f>
        <v>2627.966</v>
      </c>
      <c r="H167" s="152" t="s">
        <v>82</v>
      </c>
      <c r="I167" s="37"/>
      <c r="J167" s="37"/>
      <c r="K167" s="37"/>
      <c r="L167" s="37"/>
      <c r="M167" s="37"/>
      <c r="N167" s="89"/>
      <c r="O167" s="90"/>
      <c r="P167" s="85"/>
    </row>
    <row r="168" spans="1:16" ht="39.75" customHeight="1">
      <c r="A168" s="86">
        <v>150101</v>
      </c>
      <c r="B168" s="1" t="s">
        <v>1</v>
      </c>
      <c r="C168" s="2" t="s">
        <v>195</v>
      </c>
      <c r="D168" s="87">
        <v>290</v>
      </c>
      <c r="E168" s="92">
        <f>100-(F168/D168)*100</f>
        <v>0</v>
      </c>
      <c r="F168" s="87">
        <v>290</v>
      </c>
      <c r="G168" s="87">
        <v>290</v>
      </c>
      <c r="H168" s="88" t="s">
        <v>79</v>
      </c>
      <c r="I168" s="37"/>
      <c r="J168" s="37"/>
      <c r="K168" s="37"/>
      <c r="L168" s="37"/>
      <c r="M168" s="37"/>
      <c r="N168" s="89"/>
      <c r="O168" s="90"/>
      <c r="P168" s="85"/>
    </row>
    <row r="169" spans="1:16" ht="56.25" customHeight="1">
      <c r="A169" s="79">
        <v>24</v>
      </c>
      <c r="B169" s="80" t="s">
        <v>21</v>
      </c>
      <c r="C169" s="80"/>
      <c r="D169" s="81">
        <f>SUM(D170:D170)</f>
        <v>210</v>
      </c>
      <c r="E169" s="81"/>
      <c r="F169" s="81">
        <f>SUM(F170:F170)</f>
        <v>210</v>
      </c>
      <c r="G169" s="81">
        <f>SUM(G170:G170)</f>
        <v>210</v>
      </c>
      <c r="H169" s="82"/>
      <c r="I169" s="36"/>
      <c r="J169" s="36"/>
      <c r="K169" s="36"/>
      <c r="L169" s="36"/>
      <c r="M169" s="36"/>
      <c r="N169" s="83"/>
      <c r="O169" s="90"/>
      <c r="P169" s="85"/>
    </row>
    <row r="170" spans="1:16" ht="60" customHeight="1">
      <c r="A170" s="86">
        <v>150101</v>
      </c>
      <c r="B170" s="1" t="s">
        <v>1</v>
      </c>
      <c r="C170" s="1" t="s">
        <v>66</v>
      </c>
      <c r="D170" s="100">
        <v>210</v>
      </c>
      <c r="E170" s="92">
        <f>100-(F170/D170)*100</f>
        <v>0</v>
      </c>
      <c r="F170" s="87">
        <f>D170-0</f>
        <v>210</v>
      </c>
      <c r="G170" s="87">
        <v>210</v>
      </c>
      <c r="H170" s="88" t="s">
        <v>79</v>
      </c>
      <c r="I170" s="37"/>
      <c r="J170" s="37"/>
      <c r="K170" s="37"/>
      <c r="L170" s="37"/>
      <c r="M170" s="37"/>
      <c r="N170" s="89"/>
      <c r="O170" s="90"/>
      <c r="P170" s="96"/>
    </row>
    <row r="171" spans="1:16" ht="36.75" customHeight="1">
      <c r="A171" s="126" t="s">
        <v>68</v>
      </c>
      <c r="B171" s="80" t="s">
        <v>148</v>
      </c>
      <c r="C171" s="80"/>
      <c r="D171" s="81">
        <f>SUM(D172:D173)</f>
        <v>2498.718</v>
      </c>
      <c r="E171" s="81"/>
      <c r="F171" s="81">
        <f>SUM(F172:F173)</f>
        <v>2498.718</v>
      </c>
      <c r="G171" s="81">
        <f>SUM(G172:G173)</f>
        <v>2505.783</v>
      </c>
      <c r="H171" s="82"/>
      <c r="I171" s="36"/>
      <c r="J171" s="36"/>
      <c r="K171" s="36"/>
      <c r="L171" s="36"/>
      <c r="M171" s="36"/>
      <c r="N171" s="83"/>
      <c r="O171" s="90"/>
      <c r="P171" s="85"/>
    </row>
    <row r="172" spans="1:16" ht="58.5" customHeight="1">
      <c r="A172" s="86">
        <v>150101</v>
      </c>
      <c r="B172" s="1" t="s">
        <v>1</v>
      </c>
      <c r="C172" s="1" t="s">
        <v>157</v>
      </c>
      <c r="D172" s="117"/>
      <c r="E172" s="99"/>
      <c r="F172" s="117"/>
      <c r="G172" s="117">
        <v>7.065</v>
      </c>
      <c r="H172" s="88" t="s">
        <v>81</v>
      </c>
      <c r="I172" s="38"/>
      <c r="J172" s="38"/>
      <c r="K172" s="38"/>
      <c r="L172" s="38"/>
      <c r="M172" s="38"/>
      <c r="N172" s="90"/>
      <c r="O172" s="121"/>
      <c r="P172" s="85"/>
    </row>
    <row r="173" spans="1:16" ht="45" customHeight="1">
      <c r="A173" s="86">
        <v>150101</v>
      </c>
      <c r="B173" s="1" t="s">
        <v>1</v>
      </c>
      <c r="C173" s="1" t="s">
        <v>236</v>
      </c>
      <c r="D173" s="117">
        <v>2498.718</v>
      </c>
      <c r="E173" s="99"/>
      <c r="F173" s="117">
        <v>2498.718</v>
      </c>
      <c r="G173" s="117">
        <v>2498.718</v>
      </c>
      <c r="H173" s="88"/>
      <c r="I173" s="38"/>
      <c r="J173" s="38"/>
      <c r="K173" s="38"/>
      <c r="L173" s="38"/>
      <c r="M173" s="38"/>
      <c r="N173" s="90"/>
      <c r="O173" s="121"/>
      <c r="P173" s="85"/>
    </row>
    <row r="174" spans="1:11" s="110" customFormat="1" ht="56.25" customHeight="1">
      <c r="A174" s="79">
        <v>93</v>
      </c>
      <c r="B174" s="127" t="s">
        <v>74</v>
      </c>
      <c r="C174" s="128"/>
      <c r="D174" s="129">
        <f>SUM(D175:D177)</f>
        <v>4408.734</v>
      </c>
      <c r="E174" s="130"/>
      <c r="F174" s="129">
        <f>SUM(F175:F177)</f>
        <v>4408.734</v>
      </c>
      <c r="G174" s="129">
        <f>SUM(G175:G177)</f>
        <v>1272.945</v>
      </c>
      <c r="H174" s="131"/>
      <c r="I174" s="132"/>
      <c r="J174" s="84"/>
      <c r="K174" s="133"/>
    </row>
    <row r="175" spans="1:11" ht="41.25" customHeight="1">
      <c r="A175" s="86">
        <v>150101</v>
      </c>
      <c r="B175" s="114" t="s">
        <v>1</v>
      </c>
      <c r="C175" s="1" t="s">
        <v>165</v>
      </c>
      <c r="D175" s="91">
        <v>3333.606</v>
      </c>
      <c r="E175" s="92">
        <f>100-(F175/D175)*100</f>
        <v>0</v>
      </c>
      <c r="F175" s="87">
        <f>D175-0</f>
        <v>3333.606</v>
      </c>
      <c r="G175" s="91">
        <f>2000-1802.183</f>
        <v>197.817</v>
      </c>
      <c r="H175" s="88" t="s">
        <v>79</v>
      </c>
      <c r="I175" s="93"/>
      <c r="J175" s="89"/>
      <c r="K175" s="103"/>
    </row>
    <row r="176" spans="1:11" ht="38.25" customHeight="1">
      <c r="A176" s="86">
        <v>150101</v>
      </c>
      <c r="B176" s="114" t="s">
        <v>1</v>
      </c>
      <c r="C176" s="1" t="s">
        <v>233</v>
      </c>
      <c r="D176" s="91">
        <v>78.81</v>
      </c>
      <c r="E176" s="92">
        <f>100-(F176/D176)*100</f>
        <v>0</v>
      </c>
      <c r="F176" s="87">
        <f>D176-0</f>
        <v>78.81</v>
      </c>
      <c r="G176" s="91">
        <v>78.81</v>
      </c>
      <c r="H176" s="88" t="s">
        <v>191</v>
      </c>
      <c r="I176" s="93"/>
      <c r="J176" s="89"/>
      <c r="K176" s="103"/>
    </row>
    <row r="177" spans="1:11" ht="38.25" customHeight="1">
      <c r="A177" s="86">
        <v>150101</v>
      </c>
      <c r="B177" s="114" t="s">
        <v>1</v>
      </c>
      <c r="C177" s="1" t="s">
        <v>85</v>
      </c>
      <c r="D177" s="91">
        <v>996.318</v>
      </c>
      <c r="E177" s="92">
        <f>100-(F177/D177)*100</f>
        <v>0</v>
      </c>
      <c r="F177" s="87">
        <v>996.318</v>
      </c>
      <c r="G177" s="91">
        <v>996.318</v>
      </c>
      <c r="H177" s="88" t="s">
        <v>79</v>
      </c>
      <c r="I177" s="93"/>
      <c r="J177" s="89"/>
      <c r="K177" s="119"/>
    </row>
    <row r="178" spans="1:11" s="110" customFormat="1" ht="71.25" customHeight="1">
      <c r="A178" s="79">
        <v>92</v>
      </c>
      <c r="B178" s="127" t="s">
        <v>75</v>
      </c>
      <c r="C178" s="80"/>
      <c r="D178" s="129">
        <f>SUM(D179:D183)</f>
        <v>4212.384</v>
      </c>
      <c r="E178" s="134"/>
      <c r="F178" s="129">
        <f>SUM(F179:F183)</f>
        <v>4212.384</v>
      </c>
      <c r="G178" s="129">
        <f>SUM(G179:G183)</f>
        <v>4212.384</v>
      </c>
      <c r="H178" s="131"/>
      <c r="I178" s="132"/>
      <c r="J178" s="84"/>
      <c r="K178" s="133"/>
    </row>
    <row r="179" spans="1:11" ht="41.25" customHeight="1">
      <c r="A179" s="86">
        <v>150101</v>
      </c>
      <c r="B179" s="114" t="s">
        <v>1</v>
      </c>
      <c r="C179" s="1" t="s">
        <v>219</v>
      </c>
      <c r="D179" s="91">
        <v>336.698</v>
      </c>
      <c r="E179" s="92">
        <f>100-(F179/D179)*100</f>
        <v>0</v>
      </c>
      <c r="F179" s="87">
        <f>D179-0</f>
        <v>336.698</v>
      </c>
      <c r="G179" s="91">
        <v>336.698</v>
      </c>
      <c r="H179" s="88" t="s">
        <v>79</v>
      </c>
      <c r="I179" s="93"/>
      <c r="J179" s="90"/>
      <c r="K179" s="103"/>
    </row>
    <row r="180" spans="1:11" ht="54.75" customHeight="1">
      <c r="A180" s="86">
        <v>150101</v>
      </c>
      <c r="B180" s="114" t="s">
        <v>1</v>
      </c>
      <c r="C180" s="1" t="s">
        <v>214</v>
      </c>
      <c r="D180" s="91">
        <v>1000</v>
      </c>
      <c r="E180" s="92">
        <v>0</v>
      </c>
      <c r="F180" s="87">
        <v>1000</v>
      </c>
      <c r="G180" s="91">
        <v>1000</v>
      </c>
      <c r="H180" s="88" t="s">
        <v>79</v>
      </c>
      <c r="I180" s="93"/>
      <c r="J180" s="89"/>
      <c r="K180" s="103"/>
    </row>
    <row r="181" spans="1:11" ht="41.25" customHeight="1">
      <c r="A181" s="86">
        <v>150101</v>
      </c>
      <c r="B181" s="114" t="s">
        <v>1</v>
      </c>
      <c r="C181" s="1" t="s">
        <v>225</v>
      </c>
      <c r="D181" s="91">
        <v>1000</v>
      </c>
      <c r="E181" s="92">
        <v>0</v>
      </c>
      <c r="F181" s="87">
        <v>1000</v>
      </c>
      <c r="G181" s="91">
        <v>1000</v>
      </c>
      <c r="H181" s="88" t="s">
        <v>79</v>
      </c>
      <c r="I181" s="93"/>
      <c r="J181" s="89"/>
      <c r="K181" s="103"/>
    </row>
    <row r="182" spans="1:11" ht="41.25" customHeight="1">
      <c r="A182" s="86">
        <v>150101</v>
      </c>
      <c r="B182" s="114" t="s">
        <v>1</v>
      </c>
      <c r="C182" s="1" t="s">
        <v>220</v>
      </c>
      <c r="D182" s="91">
        <f>1000-0.264</f>
        <v>999.736</v>
      </c>
      <c r="E182" s="92">
        <v>0</v>
      </c>
      <c r="F182" s="87">
        <f>SUM(D182)</f>
        <v>999.736</v>
      </c>
      <c r="G182" s="91">
        <f>1000-0.264</f>
        <v>999.736</v>
      </c>
      <c r="H182" s="88" t="s">
        <v>79</v>
      </c>
      <c r="I182" s="93"/>
      <c r="J182" s="89"/>
      <c r="K182" s="103"/>
    </row>
    <row r="183" spans="1:11" ht="41.25" customHeight="1">
      <c r="A183" s="86">
        <v>150101</v>
      </c>
      <c r="B183" s="114" t="s">
        <v>1</v>
      </c>
      <c r="C183" s="1" t="s">
        <v>221</v>
      </c>
      <c r="D183" s="91">
        <f>1000-124.05</f>
        <v>875.95</v>
      </c>
      <c r="E183" s="92">
        <v>0</v>
      </c>
      <c r="F183" s="87">
        <f>SUM(D183)</f>
        <v>875.95</v>
      </c>
      <c r="G183" s="91">
        <f>1000-124.05</f>
        <v>875.95</v>
      </c>
      <c r="H183" s="88" t="s">
        <v>79</v>
      </c>
      <c r="I183" s="93"/>
      <c r="J183" s="89"/>
      <c r="K183" s="103"/>
    </row>
    <row r="184" spans="1:11" s="110" customFormat="1" ht="59.25" customHeight="1">
      <c r="A184" s="79">
        <v>95</v>
      </c>
      <c r="B184" s="127" t="s">
        <v>106</v>
      </c>
      <c r="C184" s="80"/>
      <c r="D184" s="129">
        <f>SUM(D185:D185)</f>
        <v>552</v>
      </c>
      <c r="E184" s="134"/>
      <c r="F184" s="129">
        <f>SUM(F185:F185)</f>
        <v>552</v>
      </c>
      <c r="G184" s="129">
        <f>SUM(G185:G185)</f>
        <v>552</v>
      </c>
      <c r="H184" s="131"/>
      <c r="I184" s="132"/>
      <c r="J184" s="84"/>
      <c r="K184" s="133"/>
    </row>
    <row r="185" spans="1:11" ht="38.25" customHeight="1">
      <c r="A185" s="86">
        <v>150101</v>
      </c>
      <c r="B185" s="114" t="s">
        <v>1</v>
      </c>
      <c r="C185" s="1" t="s">
        <v>234</v>
      </c>
      <c r="D185" s="91">
        <v>552</v>
      </c>
      <c r="E185" s="92">
        <f>100-(F185/D185)*100</f>
        <v>0</v>
      </c>
      <c r="F185" s="87">
        <v>552</v>
      </c>
      <c r="G185" s="91">
        <v>552</v>
      </c>
      <c r="H185" s="88" t="s">
        <v>79</v>
      </c>
      <c r="I185" s="93"/>
      <c r="J185" s="90"/>
      <c r="K185" s="103"/>
    </row>
    <row r="186" spans="1:11" ht="111" customHeight="1">
      <c r="A186" s="79">
        <v>67</v>
      </c>
      <c r="B186" s="127" t="s">
        <v>224</v>
      </c>
      <c r="C186" s="1"/>
      <c r="D186" s="91"/>
      <c r="E186" s="92"/>
      <c r="F186" s="87"/>
      <c r="G186" s="129">
        <f>SUM(G187)</f>
        <v>6350</v>
      </c>
      <c r="H186" s="88"/>
      <c r="I186" s="93"/>
      <c r="J186" s="90"/>
      <c r="K186" s="103"/>
    </row>
    <row r="187" spans="1:11" ht="50.25" customHeight="1">
      <c r="A187" s="86">
        <v>210105</v>
      </c>
      <c r="B187" s="154" t="s">
        <v>222</v>
      </c>
      <c r="C187" s="1" t="s">
        <v>217</v>
      </c>
      <c r="D187" s="91"/>
      <c r="E187" s="92"/>
      <c r="F187" s="87"/>
      <c r="G187" s="91">
        <f>391.846+5958.154</f>
        <v>6350</v>
      </c>
      <c r="H187" s="88"/>
      <c r="I187" s="93"/>
      <c r="J187" s="90"/>
      <c r="K187" s="103"/>
    </row>
    <row r="188" spans="1:11" s="110" customFormat="1" ht="74.25" customHeight="1">
      <c r="A188" s="79">
        <v>65</v>
      </c>
      <c r="B188" s="127" t="s">
        <v>103</v>
      </c>
      <c r="C188" s="80"/>
      <c r="D188" s="129"/>
      <c r="E188" s="134"/>
      <c r="F188" s="129"/>
      <c r="G188" s="129">
        <v>3475.428</v>
      </c>
      <c r="H188" s="131"/>
      <c r="I188" s="132"/>
      <c r="J188" s="84"/>
      <c r="K188" s="133"/>
    </row>
    <row r="189" spans="1:11" s="110" customFormat="1" ht="57.75" customHeight="1">
      <c r="A189" s="177">
        <v>180409</v>
      </c>
      <c r="B189" s="178" t="s">
        <v>39</v>
      </c>
      <c r="C189" s="2" t="s">
        <v>215</v>
      </c>
      <c r="D189" s="129"/>
      <c r="E189" s="134"/>
      <c r="F189" s="129"/>
      <c r="G189" s="91">
        <v>3475.428</v>
      </c>
      <c r="H189" s="131"/>
      <c r="I189" s="132"/>
      <c r="J189" s="84"/>
      <c r="K189" s="133"/>
    </row>
    <row r="190" spans="1:11" s="110" customFormat="1" ht="18" customHeight="1">
      <c r="A190" s="177"/>
      <c r="B190" s="178"/>
      <c r="C190" s="2" t="s">
        <v>216</v>
      </c>
      <c r="D190" s="129"/>
      <c r="E190" s="134"/>
      <c r="F190" s="129"/>
      <c r="G190" s="91">
        <v>549.534</v>
      </c>
      <c r="H190" s="131"/>
      <c r="I190" s="132"/>
      <c r="J190" s="84"/>
      <c r="K190" s="133"/>
    </row>
    <row r="191" spans="1:11" s="110" customFormat="1" ht="21" customHeight="1" thickBot="1">
      <c r="A191" s="181"/>
      <c r="B191" s="180"/>
      <c r="C191" s="161" t="s">
        <v>223</v>
      </c>
      <c r="D191" s="157"/>
      <c r="E191" s="158"/>
      <c r="F191" s="159"/>
      <c r="G191" s="157">
        <v>2925.894</v>
      </c>
      <c r="H191" s="160"/>
      <c r="I191" s="132"/>
      <c r="J191" s="84"/>
      <c r="K191" s="133"/>
    </row>
    <row r="192" spans="3:11" ht="18.75">
      <c r="C192" s="73"/>
      <c r="J192" s="38"/>
      <c r="K192" s="136"/>
    </row>
    <row r="193" spans="3:7" ht="17.25" customHeight="1">
      <c r="C193" s="135"/>
      <c r="D193" s="38"/>
      <c r="E193" s="137"/>
      <c r="F193" s="38"/>
      <c r="G193" s="38"/>
    </row>
    <row r="194" spans="2:7" s="141" customFormat="1" ht="15.75" customHeight="1">
      <c r="B194" s="175"/>
      <c r="C194" s="175"/>
      <c r="D194" s="139"/>
      <c r="E194" s="140"/>
      <c r="F194" s="139"/>
      <c r="G194" s="139"/>
    </row>
    <row r="195" ht="21.75" customHeight="1"/>
    <row r="196" ht="17.25" customHeight="1"/>
    <row r="199" spans="3:5" ht="18.75">
      <c r="C199" s="73"/>
      <c r="E199" s="73"/>
    </row>
    <row r="200" spans="3:5" ht="18.75">
      <c r="C200" s="73"/>
      <c r="E200" s="73"/>
    </row>
    <row r="201" spans="3:5" ht="18.75">
      <c r="C201" s="73"/>
      <c r="E201" s="73"/>
    </row>
    <row r="202" spans="3:5" ht="18.75">
      <c r="C202" s="73"/>
      <c r="E202" s="73"/>
    </row>
    <row r="203" spans="3:5" ht="18.75">
      <c r="C203" s="73"/>
      <c r="E203" s="73"/>
    </row>
    <row r="204" spans="3:5" ht="18.75">
      <c r="C204" s="73"/>
      <c r="E204" s="73"/>
    </row>
    <row r="205" spans="3:5" ht="18.75">
      <c r="C205" s="73"/>
      <c r="E205" s="73"/>
    </row>
    <row r="206" spans="3:5" ht="18.75">
      <c r="C206" s="73"/>
      <c r="E206" s="73"/>
    </row>
    <row r="207" spans="3:5" ht="18.75">
      <c r="C207" s="73"/>
      <c r="E207" s="73"/>
    </row>
    <row r="208" spans="3:5" ht="18.75">
      <c r="C208" s="73"/>
      <c r="E208" s="73"/>
    </row>
    <row r="209" spans="3:5" ht="18.75">
      <c r="C209" s="73"/>
      <c r="E209" s="73"/>
    </row>
    <row r="210" spans="3:5" ht="18.75">
      <c r="C210" s="73"/>
      <c r="E210" s="73"/>
    </row>
    <row r="211" spans="3:5" ht="18.75">
      <c r="C211" s="73"/>
      <c r="E211" s="73"/>
    </row>
    <row r="212" spans="3:5" ht="18.75">
      <c r="C212" s="73"/>
      <c r="E212" s="73"/>
    </row>
    <row r="213" spans="3:5" ht="18.75">
      <c r="C213" s="73"/>
      <c r="E213" s="73"/>
    </row>
    <row r="214" spans="3:5" ht="18.75">
      <c r="C214" s="73"/>
      <c r="E214" s="73"/>
    </row>
    <row r="215" spans="3:5" ht="18.75">
      <c r="C215" s="73"/>
      <c r="E215" s="73"/>
    </row>
    <row r="216" spans="3:5" ht="18.75">
      <c r="C216" s="73"/>
      <c r="E216" s="73"/>
    </row>
    <row r="217" spans="3:5" ht="18.75">
      <c r="C217" s="73"/>
      <c r="E217" s="73"/>
    </row>
    <row r="218" spans="3:5" ht="18.75">
      <c r="C218" s="73"/>
      <c r="E218" s="73"/>
    </row>
    <row r="219" spans="3:5" ht="18.75">
      <c r="C219" s="73"/>
      <c r="E219" s="73"/>
    </row>
    <row r="220" spans="3:5" ht="18.75">
      <c r="C220" s="73"/>
      <c r="E220" s="73"/>
    </row>
    <row r="221" spans="3:5" ht="18.75">
      <c r="C221" s="73"/>
      <c r="E221" s="73"/>
    </row>
    <row r="222" spans="3:5" ht="18.75">
      <c r="C222" s="73"/>
      <c r="E222" s="73"/>
    </row>
    <row r="223" spans="3:5" ht="18.75">
      <c r="C223" s="73"/>
      <c r="E223" s="73"/>
    </row>
    <row r="224" spans="3:5" ht="18.75">
      <c r="C224" s="73"/>
      <c r="E224" s="73"/>
    </row>
    <row r="225" spans="3:5" ht="18.75">
      <c r="C225" s="73"/>
      <c r="E225" s="73"/>
    </row>
    <row r="226" spans="3:5" ht="18.75">
      <c r="C226" s="73"/>
      <c r="E226" s="73"/>
    </row>
    <row r="227" spans="3:5" ht="18.75">
      <c r="C227" s="73"/>
      <c r="E227" s="73"/>
    </row>
    <row r="228" spans="3:5" ht="18.75">
      <c r="C228" s="73"/>
      <c r="E228" s="73"/>
    </row>
    <row r="229" spans="3:5" ht="18.75">
      <c r="C229" s="73"/>
      <c r="E229" s="73"/>
    </row>
    <row r="230" spans="3:5" ht="18.75">
      <c r="C230" s="73"/>
      <c r="E230" s="73"/>
    </row>
    <row r="231" spans="3:5" ht="18.75">
      <c r="C231" s="73"/>
      <c r="E231" s="73"/>
    </row>
    <row r="232" spans="3:5" ht="18.75">
      <c r="C232" s="73"/>
      <c r="E232" s="73"/>
    </row>
    <row r="233" spans="3:5" ht="18.75">
      <c r="C233" s="73"/>
      <c r="E233" s="73"/>
    </row>
    <row r="234" spans="3:5" ht="18.75">
      <c r="C234" s="73"/>
      <c r="E234" s="73"/>
    </row>
    <row r="235" spans="3:5" ht="18.75">
      <c r="C235" s="73"/>
      <c r="E235" s="73"/>
    </row>
  </sheetData>
  <sheetProtection/>
  <mergeCells count="24">
    <mergeCell ref="K31:K33"/>
    <mergeCell ref="G7:H7"/>
    <mergeCell ref="A8:H8"/>
    <mergeCell ref="H12:H13"/>
    <mergeCell ref="B11:C11"/>
    <mergeCell ref="F1:H1"/>
    <mergeCell ref="F2:H2"/>
    <mergeCell ref="F3:H3"/>
    <mergeCell ref="F12:F13"/>
    <mergeCell ref="G12:G13"/>
    <mergeCell ref="A10:H10"/>
    <mergeCell ref="C12:C13"/>
    <mergeCell ref="D12:D13"/>
    <mergeCell ref="E12:E13"/>
    <mergeCell ref="F5:H6"/>
    <mergeCell ref="B194:C194"/>
    <mergeCell ref="B89:B91"/>
    <mergeCell ref="A89:A91"/>
    <mergeCell ref="C89:C91"/>
    <mergeCell ref="A92:A94"/>
    <mergeCell ref="B92:B94"/>
    <mergeCell ref="C92:C94"/>
    <mergeCell ref="B189:B191"/>
    <mergeCell ref="A189:A191"/>
  </mergeCells>
  <printOptions/>
  <pageMargins left="0.31496062992125984" right="0.2362204724409449" top="0.89" bottom="0.2362204724409449" header="0.69" footer="0.1968503937007874"/>
  <pageSetup horizontalDpi="600" verticalDpi="600" orientation="landscape" paperSize="9" scale="63"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P78"/>
  <sheetViews>
    <sheetView view="pageBreakPreview" zoomScale="80" zoomScaleSheetLayoutView="80" zoomScalePageLayoutView="0" workbookViewId="0" topLeftCell="A1">
      <selection activeCell="E1" sqref="E1:E16384"/>
    </sheetView>
  </sheetViews>
  <sheetFormatPr defaultColWidth="9.140625" defaultRowHeight="15"/>
  <cols>
    <col min="1" max="1" width="19.140625" style="15" customWidth="1"/>
    <col min="2" max="2" width="47.8515625" style="15" customWidth="1"/>
    <col min="3" max="3" width="21.140625" style="15" customWidth="1"/>
    <col min="4" max="4" width="15.140625" style="10" customWidth="1"/>
    <col min="5" max="5" width="16.140625" style="35" bestFit="1" customWidth="1"/>
    <col min="6" max="9" width="9.140625" style="14" customWidth="1"/>
    <col min="10" max="16384" width="9.140625" style="15" customWidth="1"/>
  </cols>
  <sheetData>
    <row r="1" spans="1:6" s="5" customFormat="1" ht="22.5" customHeight="1">
      <c r="A1" s="3"/>
      <c r="B1" s="3"/>
      <c r="C1" s="3"/>
      <c r="D1" s="4" t="s">
        <v>26</v>
      </c>
      <c r="E1" s="31"/>
      <c r="F1" s="11"/>
    </row>
    <row r="2" spans="1:5" s="5" customFormat="1" ht="34.5" customHeight="1">
      <c r="A2" s="196" t="s">
        <v>25</v>
      </c>
      <c r="B2" s="196"/>
      <c r="C2" s="196"/>
      <c r="D2" s="196"/>
      <c r="E2" s="32"/>
    </row>
    <row r="3" spans="1:5" s="5" customFormat="1" ht="19.5" customHeight="1" thickBot="1">
      <c r="A3" s="3"/>
      <c r="B3" s="3"/>
      <c r="C3" s="6"/>
      <c r="D3" s="4" t="s">
        <v>8</v>
      </c>
      <c r="E3" s="32"/>
    </row>
    <row r="4" spans="1:5" s="38" customFormat="1" ht="57.75" customHeight="1">
      <c r="A4" s="39" t="s">
        <v>3</v>
      </c>
      <c r="B4" s="20" t="s">
        <v>5</v>
      </c>
      <c r="C4" s="197" t="s">
        <v>7</v>
      </c>
      <c r="D4" s="199" t="s">
        <v>9</v>
      </c>
      <c r="E4" s="31"/>
    </row>
    <row r="5" spans="1:5" s="38" customFormat="1" ht="63.75" customHeight="1" thickBot="1">
      <c r="A5" s="143" t="s">
        <v>4</v>
      </c>
      <c r="B5" s="144" t="s">
        <v>6</v>
      </c>
      <c r="C5" s="198"/>
      <c r="D5" s="200"/>
      <c r="E5" s="31"/>
    </row>
    <row r="6" spans="1:5" s="38" customFormat="1" ht="18" customHeight="1" thickBot="1">
      <c r="A6" s="40">
        <v>1</v>
      </c>
      <c r="B6" s="41">
        <v>2</v>
      </c>
      <c r="C6" s="41">
        <v>3</v>
      </c>
      <c r="D6" s="42">
        <v>4</v>
      </c>
      <c r="E6" s="37"/>
    </row>
    <row r="7" spans="1:5" s="38" customFormat="1" ht="21.75" customHeight="1">
      <c r="A7" s="27"/>
      <c r="B7" s="28" t="s">
        <v>12</v>
      </c>
      <c r="C7" s="29"/>
      <c r="D7" s="30">
        <f>SUM(D8+D11+D20+D26+D31+D33+D35+D41+D43+D45+D48+D50+D52+D54+D56+D58+D63+D66+D69+D71+D60+D74)</f>
        <v>60071.592</v>
      </c>
      <c r="E7" s="31"/>
    </row>
    <row r="8" spans="1:15" ht="25.5" customHeight="1">
      <c r="A8" s="21" t="s">
        <v>68</v>
      </c>
      <c r="B8" s="12" t="s">
        <v>148</v>
      </c>
      <c r="C8" s="12"/>
      <c r="D8" s="22">
        <f>SUM(D9:D10)</f>
        <v>719.211</v>
      </c>
      <c r="E8" s="33"/>
      <c r="F8" s="13"/>
      <c r="H8" s="36"/>
      <c r="I8" s="36"/>
      <c r="J8" s="36"/>
      <c r="K8" s="36"/>
      <c r="L8" s="36"/>
      <c r="M8" s="36"/>
      <c r="N8" s="5"/>
      <c r="O8" s="7"/>
    </row>
    <row r="9" spans="1:15" ht="21" customHeight="1">
      <c r="A9" s="23" t="s">
        <v>17</v>
      </c>
      <c r="B9" s="2" t="s">
        <v>18</v>
      </c>
      <c r="C9" s="16" t="s">
        <v>86</v>
      </c>
      <c r="D9" s="24">
        <v>575.555</v>
      </c>
      <c r="E9" s="34"/>
      <c r="F9" s="17"/>
      <c r="H9" s="36"/>
      <c r="I9" s="36"/>
      <c r="J9" s="36"/>
      <c r="K9" s="36"/>
      <c r="L9" s="36"/>
      <c r="M9" s="36"/>
      <c r="N9" s="5"/>
      <c r="O9" s="7"/>
    </row>
    <row r="10" spans="1:15" ht="19.5" customHeight="1">
      <c r="A10" s="25">
        <v>250404</v>
      </c>
      <c r="B10" s="16" t="s">
        <v>107</v>
      </c>
      <c r="C10" s="16" t="s">
        <v>86</v>
      </c>
      <c r="D10" s="24">
        <v>143.656</v>
      </c>
      <c r="E10" s="34"/>
      <c r="F10" s="17"/>
      <c r="H10" s="36"/>
      <c r="I10" s="36"/>
      <c r="J10" s="36"/>
      <c r="K10" s="36"/>
      <c r="L10" s="36"/>
      <c r="M10" s="36"/>
      <c r="N10" s="5"/>
      <c r="O10" s="7"/>
    </row>
    <row r="11" spans="1:15" ht="37.5">
      <c r="A11" s="21">
        <v>10</v>
      </c>
      <c r="B11" s="12" t="s">
        <v>14</v>
      </c>
      <c r="C11" s="12"/>
      <c r="D11" s="22">
        <f>SUM(D12:D19)</f>
        <v>5128.075999999999</v>
      </c>
      <c r="E11" s="33"/>
      <c r="F11" s="13"/>
      <c r="H11" s="36"/>
      <c r="I11" s="36"/>
      <c r="J11" s="36"/>
      <c r="K11" s="36"/>
      <c r="L11" s="36"/>
      <c r="M11" s="36"/>
      <c r="N11" s="5"/>
      <c r="O11" s="7"/>
    </row>
    <row r="12" spans="1:15" ht="25.5" customHeight="1">
      <c r="A12" s="23" t="s">
        <v>87</v>
      </c>
      <c r="B12" s="2" t="s">
        <v>108</v>
      </c>
      <c r="C12" s="16" t="s">
        <v>86</v>
      </c>
      <c r="D12" s="24">
        <v>619.758</v>
      </c>
      <c r="E12" s="34"/>
      <c r="F12" s="17"/>
      <c r="H12" s="36"/>
      <c r="I12" s="36"/>
      <c r="J12" s="36"/>
      <c r="K12" s="36"/>
      <c r="L12" s="36"/>
      <c r="M12" s="36"/>
      <c r="N12" s="5"/>
      <c r="O12" s="7"/>
    </row>
    <row r="13" spans="1:15" ht="72" customHeight="1">
      <c r="A13" s="23" t="s">
        <v>15</v>
      </c>
      <c r="B13" s="1" t="s">
        <v>16</v>
      </c>
      <c r="C13" s="16" t="s">
        <v>86</v>
      </c>
      <c r="D13" s="24">
        <v>3780.943</v>
      </c>
      <c r="E13" s="34"/>
      <c r="F13" s="17"/>
      <c r="H13" s="36"/>
      <c r="I13" s="36"/>
      <c r="J13" s="36"/>
      <c r="K13" s="36"/>
      <c r="L13" s="36"/>
      <c r="M13" s="36"/>
      <c r="N13" s="5"/>
      <c r="O13" s="7"/>
    </row>
    <row r="14" spans="1:16" ht="18" customHeight="1">
      <c r="A14" s="23" t="s">
        <v>88</v>
      </c>
      <c r="B14" s="16" t="s">
        <v>118</v>
      </c>
      <c r="C14" s="16" t="s">
        <v>86</v>
      </c>
      <c r="D14" s="24">
        <v>9.2</v>
      </c>
      <c r="E14" s="34"/>
      <c r="F14" s="17"/>
      <c r="H14" s="36"/>
      <c r="I14" s="36"/>
      <c r="J14" s="36"/>
      <c r="K14" s="36"/>
      <c r="L14" s="36"/>
      <c r="M14" s="36"/>
      <c r="N14" s="5"/>
      <c r="O14" s="7"/>
      <c r="P14" s="5"/>
    </row>
    <row r="15" spans="1:16" ht="37.5">
      <c r="A15" s="23" t="s">
        <v>89</v>
      </c>
      <c r="B15" s="1" t="s">
        <v>149</v>
      </c>
      <c r="C15" s="16" t="s">
        <v>86</v>
      </c>
      <c r="D15" s="24">
        <v>463.775</v>
      </c>
      <c r="E15" s="34"/>
      <c r="F15" s="17"/>
      <c r="H15" s="36"/>
      <c r="I15" s="36"/>
      <c r="J15" s="36"/>
      <c r="K15" s="36"/>
      <c r="L15" s="36"/>
      <c r="M15" s="36"/>
      <c r="N15" s="5"/>
      <c r="O15" s="7"/>
      <c r="P15" s="5"/>
    </row>
    <row r="16" spans="1:16" ht="37.5">
      <c r="A16" s="23" t="s">
        <v>184</v>
      </c>
      <c r="B16" s="1" t="s">
        <v>185</v>
      </c>
      <c r="C16" s="16" t="s">
        <v>86</v>
      </c>
      <c r="D16" s="24">
        <v>24.5</v>
      </c>
      <c r="E16" s="34"/>
      <c r="F16" s="17"/>
      <c r="H16" s="36"/>
      <c r="I16" s="36"/>
      <c r="J16" s="36"/>
      <c r="K16" s="36"/>
      <c r="L16" s="36"/>
      <c r="M16" s="36"/>
      <c r="N16" s="5"/>
      <c r="O16" s="7"/>
      <c r="P16" s="5"/>
    </row>
    <row r="17" spans="1:16" ht="37.5">
      <c r="A17" s="23" t="s">
        <v>186</v>
      </c>
      <c r="B17" s="1" t="s">
        <v>187</v>
      </c>
      <c r="C17" s="16" t="s">
        <v>86</v>
      </c>
      <c r="D17" s="24">
        <v>73.5</v>
      </c>
      <c r="E17" s="34"/>
      <c r="F17" s="17"/>
      <c r="H17" s="36"/>
      <c r="I17" s="36"/>
      <c r="J17" s="36"/>
      <c r="K17" s="36"/>
      <c r="L17" s="36"/>
      <c r="M17" s="36"/>
      <c r="N17" s="5"/>
      <c r="O17" s="7"/>
      <c r="P17" s="5"/>
    </row>
    <row r="18" spans="1:16" ht="36.75" customHeight="1">
      <c r="A18" s="23" t="s">
        <v>188</v>
      </c>
      <c r="B18" s="1" t="s">
        <v>189</v>
      </c>
      <c r="C18" s="16" t="s">
        <v>86</v>
      </c>
      <c r="D18" s="24">
        <v>134.4</v>
      </c>
      <c r="E18" s="34"/>
      <c r="F18" s="17"/>
      <c r="H18" s="36"/>
      <c r="I18" s="36"/>
      <c r="J18" s="36"/>
      <c r="K18" s="36"/>
      <c r="L18" s="36"/>
      <c r="M18" s="36"/>
      <c r="N18" s="5"/>
      <c r="O18" s="7"/>
      <c r="P18" s="5"/>
    </row>
    <row r="19" spans="1:16" ht="39.75" customHeight="1">
      <c r="A19" s="23" t="s">
        <v>90</v>
      </c>
      <c r="B19" s="1" t="s">
        <v>117</v>
      </c>
      <c r="C19" s="16" t="s">
        <v>86</v>
      </c>
      <c r="D19" s="24">
        <v>22</v>
      </c>
      <c r="E19" s="34"/>
      <c r="F19" s="17"/>
      <c r="H19" s="36"/>
      <c r="I19" s="36"/>
      <c r="J19" s="36"/>
      <c r="K19" s="36"/>
      <c r="L19" s="36"/>
      <c r="M19" s="36"/>
      <c r="N19" s="5"/>
      <c r="O19" s="7"/>
      <c r="P19" s="5"/>
    </row>
    <row r="20" spans="1:16" ht="39.75" customHeight="1">
      <c r="A20" s="21">
        <v>14</v>
      </c>
      <c r="B20" s="12" t="s">
        <v>151</v>
      </c>
      <c r="C20" s="12"/>
      <c r="D20" s="22">
        <f>SUM(D21:D25)</f>
        <v>6824.609</v>
      </c>
      <c r="E20" s="33"/>
      <c r="F20" s="13"/>
      <c r="H20" s="36"/>
      <c r="I20" s="36"/>
      <c r="J20" s="36"/>
      <c r="K20" s="36"/>
      <c r="L20" s="36"/>
      <c r="M20" s="36"/>
      <c r="N20" s="5"/>
      <c r="O20" s="7"/>
      <c r="P20" s="5"/>
    </row>
    <row r="21" spans="1:16" ht="18.75" customHeight="1">
      <c r="A21" s="23" t="s">
        <v>19</v>
      </c>
      <c r="B21" s="2" t="s">
        <v>110</v>
      </c>
      <c r="C21" s="16" t="s">
        <v>86</v>
      </c>
      <c r="D21" s="24">
        <v>6034.72</v>
      </c>
      <c r="E21" s="34"/>
      <c r="F21" s="17"/>
      <c r="H21" s="36"/>
      <c r="I21" s="36"/>
      <c r="J21" s="36"/>
      <c r="K21" s="36"/>
      <c r="L21" s="36"/>
      <c r="M21" s="36"/>
      <c r="N21" s="5"/>
      <c r="O21" s="7"/>
      <c r="P21" s="5"/>
    </row>
    <row r="22" spans="1:16" ht="18.75" customHeight="1">
      <c r="A22" s="23" t="s">
        <v>91</v>
      </c>
      <c r="B22" s="1" t="s">
        <v>111</v>
      </c>
      <c r="C22" s="16" t="s">
        <v>86</v>
      </c>
      <c r="D22" s="24">
        <v>189.561</v>
      </c>
      <c r="E22" s="34"/>
      <c r="F22" s="17"/>
      <c r="H22" s="36"/>
      <c r="I22" s="36"/>
      <c r="J22" s="36"/>
      <c r="K22" s="36"/>
      <c r="L22" s="36"/>
      <c r="M22" s="36"/>
      <c r="N22" s="5"/>
      <c r="O22" s="7"/>
      <c r="P22" s="5"/>
    </row>
    <row r="23" spans="1:16" ht="75">
      <c r="A23" s="23" t="s">
        <v>92</v>
      </c>
      <c r="B23" s="1" t="s">
        <v>112</v>
      </c>
      <c r="C23" s="16" t="s">
        <v>86</v>
      </c>
      <c r="D23" s="24">
        <v>578.99</v>
      </c>
      <c r="E23" s="34"/>
      <c r="F23" s="17"/>
      <c r="H23" s="36"/>
      <c r="I23" s="36"/>
      <c r="J23" s="36"/>
      <c r="K23" s="36"/>
      <c r="L23" s="36"/>
      <c r="M23" s="36"/>
      <c r="N23" s="5"/>
      <c r="O23" s="7"/>
      <c r="P23" s="5"/>
    </row>
    <row r="24" spans="1:16" ht="36.75" customHeight="1">
      <c r="A24" s="23" t="s">
        <v>254</v>
      </c>
      <c r="B24" s="1" t="s">
        <v>255</v>
      </c>
      <c r="C24" s="16" t="s">
        <v>86</v>
      </c>
      <c r="D24" s="24">
        <v>1.43</v>
      </c>
      <c r="E24" s="34"/>
      <c r="F24" s="17"/>
      <c r="H24" s="36"/>
      <c r="I24" s="36"/>
      <c r="J24" s="36"/>
      <c r="K24" s="36"/>
      <c r="L24" s="36"/>
      <c r="M24" s="36"/>
      <c r="N24" s="5"/>
      <c r="O24" s="7"/>
      <c r="P24" s="5"/>
    </row>
    <row r="25" spans="1:16" ht="22.5" customHeight="1">
      <c r="A25" s="23" t="s">
        <v>93</v>
      </c>
      <c r="B25" s="1" t="s">
        <v>109</v>
      </c>
      <c r="C25" s="16" t="s">
        <v>86</v>
      </c>
      <c r="D25" s="24">
        <v>19.908</v>
      </c>
      <c r="E25" s="34"/>
      <c r="F25" s="17"/>
      <c r="H25" s="36"/>
      <c r="I25" s="36"/>
      <c r="J25" s="36"/>
      <c r="K25" s="36"/>
      <c r="L25" s="36"/>
      <c r="M25" s="36"/>
      <c r="N25" s="5"/>
      <c r="O25" s="7"/>
      <c r="P25" s="5"/>
    </row>
    <row r="26" spans="1:16" ht="37.5" customHeight="1">
      <c r="A26" s="21">
        <v>15</v>
      </c>
      <c r="B26" s="12" t="s">
        <v>64</v>
      </c>
      <c r="C26" s="12"/>
      <c r="D26" s="22">
        <f>SUM(D27:D29)</f>
        <v>1081.8680000000002</v>
      </c>
      <c r="E26" s="33"/>
      <c r="F26" s="13"/>
      <c r="H26" s="36"/>
      <c r="I26" s="36"/>
      <c r="J26" s="36"/>
      <c r="K26" s="36"/>
      <c r="L26" s="36"/>
      <c r="M26" s="36"/>
      <c r="N26" s="5"/>
      <c r="O26" s="7"/>
      <c r="P26" s="5"/>
    </row>
    <row r="27" spans="1:16" ht="54" customHeight="1">
      <c r="A27" s="23" t="s">
        <v>95</v>
      </c>
      <c r="B27" s="1" t="s">
        <v>113</v>
      </c>
      <c r="C27" s="16" t="s">
        <v>86</v>
      </c>
      <c r="D27" s="24">
        <v>438.451</v>
      </c>
      <c r="E27" s="34"/>
      <c r="F27" s="17"/>
      <c r="H27" s="36"/>
      <c r="I27" s="36"/>
      <c r="J27" s="36"/>
      <c r="K27" s="36"/>
      <c r="L27" s="36"/>
      <c r="M27" s="36"/>
      <c r="N27" s="5"/>
      <c r="O27" s="7"/>
      <c r="P27" s="5"/>
    </row>
    <row r="28" spans="1:16" ht="22.5" customHeight="1">
      <c r="A28" s="23" t="s">
        <v>17</v>
      </c>
      <c r="B28" s="2" t="s">
        <v>18</v>
      </c>
      <c r="C28" s="16" t="s">
        <v>86</v>
      </c>
      <c r="D28" s="24">
        <v>607.642</v>
      </c>
      <c r="E28" s="34"/>
      <c r="F28" s="17"/>
      <c r="H28" s="36"/>
      <c r="I28" s="36"/>
      <c r="J28" s="36"/>
      <c r="K28" s="36"/>
      <c r="L28" s="36"/>
      <c r="M28" s="36"/>
      <c r="N28" s="5"/>
      <c r="O28" s="7"/>
      <c r="P28" s="5"/>
    </row>
    <row r="29" spans="1:16" ht="269.25" customHeight="1">
      <c r="A29" s="23" t="s">
        <v>94</v>
      </c>
      <c r="B29" s="43" t="s">
        <v>152</v>
      </c>
      <c r="C29" s="16" t="s">
        <v>86</v>
      </c>
      <c r="D29" s="24">
        <v>35.775</v>
      </c>
      <c r="E29" s="34"/>
      <c r="F29" s="17"/>
      <c r="H29" s="36"/>
      <c r="I29" s="36"/>
      <c r="J29" s="36"/>
      <c r="K29" s="36"/>
      <c r="L29" s="36"/>
      <c r="M29" s="36"/>
      <c r="N29" s="5"/>
      <c r="O29" s="7"/>
      <c r="P29" s="5"/>
    </row>
    <row r="30" spans="1:16" ht="322.5" customHeight="1">
      <c r="A30" s="23"/>
      <c r="B30" s="44" t="s">
        <v>153</v>
      </c>
      <c r="C30" s="16"/>
      <c r="D30" s="24">
        <v>35.775</v>
      </c>
      <c r="E30" s="34"/>
      <c r="F30" s="17"/>
      <c r="H30" s="36"/>
      <c r="I30" s="36"/>
      <c r="J30" s="36"/>
      <c r="K30" s="36"/>
      <c r="L30" s="36"/>
      <c r="M30" s="36"/>
      <c r="N30" s="5"/>
      <c r="O30" s="7"/>
      <c r="P30" s="5"/>
    </row>
    <row r="31" spans="1:16" ht="42" customHeight="1">
      <c r="A31" s="21">
        <v>20</v>
      </c>
      <c r="B31" s="12" t="s">
        <v>20</v>
      </c>
      <c r="C31" s="12"/>
      <c r="D31" s="22">
        <f>SUM(D32)</f>
        <v>16.17</v>
      </c>
      <c r="E31" s="33"/>
      <c r="F31" s="13"/>
      <c r="H31" s="37"/>
      <c r="I31" s="37"/>
      <c r="J31" s="37"/>
      <c r="K31" s="37"/>
      <c r="L31" s="37"/>
      <c r="M31" s="37"/>
      <c r="N31" s="38"/>
      <c r="O31" s="8"/>
      <c r="P31" s="38"/>
    </row>
    <row r="32" spans="1:16" ht="25.5" customHeight="1">
      <c r="A32" s="23" t="s">
        <v>17</v>
      </c>
      <c r="B32" s="2" t="s">
        <v>18</v>
      </c>
      <c r="C32" s="16" t="s">
        <v>86</v>
      </c>
      <c r="D32" s="24">
        <v>16.17</v>
      </c>
      <c r="E32" s="34"/>
      <c r="F32" s="17"/>
      <c r="H32" s="37"/>
      <c r="I32" s="37"/>
      <c r="J32" s="37"/>
      <c r="K32" s="37"/>
      <c r="L32" s="37"/>
      <c r="M32" s="37"/>
      <c r="N32" s="38"/>
      <c r="O32" s="8"/>
      <c r="P32" s="38"/>
    </row>
    <row r="33" spans="1:16" ht="57.75" customHeight="1">
      <c r="A33" s="21">
        <v>23</v>
      </c>
      <c r="B33" s="12" t="s">
        <v>96</v>
      </c>
      <c r="C33" s="12"/>
      <c r="D33" s="22">
        <f>SUM(D34)</f>
        <v>5.254</v>
      </c>
      <c r="E33" s="33"/>
      <c r="F33" s="13"/>
      <c r="H33" s="37"/>
      <c r="I33" s="37"/>
      <c r="J33" s="37"/>
      <c r="K33" s="37"/>
      <c r="L33" s="37"/>
      <c r="M33" s="37"/>
      <c r="N33" s="38"/>
      <c r="O33" s="8"/>
      <c r="P33" s="38"/>
    </row>
    <row r="34" spans="1:16" ht="25.5" customHeight="1">
      <c r="A34" s="23" t="s">
        <v>17</v>
      </c>
      <c r="B34" s="2" t="s">
        <v>18</v>
      </c>
      <c r="C34" s="16" t="s">
        <v>86</v>
      </c>
      <c r="D34" s="24">
        <v>5.254</v>
      </c>
      <c r="E34" s="34"/>
      <c r="F34" s="17"/>
      <c r="H34" s="37"/>
      <c r="I34" s="37"/>
      <c r="J34" s="37"/>
      <c r="K34" s="37"/>
      <c r="L34" s="37"/>
      <c r="M34" s="37"/>
      <c r="N34" s="38"/>
      <c r="O34" s="8"/>
      <c r="P34" s="38"/>
    </row>
    <row r="35" spans="1:16" ht="45" customHeight="1">
      <c r="A35" s="21">
        <v>24</v>
      </c>
      <c r="B35" s="12" t="s">
        <v>21</v>
      </c>
      <c r="C35" s="12"/>
      <c r="D35" s="22">
        <f>SUM(D36:D40)</f>
        <v>2723.823</v>
      </c>
      <c r="E35" s="33"/>
      <c r="F35" s="13"/>
      <c r="H35" s="36"/>
      <c r="I35" s="36"/>
      <c r="J35" s="36"/>
      <c r="K35" s="36"/>
      <c r="L35" s="36"/>
      <c r="M35" s="36"/>
      <c r="N35" s="5"/>
      <c r="O35" s="7"/>
      <c r="P35" s="5"/>
    </row>
    <row r="36" spans="1:15" ht="25.5" customHeight="1">
      <c r="A36" s="23" t="s">
        <v>97</v>
      </c>
      <c r="B36" s="2" t="s">
        <v>116</v>
      </c>
      <c r="C36" s="16" t="s">
        <v>86</v>
      </c>
      <c r="D36" s="24">
        <v>686.157</v>
      </c>
      <c r="E36" s="34"/>
      <c r="F36" s="17"/>
      <c r="H36" s="36"/>
      <c r="I36" s="36"/>
      <c r="J36" s="36"/>
      <c r="K36" s="36"/>
      <c r="L36" s="36"/>
      <c r="M36" s="36"/>
      <c r="N36" s="5"/>
      <c r="O36" s="7"/>
    </row>
    <row r="37" spans="1:15" ht="25.5" customHeight="1">
      <c r="A37" s="23" t="s">
        <v>98</v>
      </c>
      <c r="B37" s="2" t="s">
        <v>114</v>
      </c>
      <c r="C37" s="16" t="s">
        <v>86</v>
      </c>
      <c r="D37" s="24">
        <v>1123.216</v>
      </c>
      <c r="E37" s="34"/>
      <c r="F37" s="17"/>
      <c r="H37" s="36"/>
      <c r="I37" s="36"/>
      <c r="J37" s="36"/>
      <c r="K37" s="36"/>
      <c r="L37" s="36"/>
      <c r="M37" s="36"/>
      <c r="N37" s="5"/>
      <c r="O37" s="7"/>
    </row>
    <row r="38" spans="1:15" ht="37.5">
      <c r="A38" s="23" t="s">
        <v>99</v>
      </c>
      <c r="B38" s="2" t="s">
        <v>115</v>
      </c>
      <c r="C38" s="16" t="s">
        <v>86</v>
      </c>
      <c r="D38" s="24">
        <v>564.116</v>
      </c>
      <c r="E38" s="34"/>
      <c r="F38" s="17"/>
      <c r="H38" s="36"/>
      <c r="I38" s="36"/>
      <c r="J38" s="36"/>
      <c r="K38" s="36"/>
      <c r="L38" s="36"/>
      <c r="M38" s="36"/>
      <c r="N38" s="5"/>
      <c r="O38" s="7"/>
    </row>
    <row r="39" spans="1:15" ht="25.5" customHeight="1">
      <c r="A39" s="23" t="s">
        <v>100</v>
      </c>
      <c r="B39" s="16" t="s">
        <v>150</v>
      </c>
      <c r="C39" s="16" t="s">
        <v>86</v>
      </c>
      <c r="D39" s="24">
        <v>262.138</v>
      </c>
      <c r="E39" s="34"/>
      <c r="F39" s="17"/>
      <c r="H39" s="36"/>
      <c r="I39" s="36"/>
      <c r="J39" s="36"/>
      <c r="K39" s="36"/>
      <c r="L39" s="36"/>
      <c r="M39" s="36"/>
      <c r="N39" s="5"/>
      <c r="O39" s="7"/>
    </row>
    <row r="40" spans="1:15" ht="25.5" customHeight="1">
      <c r="A40" s="23" t="s">
        <v>101</v>
      </c>
      <c r="B40" s="16" t="s">
        <v>119</v>
      </c>
      <c r="C40" s="16" t="s">
        <v>86</v>
      </c>
      <c r="D40" s="24">
        <v>88.196</v>
      </c>
      <c r="E40" s="34"/>
      <c r="F40" s="17"/>
      <c r="H40" s="36"/>
      <c r="I40" s="36"/>
      <c r="J40" s="36"/>
      <c r="K40" s="36"/>
      <c r="L40" s="36"/>
      <c r="M40" s="36"/>
      <c r="N40" s="5"/>
      <c r="O40" s="7"/>
    </row>
    <row r="41" spans="1:15" ht="58.5" customHeight="1">
      <c r="A41" s="21">
        <v>32</v>
      </c>
      <c r="B41" s="12" t="s">
        <v>190</v>
      </c>
      <c r="C41" s="12"/>
      <c r="D41" s="22">
        <f>SUM(D42)</f>
        <v>8.24</v>
      </c>
      <c r="E41" s="33"/>
      <c r="F41" s="13"/>
      <c r="H41" s="36"/>
      <c r="I41" s="36"/>
      <c r="J41" s="36"/>
      <c r="K41" s="36"/>
      <c r="L41" s="36"/>
      <c r="M41" s="36"/>
      <c r="N41" s="5"/>
      <c r="O41" s="7"/>
    </row>
    <row r="42" spans="1:15" ht="25.5" customHeight="1">
      <c r="A42" s="23" t="s">
        <v>17</v>
      </c>
      <c r="B42" s="2" t="s">
        <v>18</v>
      </c>
      <c r="C42" s="16" t="s">
        <v>86</v>
      </c>
      <c r="D42" s="24">
        <v>8.24</v>
      </c>
      <c r="E42" s="34"/>
      <c r="F42" s="17"/>
      <c r="H42" s="36"/>
      <c r="I42" s="36"/>
      <c r="J42" s="36"/>
      <c r="K42" s="36"/>
      <c r="L42" s="36"/>
      <c r="M42" s="36"/>
      <c r="N42" s="5"/>
      <c r="O42" s="7"/>
    </row>
    <row r="43" spans="1:15" ht="40.5" customHeight="1">
      <c r="A43" s="21">
        <v>33</v>
      </c>
      <c r="B43" s="12" t="s">
        <v>231</v>
      </c>
      <c r="C43" s="12"/>
      <c r="D43" s="22">
        <f>SUM(D44)</f>
        <v>43.05</v>
      </c>
      <c r="E43" s="33"/>
      <c r="F43" s="13"/>
      <c r="H43" s="36"/>
      <c r="I43" s="36"/>
      <c r="J43" s="36"/>
      <c r="K43" s="36"/>
      <c r="L43" s="36"/>
      <c r="M43" s="36"/>
      <c r="N43" s="5"/>
      <c r="O43" s="7"/>
    </row>
    <row r="44" spans="1:15" ht="25.5" customHeight="1">
      <c r="A44" s="23" t="s">
        <v>17</v>
      </c>
      <c r="B44" s="2" t="s">
        <v>18</v>
      </c>
      <c r="C44" s="16" t="s">
        <v>86</v>
      </c>
      <c r="D44" s="24">
        <v>43.05</v>
      </c>
      <c r="E44" s="34"/>
      <c r="F44" s="17"/>
      <c r="H44" s="36"/>
      <c r="I44" s="36"/>
      <c r="J44" s="36"/>
      <c r="K44" s="36"/>
      <c r="L44" s="36"/>
      <c r="M44" s="36"/>
      <c r="N44" s="5"/>
      <c r="O44" s="7"/>
    </row>
    <row r="45" spans="1:15" ht="58.5" customHeight="1">
      <c r="A45" s="21">
        <v>40</v>
      </c>
      <c r="B45" s="12" t="s">
        <v>22</v>
      </c>
      <c r="C45" s="12"/>
      <c r="D45" s="22">
        <f>SUM(D46:D47)</f>
        <v>38125.933</v>
      </c>
      <c r="E45" s="33"/>
      <c r="F45" s="13"/>
      <c r="H45" s="36"/>
      <c r="I45" s="36"/>
      <c r="J45" s="36"/>
      <c r="K45" s="36"/>
      <c r="L45" s="36"/>
      <c r="M45" s="36"/>
      <c r="N45" s="5"/>
      <c r="O45" s="7"/>
    </row>
    <row r="46" spans="1:15" ht="45.75" customHeight="1">
      <c r="A46" s="23" t="s">
        <v>23</v>
      </c>
      <c r="B46" s="2" t="s">
        <v>155</v>
      </c>
      <c r="C46" s="16" t="s">
        <v>86</v>
      </c>
      <c r="D46" s="24">
        <v>36022.09</v>
      </c>
      <c r="E46" s="34"/>
      <c r="F46" s="17"/>
      <c r="H46" s="36"/>
      <c r="I46" s="36"/>
      <c r="J46" s="36"/>
      <c r="K46" s="36"/>
      <c r="L46" s="36"/>
      <c r="M46" s="36"/>
      <c r="N46" s="5"/>
      <c r="O46" s="7"/>
    </row>
    <row r="47" spans="1:15" ht="25.5" customHeight="1">
      <c r="A47" s="23" t="s">
        <v>102</v>
      </c>
      <c r="B47" s="2" t="s">
        <v>107</v>
      </c>
      <c r="C47" s="16" t="s">
        <v>86</v>
      </c>
      <c r="D47" s="24">
        <v>2103.843</v>
      </c>
      <c r="E47" s="34"/>
      <c r="F47" s="17"/>
      <c r="H47" s="36"/>
      <c r="I47" s="36"/>
      <c r="J47" s="36"/>
      <c r="K47" s="36"/>
      <c r="L47" s="36"/>
      <c r="M47" s="36"/>
      <c r="N47" s="5"/>
      <c r="O47" s="7"/>
    </row>
    <row r="48" spans="1:15" ht="60" customHeight="1">
      <c r="A48" s="21">
        <v>41</v>
      </c>
      <c r="B48" s="12" t="s">
        <v>32</v>
      </c>
      <c r="C48" s="12" t="s">
        <v>33</v>
      </c>
      <c r="D48" s="22">
        <f>SUM(D49)</f>
        <v>4392.072</v>
      </c>
      <c r="E48" s="33"/>
      <c r="F48" s="13"/>
      <c r="H48" s="36"/>
      <c r="I48" s="36"/>
      <c r="J48" s="36"/>
      <c r="K48" s="36"/>
      <c r="L48" s="36"/>
      <c r="M48" s="36"/>
      <c r="N48" s="9"/>
      <c r="O48" s="7"/>
    </row>
    <row r="49" spans="1:15" ht="25.5" customHeight="1">
      <c r="A49" s="23" t="s">
        <v>24</v>
      </c>
      <c r="B49" s="1" t="s">
        <v>156</v>
      </c>
      <c r="C49" s="16" t="s">
        <v>86</v>
      </c>
      <c r="D49" s="24">
        <v>4392.072</v>
      </c>
      <c r="E49" s="34"/>
      <c r="F49" s="17"/>
      <c r="H49" s="36"/>
      <c r="I49" s="36"/>
      <c r="J49" s="36"/>
      <c r="K49" s="36"/>
      <c r="L49" s="36"/>
      <c r="M49" s="36"/>
      <c r="N49" s="9"/>
      <c r="O49" s="7"/>
    </row>
    <row r="50" spans="1:15" ht="54" customHeight="1">
      <c r="A50" s="21">
        <v>45</v>
      </c>
      <c r="B50" s="12" t="s">
        <v>235</v>
      </c>
      <c r="C50" s="12" t="s">
        <v>33</v>
      </c>
      <c r="D50" s="22">
        <f>SUM(D51)</f>
        <v>10.423</v>
      </c>
      <c r="E50" s="33"/>
      <c r="F50" s="13"/>
      <c r="H50" s="36"/>
      <c r="I50" s="36"/>
      <c r="J50" s="36"/>
      <c r="K50" s="36"/>
      <c r="L50" s="36"/>
      <c r="M50" s="36"/>
      <c r="N50" s="9"/>
      <c r="O50" s="7"/>
    </row>
    <row r="51" spans="1:15" ht="25.5" customHeight="1">
      <c r="A51" s="23" t="s">
        <v>17</v>
      </c>
      <c r="B51" s="2" t="s">
        <v>18</v>
      </c>
      <c r="C51" s="16" t="s">
        <v>86</v>
      </c>
      <c r="D51" s="24">
        <v>10.423</v>
      </c>
      <c r="E51" s="34"/>
      <c r="F51" s="17"/>
      <c r="H51" s="36"/>
      <c r="I51" s="36"/>
      <c r="J51" s="36"/>
      <c r="K51" s="36"/>
      <c r="L51" s="36"/>
      <c r="M51" s="36"/>
      <c r="N51" s="9"/>
      <c r="O51" s="7"/>
    </row>
    <row r="52" spans="1:15" ht="57" customHeight="1">
      <c r="A52" s="21">
        <v>65</v>
      </c>
      <c r="B52" s="12" t="s">
        <v>103</v>
      </c>
      <c r="C52" s="12"/>
      <c r="D52" s="22">
        <f>SUM(D53)</f>
        <v>261.218</v>
      </c>
      <c r="E52" s="33"/>
      <c r="F52" s="13"/>
      <c r="H52" s="36"/>
      <c r="I52" s="36"/>
      <c r="J52" s="36"/>
      <c r="K52" s="5"/>
      <c r="L52" s="5"/>
      <c r="M52" s="5"/>
      <c r="N52" s="5"/>
      <c r="O52" s="5"/>
    </row>
    <row r="53" spans="1:15" ht="25.5" customHeight="1">
      <c r="A53" s="25">
        <v>120100</v>
      </c>
      <c r="B53" s="16" t="s">
        <v>120</v>
      </c>
      <c r="C53" s="16" t="s">
        <v>86</v>
      </c>
      <c r="D53" s="24">
        <v>261.218</v>
      </c>
      <c r="E53" s="34"/>
      <c r="F53" s="17"/>
      <c r="H53" s="36"/>
      <c r="I53" s="36"/>
      <c r="J53" s="36"/>
      <c r="K53" s="5"/>
      <c r="L53" s="5"/>
      <c r="M53" s="5"/>
      <c r="N53" s="5"/>
      <c r="O53" s="5"/>
    </row>
    <row r="54" spans="1:15" ht="37.5" customHeight="1">
      <c r="A54" s="26">
        <v>73</v>
      </c>
      <c r="B54" s="12" t="s">
        <v>2</v>
      </c>
      <c r="C54" s="12"/>
      <c r="D54" s="22">
        <f>SUM(D55)</f>
        <v>6.5</v>
      </c>
      <c r="E54" s="33"/>
      <c r="F54" s="13"/>
      <c r="G54" s="15"/>
      <c r="H54" s="36"/>
      <c r="I54" s="36"/>
      <c r="J54" s="36"/>
      <c r="K54" s="36"/>
      <c r="L54" s="36"/>
      <c r="M54" s="36"/>
      <c r="N54" s="5"/>
      <c r="O54" s="7"/>
    </row>
    <row r="55" spans="1:15" ht="25.5" customHeight="1">
      <c r="A55" s="23" t="s">
        <v>17</v>
      </c>
      <c r="B55" s="2" t="s">
        <v>18</v>
      </c>
      <c r="C55" s="16" t="s">
        <v>86</v>
      </c>
      <c r="D55" s="24">
        <v>6.5</v>
      </c>
      <c r="E55" s="34"/>
      <c r="F55" s="17"/>
      <c r="G55" s="15"/>
      <c r="H55" s="36"/>
      <c r="I55" s="36"/>
      <c r="J55" s="36"/>
      <c r="K55" s="36"/>
      <c r="L55" s="36"/>
      <c r="M55" s="36"/>
      <c r="N55" s="5"/>
      <c r="O55" s="7"/>
    </row>
    <row r="56" spans="1:15" ht="57" customHeight="1">
      <c r="A56" s="26" t="s">
        <v>250</v>
      </c>
      <c r="B56" s="12" t="s">
        <v>105</v>
      </c>
      <c r="C56" s="12"/>
      <c r="D56" s="22">
        <f>SUM(D57)</f>
        <v>7.5</v>
      </c>
      <c r="E56" s="33"/>
      <c r="F56" s="13"/>
      <c r="G56" s="15"/>
      <c r="H56" s="36"/>
      <c r="I56" s="36"/>
      <c r="J56" s="36"/>
      <c r="K56" s="36"/>
      <c r="L56" s="36"/>
      <c r="M56" s="36"/>
      <c r="N56" s="5"/>
      <c r="O56" s="7"/>
    </row>
    <row r="57" spans="1:15" ht="25.5" customHeight="1">
      <c r="A57" s="23" t="s">
        <v>17</v>
      </c>
      <c r="B57" s="2" t="s">
        <v>18</v>
      </c>
      <c r="C57" s="16" t="s">
        <v>86</v>
      </c>
      <c r="D57" s="24">
        <v>7.5</v>
      </c>
      <c r="E57" s="34"/>
      <c r="F57" s="17"/>
      <c r="G57" s="15"/>
      <c r="H57" s="36"/>
      <c r="I57" s="36"/>
      <c r="J57" s="36"/>
      <c r="K57" s="36"/>
      <c r="L57" s="36"/>
      <c r="M57" s="36"/>
      <c r="N57" s="5"/>
      <c r="O57" s="7"/>
    </row>
    <row r="58" spans="1:16" ht="56.25">
      <c r="A58" s="26" t="s">
        <v>104</v>
      </c>
      <c r="B58" s="12" t="s">
        <v>105</v>
      </c>
      <c r="C58" s="12"/>
      <c r="D58" s="22">
        <f>SUM(D59)</f>
        <v>198.704</v>
      </c>
      <c r="E58" s="33"/>
      <c r="F58" s="13"/>
      <c r="H58" s="37"/>
      <c r="I58" s="37"/>
      <c r="J58" s="37"/>
      <c r="K58" s="37"/>
      <c r="L58" s="37"/>
      <c r="M58" s="37"/>
      <c r="N58" s="37"/>
      <c r="O58" s="38"/>
      <c r="P58" s="8"/>
    </row>
    <row r="59" spans="1:16" ht="75">
      <c r="A59" s="25">
        <v>250344</v>
      </c>
      <c r="B59" s="16" t="s">
        <v>121</v>
      </c>
      <c r="C59" s="16" t="s">
        <v>86</v>
      </c>
      <c r="D59" s="24">
        <v>198.704</v>
      </c>
      <c r="E59" s="34"/>
      <c r="F59" s="17"/>
      <c r="H59" s="37"/>
      <c r="I59" s="37"/>
      <c r="J59" s="37"/>
      <c r="K59" s="37"/>
      <c r="L59" s="37"/>
      <c r="M59" s="37"/>
      <c r="N59" s="37"/>
      <c r="O59" s="38"/>
      <c r="P59" s="8"/>
    </row>
    <row r="60" spans="1:16" ht="46.5" customHeight="1">
      <c r="A60" s="21">
        <v>90</v>
      </c>
      <c r="B60" s="12" t="s">
        <v>166</v>
      </c>
      <c r="C60" s="12"/>
      <c r="D60" s="22">
        <f>SUM(D61:D62)</f>
        <v>113.253</v>
      </c>
      <c r="E60" s="33"/>
      <c r="F60" s="13"/>
      <c r="H60" s="36"/>
      <c r="I60" s="5"/>
      <c r="J60" s="5"/>
      <c r="K60" s="5"/>
      <c r="L60" s="5"/>
      <c r="M60" s="5"/>
      <c r="N60" s="5"/>
      <c r="O60" s="5"/>
      <c r="P60" s="5"/>
    </row>
    <row r="61" spans="1:15" ht="25.5" customHeight="1">
      <c r="A61" s="23" t="s">
        <v>17</v>
      </c>
      <c r="B61" s="2" t="s">
        <v>18</v>
      </c>
      <c r="C61" s="16" t="s">
        <v>86</v>
      </c>
      <c r="D61" s="24">
        <v>53.253</v>
      </c>
      <c r="E61" s="34"/>
      <c r="F61" s="17"/>
      <c r="G61" s="15"/>
      <c r="H61" s="36"/>
      <c r="I61" s="36"/>
      <c r="J61" s="36"/>
      <c r="K61" s="36"/>
      <c r="L61" s="36"/>
      <c r="M61" s="36"/>
      <c r="N61" s="5"/>
      <c r="O61" s="7"/>
    </row>
    <row r="62" spans="1:16" ht="25.5" customHeight="1">
      <c r="A62" s="23" t="s">
        <v>24</v>
      </c>
      <c r="B62" s="1" t="s">
        <v>156</v>
      </c>
      <c r="C62" s="18" t="s">
        <v>86</v>
      </c>
      <c r="D62" s="24">
        <v>60</v>
      </c>
      <c r="E62" s="34"/>
      <c r="F62" s="19"/>
      <c r="H62" s="36"/>
      <c r="I62" s="5"/>
      <c r="J62" s="5"/>
      <c r="K62" s="5"/>
      <c r="L62" s="5"/>
      <c r="M62" s="5"/>
      <c r="N62" s="5"/>
      <c r="O62" s="5"/>
      <c r="P62" s="5"/>
    </row>
    <row r="63" spans="1:16" ht="63" customHeight="1">
      <c r="A63" s="21">
        <v>92</v>
      </c>
      <c r="B63" s="12" t="s">
        <v>75</v>
      </c>
      <c r="C63" s="12"/>
      <c r="D63" s="22">
        <f>SUM(D64:D65)</f>
        <v>78.69</v>
      </c>
      <c r="E63" s="33"/>
      <c r="F63" s="13"/>
      <c r="H63" s="36"/>
      <c r="I63" s="5"/>
      <c r="J63" s="5"/>
      <c r="K63" s="5"/>
      <c r="L63" s="5"/>
      <c r="M63" s="5"/>
      <c r="N63" s="5"/>
      <c r="O63" s="5"/>
      <c r="P63" s="5"/>
    </row>
    <row r="64" spans="1:15" ht="25.5" customHeight="1">
      <c r="A64" s="23" t="s">
        <v>17</v>
      </c>
      <c r="B64" s="2" t="s">
        <v>18</v>
      </c>
      <c r="C64" s="16" t="s">
        <v>86</v>
      </c>
      <c r="D64" s="24">
        <v>39.69</v>
      </c>
      <c r="E64" s="34"/>
      <c r="F64" s="17"/>
      <c r="G64" s="15"/>
      <c r="H64" s="36"/>
      <c r="I64" s="36"/>
      <c r="J64" s="36"/>
      <c r="K64" s="36"/>
      <c r="L64" s="36"/>
      <c r="M64" s="36"/>
      <c r="N64" s="5"/>
      <c r="O64" s="7"/>
    </row>
    <row r="65" spans="1:16" ht="25.5" customHeight="1">
      <c r="A65" s="23" t="s">
        <v>24</v>
      </c>
      <c r="B65" s="1" t="s">
        <v>156</v>
      </c>
      <c r="C65" s="18" t="s">
        <v>86</v>
      </c>
      <c r="D65" s="24">
        <v>39</v>
      </c>
      <c r="E65" s="34"/>
      <c r="F65" s="19"/>
      <c r="H65" s="36"/>
      <c r="I65" s="5"/>
      <c r="J65" s="5"/>
      <c r="K65" s="5"/>
      <c r="L65" s="5"/>
      <c r="M65" s="5"/>
      <c r="N65" s="5"/>
      <c r="O65" s="5"/>
      <c r="P65" s="5"/>
    </row>
    <row r="66" spans="1:16" ht="46.5" customHeight="1">
      <c r="A66" s="21">
        <v>93</v>
      </c>
      <c r="B66" s="12" t="s">
        <v>74</v>
      </c>
      <c r="C66" s="12"/>
      <c r="D66" s="22">
        <f>SUM(D67:D68)</f>
        <v>22</v>
      </c>
      <c r="E66" s="33"/>
      <c r="F66" s="13"/>
      <c r="H66" s="36"/>
      <c r="I66" s="5"/>
      <c r="J66" s="5"/>
      <c r="K66" s="5"/>
      <c r="L66" s="5"/>
      <c r="M66" s="5"/>
      <c r="N66" s="5"/>
      <c r="O66" s="5"/>
      <c r="P66" s="5"/>
    </row>
    <row r="67" spans="1:15" ht="25.5" customHeight="1">
      <c r="A67" s="23" t="s">
        <v>17</v>
      </c>
      <c r="B67" s="2" t="s">
        <v>18</v>
      </c>
      <c r="C67" s="16" t="s">
        <v>86</v>
      </c>
      <c r="D67" s="24">
        <v>9</v>
      </c>
      <c r="E67" s="34"/>
      <c r="F67" s="17"/>
      <c r="G67" s="15"/>
      <c r="H67" s="36"/>
      <c r="I67" s="36"/>
      <c r="J67" s="36"/>
      <c r="K67" s="36"/>
      <c r="L67" s="36"/>
      <c r="M67" s="36"/>
      <c r="N67" s="5"/>
      <c r="O67" s="7"/>
    </row>
    <row r="68" spans="1:16" ht="25.5" customHeight="1">
      <c r="A68" s="23" t="s">
        <v>24</v>
      </c>
      <c r="B68" s="1" t="s">
        <v>156</v>
      </c>
      <c r="C68" s="18" t="s">
        <v>86</v>
      </c>
      <c r="D68" s="24">
        <v>13</v>
      </c>
      <c r="E68" s="34"/>
      <c r="F68" s="19"/>
      <c r="H68" s="36"/>
      <c r="I68" s="5"/>
      <c r="J68" s="5"/>
      <c r="K68" s="5"/>
      <c r="L68" s="5"/>
      <c r="M68" s="5"/>
      <c r="N68" s="5"/>
      <c r="O68" s="5"/>
      <c r="P68" s="5"/>
    </row>
    <row r="69" spans="1:16" ht="57.75" customHeight="1">
      <c r="A69" s="21">
        <v>94</v>
      </c>
      <c r="B69" s="12" t="s">
        <v>192</v>
      </c>
      <c r="C69" s="12"/>
      <c r="D69" s="22">
        <f>SUM(D70:D70)</f>
        <v>30.915</v>
      </c>
      <c r="E69" s="33"/>
      <c r="F69" s="13"/>
      <c r="H69" s="36"/>
      <c r="I69" s="5"/>
      <c r="J69" s="5"/>
      <c r="K69" s="5"/>
      <c r="L69" s="5"/>
      <c r="M69" s="5"/>
      <c r="N69" s="5"/>
      <c r="O69" s="5"/>
      <c r="P69" s="5"/>
    </row>
    <row r="70" spans="1:15" ht="25.5" customHeight="1">
      <c r="A70" s="23" t="s">
        <v>17</v>
      </c>
      <c r="B70" s="2" t="s">
        <v>18</v>
      </c>
      <c r="C70" s="16" t="s">
        <v>86</v>
      </c>
      <c r="D70" s="24">
        <v>30.915</v>
      </c>
      <c r="E70" s="34"/>
      <c r="F70" s="17"/>
      <c r="G70" s="15"/>
      <c r="H70" s="36"/>
      <c r="I70" s="36"/>
      <c r="J70" s="36"/>
      <c r="K70" s="36"/>
      <c r="L70" s="36"/>
      <c r="M70" s="36"/>
      <c r="N70" s="5"/>
      <c r="O70" s="7"/>
    </row>
    <row r="71" spans="1:16" ht="47.25" customHeight="1">
      <c r="A71" s="21">
        <v>95</v>
      </c>
      <c r="B71" s="12" t="s">
        <v>106</v>
      </c>
      <c r="C71" s="12"/>
      <c r="D71" s="22">
        <f>SUM(D72:D73)</f>
        <v>50.896</v>
      </c>
      <c r="E71" s="33"/>
      <c r="F71" s="13"/>
      <c r="H71" s="37"/>
      <c r="I71" s="37"/>
      <c r="J71" s="38"/>
      <c r="K71" s="38"/>
      <c r="L71" s="38"/>
      <c r="M71" s="38"/>
      <c r="N71" s="38"/>
      <c r="O71" s="38"/>
      <c r="P71" s="38"/>
    </row>
    <row r="72" spans="1:15" ht="25.5" customHeight="1">
      <c r="A72" s="23" t="s">
        <v>17</v>
      </c>
      <c r="B72" s="2" t="s">
        <v>18</v>
      </c>
      <c r="C72" s="16" t="s">
        <v>86</v>
      </c>
      <c r="D72" s="24">
        <v>7.896</v>
      </c>
      <c r="E72" s="34"/>
      <c r="F72" s="17"/>
      <c r="G72" s="15"/>
      <c r="H72" s="36"/>
      <c r="I72" s="36"/>
      <c r="J72" s="36"/>
      <c r="K72" s="36"/>
      <c r="L72" s="36"/>
      <c r="M72" s="36"/>
      <c r="N72" s="5"/>
      <c r="O72" s="7"/>
    </row>
    <row r="73" spans="1:16" ht="25.5" customHeight="1">
      <c r="A73" s="23" t="s">
        <v>24</v>
      </c>
      <c r="B73" s="1" t="s">
        <v>156</v>
      </c>
      <c r="C73" s="18" t="s">
        <v>86</v>
      </c>
      <c r="D73" s="24">
        <v>43</v>
      </c>
      <c r="E73" s="34"/>
      <c r="F73" s="19"/>
      <c r="H73" s="37"/>
      <c r="I73" s="37"/>
      <c r="J73" s="38"/>
      <c r="K73" s="38"/>
      <c r="L73" s="38"/>
      <c r="M73" s="38"/>
      <c r="N73" s="38"/>
      <c r="O73" s="38"/>
      <c r="P73" s="38"/>
    </row>
    <row r="74" spans="1:16" ht="54" customHeight="1">
      <c r="A74" s="21">
        <v>96</v>
      </c>
      <c r="B74" s="12" t="s">
        <v>176</v>
      </c>
      <c r="C74" s="12"/>
      <c r="D74" s="22">
        <f>SUM(D75:D76)</f>
        <v>223.187</v>
      </c>
      <c r="E74" s="33"/>
      <c r="F74" s="13"/>
      <c r="H74" s="37"/>
      <c r="I74" s="37"/>
      <c r="J74" s="38"/>
      <c r="K74" s="38"/>
      <c r="L74" s="38"/>
      <c r="M74" s="38"/>
      <c r="N74" s="38"/>
      <c r="O74" s="38"/>
      <c r="P74" s="38"/>
    </row>
    <row r="75" spans="1:15" ht="25.5" customHeight="1">
      <c r="A75" s="23" t="s">
        <v>17</v>
      </c>
      <c r="B75" s="2" t="s">
        <v>18</v>
      </c>
      <c r="C75" s="16" t="s">
        <v>86</v>
      </c>
      <c r="D75" s="24">
        <v>183.187</v>
      </c>
      <c r="E75" s="34"/>
      <c r="F75" s="17"/>
      <c r="G75" s="15"/>
      <c r="H75" s="36"/>
      <c r="I75" s="36"/>
      <c r="J75" s="36"/>
      <c r="K75" s="36"/>
      <c r="L75" s="36"/>
      <c r="M75" s="36"/>
      <c r="N75" s="5"/>
      <c r="O75" s="7"/>
    </row>
    <row r="76" spans="1:16" ht="25.5" customHeight="1" thickBot="1">
      <c r="A76" s="145" t="s">
        <v>102</v>
      </c>
      <c r="B76" s="146" t="s">
        <v>107</v>
      </c>
      <c r="C76" s="147" t="s">
        <v>86</v>
      </c>
      <c r="D76" s="148">
        <v>40</v>
      </c>
      <c r="E76" s="34"/>
      <c r="F76" s="19"/>
      <c r="H76" s="37"/>
      <c r="I76" s="37"/>
      <c r="J76" s="38"/>
      <c r="K76" s="38"/>
      <c r="L76" s="38"/>
      <c r="M76" s="38"/>
      <c r="N76" s="38"/>
      <c r="O76" s="38"/>
      <c r="P76" s="38"/>
    </row>
    <row r="77" spans="1:4" ht="33" customHeight="1">
      <c r="A77" s="203"/>
      <c r="B77" s="203"/>
      <c r="C77" s="203"/>
      <c r="D77" s="203"/>
    </row>
    <row r="78" spans="1:9" s="47" customFormat="1" ht="95.25" customHeight="1">
      <c r="A78" s="201" t="s">
        <v>196</v>
      </c>
      <c r="B78" s="201"/>
      <c r="C78" s="202" t="s">
        <v>197</v>
      </c>
      <c r="D78" s="202"/>
      <c r="E78" s="45"/>
      <c r="F78" s="46"/>
      <c r="G78" s="46"/>
      <c r="H78" s="46"/>
      <c r="I78" s="46"/>
    </row>
    <row r="79" ht="18.75" hidden="1"/>
  </sheetData>
  <sheetProtection/>
  <mergeCells count="6">
    <mergeCell ref="A2:D2"/>
    <mergeCell ref="C4:C5"/>
    <mergeCell ref="D4:D5"/>
    <mergeCell ref="A78:B78"/>
    <mergeCell ref="C78:D78"/>
    <mergeCell ref="A77:D77"/>
  </mergeCells>
  <printOptions/>
  <pageMargins left="1.1811023622047245" right="0.35433070866141736" top="0.6299212598425197" bottom="0.35433070866141736" header="0.4330708661417323" footer="0.31496062992125984"/>
  <pageSetup firstPageNumber="12" useFirstPageNumber="1" horizontalDpi="600" verticalDpi="600" orientation="portrait" paperSize="9" scale="83"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User</cp:lastModifiedBy>
  <cp:lastPrinted>2012-10-31T13:10:50Z</cp:lastPrinted>
  <dcterms:created xsi:type="dcterms:W3CDTF">2010-08-18T08:39:04Z</dcterms:created>
  <dcterms:modified xsi:type="dcterms:W3CDTF">2012-11-08T07:52:44Z</dcterms:modified>
  <cp:category/>
  <cp:version/>
  <cp:contentType/>
  <cp:contentStatus/>
</cp:coreProperties>
</file>