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2.02.2012" sheetId="1" r:id="rId1"/>
  </sheets>
  <externalReferences>
    <externalReference r:id="rId4"/>
  </externalReferences>
  <definedNames>
    <definedName name="_xlnm.Print_Area" localSheetId="0">'22.02.2012'!$A$1:$G$286</definedName>
  </definedNames>
  <calcPr fullCalcOnLoad="1"/>
</workbook>
</file>

<file path=xl/sharedStrings.xml><?xml version="1.0" encoding="utf-8"?>
<sst xmlns="http://schemas.openxmlformats.org/spreadsheetml/2006/main" count="575" uniqueCount="302">
  <si>
    <t>Назва об'єктів відповідно до проектно-кошторисної документації, тощо</t>
  </si>
  <si>
    <t>Капітальні вкладення</t>
  </si>
  <si>
    <t>Будівля поліклініки комунальної установи «Запорізька міська багатопрофільна клінічна лікарня №9», м.Запоріжжя - реконструкція</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</si>
  <si>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</si>
  <si>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</si>
  <si>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</si>
  <si>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Разом видатків на поточний рік</t>
  </si>
  <si>
    <t>Код типової відомчої класифікації видатків місцевих бюджетів</t>
  </si>
  <si>
    <t>Назва головного розпорядника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</si>
  <si>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</si>
  <si>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</si>
  <si>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Реконструкція будівлі міського геріатричного стаціонару по вул. Кузнєцова, 28а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</si>
  <si>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</si>
  <si>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Ліквідація аварійного стану на дорожній насипі проїзної частини дороги по вул. Перемоги (в р-ні міської лікарні №6) (проектні роботи, будівництво)</t>
  </si>
  <si>
    <t>Ліквідація аварійного стану на в"їзді до 1-го мосту ім.  Преображенського (вул. Тюленіна)</t>
  </si>
  <si>
    <t>Житловий будинок № 2 по вул. Сєдова - реконструкція</t>
  </si>
  <si>
    <t>Внески органів місцевого самоврядування у статутні фонди суб'єктів підприємницької діяльності</t>
  </si>
  <si>
    <t xml:space="preserve">Житловий будинок по бул. Будівельників, 19 -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</si>
  <si>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</si>
  <si>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</si>
  <si>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Будівництво системи захисту від техногенної загрози стадіону "Славутич Арена" (проектні та будівельні роботи)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</si>
  <si>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</si>
  <si>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</si>
  <si>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</si>
  <si>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</si>
  <si>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</si>
  <si>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 xml:space="preserve">Будівництво І черги та введення в експлуатацію Кушугумського кладовища </t>
  </si>
  <si>
    <t>Департамент житлового господарства та розподілу житлової площі Запорізької міської ради</t>
  </si>
  <si>
    <t>Перелік об'єктів, видатки на які у 2012 році будуть проводитися за рахунок коштів бюджету розвитку</t>
  </si>
  <si>
    <t>Реконструкція хлораторної ДВС-2,  м. Запоріжжя (проектні та будівельні роботи)</t>
  </si>
  <si>
    <t xml:space="preserve">Магістральна теплова мережа по вул. Героїв Сталінграду, м. Запоріжжя - реконструкція </t>
  </si>
  <si>
    <t>Будівництво житлового будинку № 25 в кварталі  по вул.Алмазній у сел. Павло-Кічкас м.Запоріжжя (проектні та будівельні роботи)</t>
  </si>
  <si>
    <t>Будівництво позаквартальних інженерних мереж та споруд по вул. Алмазній  (проектні роботи)</t>
  </si>
  <si>
    <t>Програма "Світло 2012-2013" реконструкція мереж зовнішнього освітлення міста</t>
  </si>
  <si>
    <t>Реконструкція вул.Рекордної від вул. Портова до вул. Алюмінева (проектні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</si>
  <si>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</si>
  <si>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ексретриза, будівництво)</t>
  </si>
  <si>
    <t xml:space="preserve">Завершення будівництва по вул. Калнишевського, вул.Дорошенко, вул. Рубана (зовнішньє освітлення та дороги) </t>
  </si>
  <si>
    <t>Будівництво дорожнього полотна провулку Ставропольского (проекні та будівельні роботи)</t>
  </si>
  <si>
    <t>Реконструкція дороги по вул.Нагнибіди в Комунарському районі (проектні роботи, експертиза)</t>
  </si>
  <si>
    <t>Будівництво водогону Д=315 мм по вул.Сапожнікова, м.Запоріжжя</t>
  </si>
  <si>
    <t>Будівництво громадського туалету на Центральному пляжі</t>
  </si>
  <si>
    <t>Житловий будинок по пр. Леніна, 133  м. Запоріжжя - ліквідація  аварійного стану надбудови над аркою</t>
  </si>
  <si>
    <t xml:space="preserve">Житловий будинок по вул. Євпаторійській, 1 - реконструкція  </t>
  </si>
  <si>
    <t xml:space="preserve">Житловий будинок  по вул.Республіканській, 88 -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</si>
  <si>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</si>
  <si>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</si>
  <si>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</si>
  <si>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</si>
  <si>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м.Запоріжжя"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</si>
  <si>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</si>
  <si>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</si>
  <si>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</si>
  <si>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</si>
  <si>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</si>
  <si>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приміщень для груп дошкільного закладу загально освіт-ньої школи І-ІІІ ступенів№ 109  по вул.Дніпровські пороги,29 м.Запоріжжя</t>
  </si>
  <si>
    <t xml:space="preserve">Реконструкція будівлі загальноосвітньої школи І-ІІІ ступенів № 75 по вул.Історична,92 Заводського району </t>
  </si>
  <si>
    <t>Реконструкція приміщень загальноосвітньої  школи І-ІІІ ступенів № 5 по вул.Тургенєва, 33 Жовтневого району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</si>
  <si>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</si>
  <si>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Будівництво автотранспортної магістралі через р. Дніпро у м.Запоріжжя - погашення заборгованості за минулі роки</t>
  </si>
  <si>
    <t>Магістральна мережа теплопостачання по вул. Новокузнецька житлового масиву "Південний", м.Запоріжжя - реконструкція (другий пусковий комплекс)</t>
  </si>
  <si>
    <t>Магістральна теплова мережа по вул. Артема, м.Запоріжжя - реконструкція - погашення заборгованості за минулі роки</t>
  </si>
  <si>
    <t>Управління комунального господарства та  дорожнього будівництва  Запорізької міської ради</t>
  </si>
  <si>
    <t xml:space="preserve">                                                                                                                                                                                                                                                                                                                                                                                                                                                                                                                                                                                                                                                                                                                                                                                                                                                                                                                                                                                                                                                                                </t>
  </si>
  <si>
    <t>Будівництво  інженерних мереж до льодової арени по вул. Космічній, м.Запоріжжя - погашення заборгованості за минулі роки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</si>
  <si>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</si>
  <si>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</si>
  <si>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 xml:space="preserve">Ліквідація аварійного стану автодороги, зливової та побутової каналізації по вул. М.Судця, м. Запоріжжя  </t>
  </si>
  <si>
    <t>Будівництво локальної станції біологічного очищення стічних вод на о. Хортиця (проектні роботи та експертиза)</t>
  </si>
  <si>
    <t>Котельня по вул. Панфьорова, 146а - технічне переоснащення</t>
  </si>
  <si>
    <t>Реконструкція громадського туалету на пл. Фестивальній  (бул. Центральний, 3б) в м. Запоріжжя (проектні роботи)</t>
  </si>
  <si>
    <t>Будівництво світлофорного об"єкту на перехресті вул.Грязнова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</si>
  <si>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</si>
  <si>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</si>
  <si>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Житлові будинки  по вул. Нижньодніпровській, 14, 16, 18, по бул. Гвардійському, 145а, 147а, 151, 153  - реконструкція системи холодного та гарячого водопостачання</t>
  </si>
  <si>
    <t>Житловий будинок № 149 по вул. Гоголя ІІ корпус - реконструкція нежитлового приміщення в житлове</t>
  </si>
  <si>
    <t>Реконструкція системи водовідведення від житлого будинку по вул. Узбекистанській,1 м.Запоріжжя</t>
  </si>
  <si>
    <t>Гуртожиток по вул. Шаумяна, 3 - реконструкція</t>
  </si>
  <si>
    <t>Гуртожиток по вул. Жуковського, 68 - реконструкція</t>
  </si>
  <si>
    <t xml:space="preserve">Житловий будинок по бул. Вінтера,50 -реконструкція  </t>
  </si>
  <si>
    <t xml:space="preserve">Житловий будинок по вул.Аваліані,1а -реконструкція  </t>
  </si>
  <si>
    <t xml:space="preserve">Житловий будинок по вул.Нагнибіди,15 – реконструкція системи тепло-. водопостачання </t>
  </si>
  <si>
    <t xml:space="preserve">Житловий будинок по бул. Вінтера, 40 - реконструкція  </t>
  </si>
  <si>
    <t>Житловий будинок по вул. Ленській, 1б – реконструкція системи теплопостачання</t>
  </si>
  <si>
    <t>Внески у статутні фонди комунальних підприємств міста (придбання спеціальної техніки)</t>
  </si>
  <si>
    <t>Реконструкція будівлі дошкільного навчального закладу №285 по пр. 40-річчя Перемоги,15а,  Комунарського району (проектні та будівельні роботи)</t>
  </si>
  <si>
    <t xml:space="preserve">Реконструкція будівлі дошкільного навчального закладу №294 по вул. Лассаля, 52а Заводського району, м.Запоріжжя </t>
  </si>
  <si>
    <t>Реконструкція приміщень для груп дошкільного закладу загальноосвітньої школи І-ІІІ ступенів № 69  по вул.Ладозька,2 м.Запоріжжя (проектні роботи)</t>
  </si>
  <si>
    <t>Управління з питань охорони здоров"я  Запорізької  міської ради</t>
  </si>
  <si>
    <t xml:space="preserve">Реконструкція приміщень під амбулаторії сімейного лікаря по вул. Дорошенко, 3, Воронезька, 10 в Хортицькому районі </t>
  </si>
  <si>
    <t xml:space="preserve">Комунальна установа "Пологовий будинок №4" по вул. Дудикіна, м. Запоріжжя - реконструкція електрозабезпечення (проектні та будівельні роботи) </t>
  </si>
  <si>
    <t>Реконструкція госпітального відділення КУ "Міська клінічна лікарня №2" м.Запоріжжя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</si>
  <si>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м.Запоріжжя </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</si>
  <si>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</si>
  <si>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</si>
  <si>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</si>
  <si>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Системи теплопостачання житлових будинків по вул. Виборзька, Гостинна, Єнісейська в м.Запоріжжя - реконструкція</t>
  </si>
  <si>
    <t xml:space="preserve">Будівництво житлового будинку № 10 в мікрорайоні 5 житлового масиву "Південний", м. Запоріжжя (пілотний проект) </t>
  </si>
  <si>
    <t>Будівництво житлового будинку № 11 в кварталі по вул. Алмазній у сел. Павло-Кічкас, м. Запоріжжя (проектні роботи)</t>
  </si>
  <si>
    <t xml:space="preserve">Реконструкція пр.Леніна на ділянці від вул. Кірова до залізничній станції «Запоріжжя-1» (ділянка від вул. Кірова до вул. Космічної)
</t>
  </si>
  <si>
    <t>Реконструкція дороги по вул.Верхній в районі КНС-38 (проектні та будівельні роботи) - погашення заборгованості за минулі роки</t>
  </si>
  <si>
    <t xml:space="preserve">Реконструкція внутрішньоквартальних доріг, тротуарів в районі житлових будинків по вул. Кремлівській, 63а, 65 та вул. Трегубова, 42 </t>
  </si>
  <si>
    <t>Реконструкція скидного зливового колектору в районі насосної станції № 29 в Хортицькому районі (проектні роботи, експертиза)</t>
  </si>
  <si>
    <t xml:space="preserve">Ліквідація аварійного стану житлового будинку по вул. Ракетній, 38а </t>
  </si>
  <si>
    <t xml:space="preserve">Реконструкція, переобладнання та перепланування гуртожитку по вул. Північнокільцевій, 22а під житловий будинок </t>
  </si>
  <si>
    <t>Реконструкція, переобладнання та перепланування будівлі по вул. Таганська, 8 під соціальне житло (проектно-вишукувальні роботи)</t>
  </si>
  <si>
    <t>Реконструкція будівлі дошкільного навчального закладу № 220 по вул. Давидова, 11 Ленінського району м.Запоріжжя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</si>
  <si>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</si>
  <si>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Будівництво поліклініки в житловому масиві "Південний" м.Запоріжжя (проектні роботи)</t>
  </si>
  <si>
    <t xml:space="preserve">Комунальна установа "Центральна лікарня Орджонікідзеського району" по бул. Шевченко, 25 м. Запоріжжя - реконструкція </t>
  </si>
  <si>
    <t>03</t>
  </si>
  <si>
    <t>Реконструкція системи диспечеризації ліфтового господарства в Комунарському районі м.Запоріжжя</t>
  </si>
  <si>
    <t xml:space="preserve">Будівля навчального комплексу "Запорізька Січ" о. Хортиця, м.Запоріжжя - реконструкція </t>
  </si>
  <si>
    <t>Реконструкція  центральної алеї парку "Дубовий гай" в м. Запоріжжя</t>
  </si>
  <si>
    <t>Реконструція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</si>
  <si>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Реконструкція  пам'ятника "Металургам"  в м.Запоріжжя (проектні та будівельні роботи)</t>
  </si>
  <si>
    <t>Реконструкція приміщень комунальної установи "Міська клінічна лікарня №2" м.Запоріжжя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</si>
  <si>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</si>
  <si>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до рішення  міської ради</t>
  </si>
  <si>
    <t xml:space="preserve">Додаток 7                        </t>
  </si>
  <si>
    <t>Всього видатків</t>
  </si>
  <si>
    <t>010116</t>
  </si>
  <si>
    <t>капітальні видатки</t>
  </si>
  <si>
    <t>070101</t>
  </si>
  <si>
    <t>070201</t>
  </si>
  <si>
    <t>070202</t>
  </si>
  <si>
    <t>070401</t>
  </si>
  <si>
    <t>070806</t>
  </si>
  <si>
    <t>130107</t>
  </si>
  <si>
    <t>080101</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</si>
  <si>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</si>
  <si>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</si>
  <si>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</si>
  <si>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</si>
  <si>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</si>
  <si>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</si>
  <si>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</si>
  <si>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</si>
  <si>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</si>
  <si>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</si>
  <si>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</si>
  <si>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100102</t>
  </si>
  <si>
    <t>250404</t>
  </si>
  <si>
    <t>100203</t>
  </si>
  <si>
    <t>Районна адміністрація Запорізької міської ради по Заводському району</t>
  </si>
  <si>
    <t>Департамент фінансової та бюджетної політики Запорізької міської ради</t>
  </si>
  <si>
    <t>76</t>
  </si>
  <si>
    <t>Служба (управління) у справах дітей Запорізької міської ради</t>
  </si>
  <si>
    <t>Органи місцевого самоврядування</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</si>
  <si>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</si>
  <si>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</si>
  <si>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</si>
  <si>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Позашкільні заклади освіти, заходи із позашкільної роботи з дітьми</t>
  </si>
  <si>
    <t>Інші заклади освіти</t>
  </si>
  <si>
    <t>Утримання та навчально-тренувальна робота дитячо-юнацьких спортивних шкіл</t>
  </si>
  <si>
    <t>Інші видатки</t>
  </si>
  <si>
    <t>Благоустрій міста</t>
  </si>
  <si>
    <t>Телебачення та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</si>
  <si>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</si>
  <si>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місцевих органів ради</t>
  </si>
  <si>
    <t>Театри</t>
  </si>
  <si>
    <t>Бібліотеки</t>
  </si>
  <si>
    <t>Палаци і будинки культури, клуби та інші заклади клубного типу</t>
  </si>
  <si>
    <t>Школи естетичного виховання дітей</t>
  </si>
  <si>
    <t xml:space="preserve">Інші культурно-освітні заклади та заходи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</si>
  <si>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</si>
  <si>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Територіальні центри і відділення соціальної допомоги на дому</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</si>
  <si>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</si>
  <si>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</si>
  <si>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</si>
  <si>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</si>
  <si>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</si>
  <si>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Реконструкція системи пожежної сигналізації АБК стадіону "Славутич Арена" в м.Запоріжжі (проектні та будівельні роботи) - погашення заборгованості за минулі роки</t>
  </si>
  <si>
    <t>Реконструкція парку "Трудової слави" в м.Запоріжжя</t>
  </si>
  <si>
    <t>Реконструкція скверу "Прикордонників" з встановленням стели в м. Запоріжжя</t>
  </si>
  <si>
    <t>Районна адміністрація Запорізької міської ради по Ленінському району</t>
  </si>
  <si>
    <t xml:space="preserve">Реконструкція парку   «Перемоги» в м. Запоріжжя» (ІІ черга)
</t>
  </si>
  <si>
    <t>Реконструкція скверу біля ПК "Заводський" (проектні та будівельні роботи)</t>
  </si>
  <si>
    <t>Будівництво  мереж зовнішнього освітлення по вул.Овочівництва на о.Хортиця (проектні та будівельні роботи)</t>
  </si>
  <si>
    <t>Будівництво мереж зовнішнього освітлення по вул.Горького (від вул.Радянської до вул.Червоногвардійської) (проектні та будівельні роботи)</t>
  </si>
  <si>
    <t>Будівництво мереж зовнішнього освітлення по вул.Свердлова (від вул.Жуковського до вул.Гоголя) (проектні та будівельні роботи)</t>
  </si>
  <si>
    <t>Районна адміністрація Запорізької міської ради по Комунарському району</t>
  </si>
  <si>
    <t>Реконструкція будівлі по вул. Таганська, 8 під соціальний готель (проектні роботи та експертиза)</t>
  </si>
  <si>
    <t>150101</t>
  </si>
  <si>
    <t>Будівництво системи раннього виявлення надзвичайних ситуацій та оповіщення людей у разі їх виникнення на стадіоні "Славутич -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</si>
  <si>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 Арена" (монтажні та пусконалагоджувальні роботи)</t>
  </si>
  <si>
    <t>Будівництво системи сповіщення надзвичайних ситуацій на стадіоні "Славутич - Арена"</t>
  </si>
  <si>
    <t>Будівництво захисної сітки для безпеки вболівальників на стадіоні "Славутич - Арена"</t>
  </si>
  <si>
    <t>Реконструкція будівлі дошкільного навчального закладу № 144 Комунарського району (проектні та будівельні роботи)</t>
  </si>
  <si>
    <t xml:space="preserve">Реконструкція вул. Рекордної, м. Запоріжжя (проектні та будівельні роботи) </t>
  </si>
  <si>
    <t>Реконструкція автодороги Запоріжжя -Підпорожнянка в районі шлакових відвалів ВАТ "Запоріжсталь" (проектні роботи)</t>
  </si>
  <si>
    <t>Реконструкція Палацу спорту "Юність" в м. Запоріжжя" (проектні роботи)</t>
  </si>
  <si>
    <t xml:space="preserve">Реконструкція бульвару Будівельників в Хортицькому районі м.Запоріжжя </t>
  </si>
  <si>
    <t>Газифікація житлових будинків по вул.Воєнбуд м.Запоріжжя</t>
  </si>
  <si>
    <t>Будівництво водогону технічної води в Хортицькому житловому масиві, м.Запоріжжя (проектні роботи та експертиза)</t>
  </si>
  <si>
    <t xml:space="preserve">Будівництво об'єкту благоустрою (мобільної туалетної кабіни) в парку Металургів м.Запоріжжя </t>
  </si>
  <si>
    <t>в тому числі:</t>
  </si>
  <si>
    <t>комунальне автотранспортне підприємство 082801 "Комунсантрансекологія"</t>
  </si>
  <si>
    <t>в тому числі</t>
  </si>
  <si>
    <t>Районна адміністрація Запорізької міської ради по Шевченківському району</t>
  </si>
  <si>
    <t>Районна адміністрація Запорізької міської ради по Хортицькому району</t>
  </si>
  <si>
    <t>091101</t>
  </si>
  <si>
    <t>Утримання центрів соціальних служб для сім'ї, дітей та молоді</t>
  </si>
  <si>
    <t xml:space="preserve">Реконструкція будівель та інженерних мереж комунальної установи «Міська клінічна лікарня екстреної та швидкої медичної допомоги по вул.Перемоги,80 м. Запоріжжя» (проектні роботи та експертиза) </t>
  </si>
  <si>
    <t>070802</t>
  </si>
  <si>
    <t>070804</t>
  </si>
  <si>
    <t>Методична робота, інші заходи у сфері народної освіти</t>
  </si>
  <si>
    <t>Централізовані бухгалтерії обласних, міських, районних відділів освіти</t>
  </si>
  <si>
    <t>Реконструкція нежитлового приміщення по вул. Сталеварів, 19 м.Запоріжжя (проектні роботи та експертиза)</t>
  </si>
  <si>
    <t>32</t>
  </si>
  <si>
    <t>Управління розвитку підприємництва та дозвільних послуг Запорізької міської ради</t>
  </si>
  <si>
    <t>Розробка ескізного проекту реконструкції парку "Дубовий гай"</t>
  </si>
  <si>
    <t>Секретар міської ради</t>
  </si>
  <si>
    <t>Р.О.Таран</t>
  </si>
  <si>
    <t>Реконструкція вул.Шамотної в межах від вул.Електричної до вул.Шламової (проектні та будіельні роботи)</t>
  </si>
  <si>
    <t>Реконструкція вул.Фінальної в межах від вул.Північне шосе до вул.Історичної (пректні та будівельні роботи)</t>
  </si>
  <si>
    <t>Реконструкція вул.Ніжинської в межах від вул.Олександра Невського до вул.Шмідта (проектні та будівельні роботи)</t>
  </si>
  <si>
    <t>Реконструкція вул.Кияшка в межах від бул.Вінтера до вул.Михайлова (проектні та будівельні роботи)</t>
  </si>
  <si>
    <t>Реконструкція вул.Медичної в межах від вул.Айвазовського до вул.Панаса Мирного (проектні та будівельні роботи)</t>
  </si>
  <si>
    <t>Будівництво мереж внутрішньоквартального зовнішнього освітлення по вулиці Тенісна, 4, 6, 10 (проектні роботи)</t>
  </si>
  <si>
    <t>Будівництво мереж зовнішнього освітлення скверу біля ПК "Заводський" (проектні роботи)</t>
  </si>
  <si>
    <t>Будівництво мереж зовнішнього освітлення вулиць: Байконурівська, Булавіна, Сурікова, Фучика, пров.Вузький, пров.Сріблястий, пров.Якутський (проектні роботи)</t>
  </si>
  <si>
    <t>Будівництво мереж зовнішнього освітлення вулиць: Автодорівська від буд.2 до буд.22, Олеку Дуднича від буд.4 до буд.10., Історична від буд. 1 до буд. 5, Косарєва, Морфлотська, Початкова, Каспійська, Політехнічна, пров.Кедровий, пров.Юр'ївський (проектні роботи)</t>
  </si>
  <si>
    <t>Будівництво зовнішнього освітлення вулиць та провулків: Кам'янсько-Дніпровська, Колонтай, Салавата Юлаєва, Цілинна (пров.Кубинський), пров.Писарєва, пров.Адигейський, вул. Підгірна, вул.Фадєєва (проектні та будівельні роботи)</t>
  </si>
  <si>
    <t>Реконструкція полотна трамвайного переїзду вул.Іванова-просп.Моторобудівників-вул.8 Березня у Шевченківському районі м.Запоріжжя - погашення заборгованості за минулі роки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</si>
  <si>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</si>
  <si>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</si>
  <si>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</si>
  <si>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</si>
  <si>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частини будівлі під амбулаторію сімейного лікаря по вул.Воронезька,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</si>
  <si>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</si>
  <si>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будівлі по вул. 40 років Радянської України, 41а </t>
  </si>
  <si>
    <t>Реконструкція зовнішнього освітлення в районі вул.Правда-вул.Чубаря, м.Запоріжжя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</si>
  <si>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</si>
  <si>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Комунальне підприємство "Міськсвітло"</t>
  </si>
  <si>
    <t>Управління з питань попередження надзвичайних ситуацій та цивільного захисту населення Запорізької міської ради</t>
  </si>
  <si>
    <t>Прибудова до загальноосвітньої школи І-ІІІ ступенів №104 по вул. Кремлівська, 65в Ленінського району - будівництво (проектні роботи)</t>
  </si>
  <si>
    <t>Будівництво декоративних підпірних стін від вул. Правда до вул. Перемога (проектні та будівельні роботи)</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</si>
  <si>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</si>
  <si>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Видатки на запобігання та ліквідацію надзвичайних ситуацій та наслідків стихійного лиха </t>
  </si>
  <si>
    <t>Виконавчий комітет міської ради</t>
  </si>
  <si>
    <t>33</t>
  </si>
  <si>
    <t>Управління реєстрації та єдиного реєстру Запорізької міської ради</t>
  </si>
  <si>
    <t>45</t>
  </si>
  <si>
    <t>Департамент комунальної власності та приватизації Запорізької міської ради</t>
  </si>
  <si>
    <t>Реконструкція  скверу прилеглого до ПК "Заводський" з влаштуванням дитячого майданчика (проектні та будівельні роботи)</t>
  </si>
  <si>
    <t>Будівництво спортивного комплексу (проектні роботи та експертиза)</t>
  </si>
  <si>
    <t>Житлове будівництво та придбання житла для окремих категорій населення</t>
  </si>
  <si>
    <t>Придбання житла для окремих категорій населення</t>
  </si>
  <si>
    <t>75</t>
  </si>
  <si>
    <t>Реконструкція контейнерного майданчика по вул.Матросова,24</t>
  </si>
  <si>
    <t>Реконструкція контейнерного майданчика по вул.Матросова,25</t>
  </si>
  <si>
    <t>Реконструкція контейнерного майданчика по пр.Маяковського,10</t>
  </si>
  <si>
    <t>Реконструкція контейнерного майданчика по вул.Перемоги,59</t>
  </si>
  <si>
    <t>Реконструкція контейнерного майданчика по вул.Південноукраїнська,19</t>
  </si>
  <si>
    <t>Реконструкція контейнерного майданчика по вул.Південноукраїнська,13</t>
  </si>
  <si>
    <t>Реконструкція контейнерного майданчика по вул.Патріотична,80</t>
  </si>
  <si>
    <t>Реконструкція контейнерного майданчика по вул.Патріотична,64б</t>
  </si>
  <si>
    <t>Реконструкція контейнерного майданчика по пр.Леніна,133</t>
  </si>
  <si>
    <t>Реконструкція контейнерного майданчика по вул.Перемоги,22</t>
  </si>
  <si>
    <t>Реконструкція контейнерного майданчика по бул.Шевченко,42</t>
  </si>
  <si>
    <t>Реконструкція контейнерного майданчика по вул.Тбіліська,9</t>
  </si>
  <si>
    <t>Реконструкція дороги по вул. Глісерній з автомобільною стоянкою в районі парку «Дубовий гай» в м.Запоріжжя</t>
  </si>
  <si>
    <t>Будівництво систем відеоспостереження у місцях масового перебування громадян (проектні та будівельні роботи)</t>
  </si>
  <si>
    <t>080704</t>
  </si>
  <si>
    <t>Центри здоров'я і заходи у сфері  санітарної освіти</t>
  </si>
  <si>
    <t>Придбання житла для окремих категорій громадян</t>
  </si>
  <si>
    <r>
      <t xml:space="preserve">міське комунальне підприємство "Основаніє" </t>
    </r>
    <r>
      <rPr>
        <sz val="10"/>
        <rFont val="Arial"/>
        <family val="2"/>
      </rPr>
      <t>(придбання вантажопасажирських атомобілів "Соболь" - 10 одиниць, спецобладнання для усунення аварійних ситуацій - 10 одиниць, навісного обладнання для прибирання снігу - 9 одиниць, комплекту вимірювальних приладів для лабораторії діагностики деформації житлових будинків - 1 одиниця, тракторів з навісним обладнанням для прибирання території - 9 одиниць)</t>
    </r>
  </si>
  <si>
    <r>
      <t xml:space="preserve">Комунальне підприємство "Експлуатаційне лінійне управління автомобільних шляхів" </t>
    </r>
    <r>
      <rPr>
        <sz val="10"/>
        <color indexed="8"/>
        <rFont val="Arial"/>
        <family val="2"/>
      </rPr>
      <t>(придбання вакуумно-підметально-прибиральної машини Джонстон УТ-650 на шасі МАЗ-5551 - 3 одиниці, вантажно-пасажирського фургону типу ГАЗ 2705 "Газель" - 7 одиниць, вантажного автомобілю для перевезення сміття типу ГАЗ 3309 - 6 одиниць)</t>
    </r>
  </si>
  <si>
    <r>
      <t xml:space="preserve">Комунальне підприємство "Водоканал" </t>
    </r>
    <r>
      <rPr>
        <sz val="10"/>
        <color indexed="8"/>
        <rFont val="Arial"/>
        <family val="2"/>
      </rPr>
      <t>(придбання спецавтомоділю для підвозу води - 2 одиниці)</t>
    </r>
  </si>
  <si>
    <r>
      <t xml:space="preserve">Комунальне підприємство "Титан" </t>
    </r>
    <r>
      <rPr>
        <sz val="10"/>
        <color indexed="8"/>
        <rFont val="Arial"/>
        <family val="2"/>
      </rPr>
      <t>(придбання (виготовлення) мобільних туалетних кабін - 11 одиниць)</t>
    </r>
  </si>
  <si>
    <r>
      <t xml:space="preserve">Спеціальне комунальне підприємство "Запорізька ритуальна служба" </t>
    </r>
    <r>
      <rPr>
        <sz val="10"/>
        <color indexed="8"/>
        <rFont val="Arial"/>
        <family val="2"/>
      </rPr>
      <t>(придбання автотранспорту для надання ритуальних послуг)</t>
    </r>
  </si>
  <si>
    <r>
      <t xml:space="preserve">Комунальне підприємство "Титан" </t>
    </r>
    <r>
      <rPr>
        <sz val="10"/>
        <color indexed="8"/>
        <rFont val="Arial"/>
        <family val="2"/>
      </rPr>
      <t>(придбання вантажо-пасажирського автомобілю ГАЗ-32023-414У)</t>
    </r>
  </si>
  <si>
    <r>
      <t>Комунальне підприємство електромереж зовнішнього освітлення "Запоріжміськсвітло"</t>
    </r>
    <r>
      <rPr>
        <sz val="10"/>
        <color indexed="8"/>
        <rFont val="Arial"/>
        <family val="2"/>
      </rPr>
      <t xml:space="preserve"> (придбання автокрану типу "Івановець" на базі МАЗ, фургону-3 на базі автомобілю ГАЗ 3309)</t>
    </r>
  </si>
  <si>
    <t>Виготовлення проектно-кошторисної документації та проведення експертизи проектів</t>
  </si>
  <si>
    <t>Будівництво дороги по вул. Балка Поповка у Комунарському районі (проектні роботи)</t>
  </si>
  <si>
    <t>Будівництво зливової каналізації по вул. Іванова, 99 (проектні роботи)</t>
  </si>
  <si>
    <t>Будівництво зливової каналізації по вул. Челябінській (в районі буд. №5) (проектні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</si>
  <si>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роботи, експертиза)</t>
  </si>
  <si>
    <t>Будівництво світлофорного об'єкту на перехпесті вул. Сєдова-виїзд з 7 медсанчастини</t>
  </si>
  <si>
    <t>Реконструкція вул. Кірова, Чекістів до Прибрежної магістралі (проектні та будівельні роботи)</t>
  </si>
  <si>
    <t>Реконструкція дороги та зливової системи каналізації по вул. Шевченка від вул. 8 Березня до вул. Солідарності (проектні роботи)</t>
  </si>
  <si>
    <t>Реконструкція тротуару по вул. Новокузнецькій (непарна сторона) (проектні роботи, експертиза)</t>
  </si>
  <si>
    <t>Будівництво зливової каналізації по вул. Харчова-вул. Виробнича-пров. Куп'яніський (проектні роботи)</t>
  </si>
  <si>
    <t>Будівництво мереж зовнішнього освітлення прибудинкової території будинку №13 по бул. Бельфорському (проектні та будівельні роботи)роботи)</t>
  </si>
  <si>
    <t>Будівництво світлофорного об'єкту на перехресті вул. Гоголя-вул. Комунарівська</t>
  </si>
  <si>
    <t>Будівництво світлофорного об'єкту на перехресті вул. Леппіка-вул. Дзержинського</t>
  </si>
  <si>
    <t>Будівництво мереж зовнішнього освітлення вулиці Байконурівська (проектні роботи)</t>
  </si>
  <si>
    <t>Будівництво мереж зовнішнього освітлення вулиці Фучика (проектні роботи)</t>
  </si>
  <si>
    <t>Будівництво мереж зовнішнього освітлення пров.Сріблястий (проектні роботи)</t>
  </si>
  <si>
    <t>Будівництво мереж зовнішнього освітлення пров.Якутський (проектні роботи)</t>
  </si>
  <si>
    <t>Будівництво мереж внутрішньоквартального зовнішнього освітлення вулиці Історична, 67, 69 (в межах вул. Історична, 67, 69 - пров. Черепашковий, 4 - вул. Алмазна, 54) (проектні роботи)</t>
  </si>
  <si>
    <t>Будівництво мереж зовнішнього освітлення вулиці Історична від буд. 1 до буд. 5 (проектні роботи)</t>
  </si>
  <si>
    <t>Будівництво мереж зовнішнього освітлення вулиці  Косарєва (проектні роботи)</t>
  </si>
  <si>
    <t>Будівництво мереж зовнішнього освітлення вулиці Морфлотська (проектні роботи)</t>
  </si>
  <si>
    <t>Будівництво мереж зовнішнього освітлення вулиці Початкова (проектні роботи)</t>
  </si>
  <si>
    <t>Будівництво мереж зовнішнього освітлення вулиці Політехнічна (проектні роботи)</t>
  </si>
  <si>
    <t>Будівництво мереж зовнішнього освітлення  пров.Кедровий (проектні роботи)</t>
  </si>
  <si>
    <t>Реконструкція Прибережної магістралі від вул. Сергія Тюленіна до вул. Луначарського, м.Запоріжжя (проектні роботи)</t>
  </si>
  <si>
    <t>КУ "Міська клінічна лікарня екстреної та швидкої медичної допомоги м.Запоріжжя" - реконструкція 3-го хірургічного відділення</t>
  </si>
  <si>
    <t>модернізація контактної мережі міського електротранспорту та придбання обладнання для реконструкції контактної мережі міського електротранспорту</t>
  </si>
  <si>
    <t>01.11.2012 №4</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</si>
</sst>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1">
    <font>
      <sz val="11"/>
      <color indexed="8"/>
      <name val="Calibri"/>
      <family val="2"/>
    </font>
    <font>
      <sz val="10"/>
      <name val="Arial Cyr"/>
      <family val="0"/>
    </font>
    <font>
      <b/>
      <sz val="14"/>
      <name val="Arial"/>
      <family val="2"/>
    </font>
    <font>
      <sz val="11"/>
      <name val="Times New Roman"/>
      <family val="1"/>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b/>
      <sz val="10"/>
      <name val="Times New Roman"/>
      <family val="1"/>
    </font>
    <font>
      <sz val="17"/>
      <name val="Times New Roman"/>
      <family val="1"/>
    </font>
    <font>
      <sz val="8"/>
      <name val="Calibri"/>
      <family val="2"/>
    </font>
    <font>
      <sz val="12"/>
      <color indexed="8"/>
      <name val="Arial"/>
      <family val="2"/>
    </font>
    <font>
      <b/>
      <sz val="12"/>
      <color indexed="8"/>
      <name val="Arial"/>
      <family val="2"/>
    </font>
    <font>
      <sz val="9"/>
      <name val="Arial Cyr"/>
      <family val="2"/>
    </font>
    <font>
      <sz val="8"/>
      <name val="Arial Cyr"/>
      <family val="2"/>
    </font>
    <font>
      <u val="single"/>
      <sz val="8.25"/>
      <color indexed="12"/>
      <name val="Calibri"/>
      <family val="2"/>
    </font>
    <font>
      <u val="single"/>
      <sz val="8.25"/>
      <color indexed="36"/>
      <name val="Calibri"/>
      <family val="2"/>
    </font>
    <font>
      <sz val="18"/>
      <color indexed="8"/>
      <name val="Times New Roman"/>
      <family val="1"/>
    </font>
    <font>
      <sz val="20"/>
      <name val="Times New Roman"/>
      <family val="1"/>
    </font>
    <font>
      <sz val="12"/>
      <name val="Arial"/>
      <family val="2"/>
    </font>
    <font>
      <sz val="11"/>
      <name val="Calibri"/>
      <family val="2"/>
    </font>
    <font>
      <sz val="10"/>
      <name val="Arial"/>
      <family val="2"/>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8"/>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1" fillId="0" borderId="0">
      <alignment/>
      <protection/>
    </xf>
    <xf numFmtId="0" fontId="17"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87">
    <xf numFmtId="0" fontId="0" fillId="0" borderId="0" xfId="0" applyAlignment="1">
      <alignment/>
    </xf>
    <xf numFmtId="0" fontId="0" fillId="24" borderId="0" xfId="0" applyFill="1" applyAlignment="1">
      <alignment/>
    </xf>
    <xf numFmtId="0" fontId="0" fillId="24" borderId="0" xfId="0" applyFill="1" applyAlignment="1">
      <alignment horizontal="center" vertical="center"/>
    </xf>
    <xf numFmtId="0" fontId="3" fillId="24" borderId="0" xfId="0" applyFont="1" applyFill="1" applyAlignment="1">
      <alignment wrapText="1"/>
    </xf>
    <xf numFmtId="0" fontId="5" fillId="0" borderId="0" xfId="0" applyFont="1" applyFill="1" applyBorder="1" applyAlignment="1">
      <alignment horizontal="center" vertical="center"/>
    </xf>
    <xf numFmtId="174" fontId="4" fillId="0" borderId="0" xfId="0" applyNumberFormat="1" applyFont="1" applyFill="1" applyBorder="1" applyAlignment="1">
      <alignment horizontal="center" vertical="center" wrapText="1"/>
    </xf>
    <xf numFmtId="17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xf>
    <xf numFmtId="174" fontId="5" fillId="0" borderId="0" xfId="0" applyNumberFormat="1" applyFont="1" applyFill="1" applyBorder="1" applyAlignment="1">
      <alignment horizontal="center" vertical="center" wrapText="1"/>
    </xf>
    <xf numFmtId="17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4" fontId="5" fillId="0" borderId="0" xfId="0" applyNumberFormat="1" applyFont="1" applyFill="1" applyBorder="1" applyAlignment="1">
      <alignment horizontal="center" vertical="center"/>
    </xf>
    <xf numFmtId="174" fontId="8"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textRotation="90" wrapText="1"/>
    </xf>
    <xf numFmtId="0" fontId="8"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4" fillId="0" borderId="0" xfId="0" applyFont="1" applyFill="1" applyBorder="1" applyAlignment="1">
      <alignment horizontal="center" vertical="center"/>
    </xf>
    <xf numFmtId="175" fontId="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174" fontId="4"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0" fillId="24" borderId="0" xfId="0" applyFill="1" applyAlignment="1">
      <alignment horizontal="left" wrapText="1"/>
    </xf>
    <xf numFmtId="0" fontId="0" fillId="24" borderId="0" xfId="0" applyFill="1" applyAlignment="1">
      <alignment horizontal="right"/>
    </xf>
    <xf numFmtId="0" fontId="0" fillId="24" borderId="0" xfId="0" applyFill="1" applyAlignment="1">
      <alignment horizontal="center"/>
    </xf>
    <xf numFmtId="3" fontId="0" fillId="24" borderId="0" xfId="0" applyNumberFormat="1" applyFill="1" applyAlignment="1">
      <alignment horizontal="right"/>
    </xf>
    <xf numFmtId="0" fontId="0" fillId="24" borderId="0" xfId="0" applyFill="1" applyAlignment="1">
      <alignment wrapText="1"/>
    </xf>
    <xf numFmtId="0" fontId="12" fillId="24" borderId="10" xfId="0" applyFont="1" applyFill="1" applyBorder="1" applyAlignment="1">
      <alignment horizontal="center" vertical="center" wrapText="1"/>
    </xf>
    <xf numFmtId="49" fontId="13" fillId="0" borderId="10" xfId="0" applyNumberFormat="1" applyFont="1" applyFill="1" applyBorder="1" applyAlignment="1">
      <alignment horizontal="center" wrapText="1"/>
    </xf>
    <xf numFmtId="0" fontId="13" fillId="0" borderId="10" xfId="0" applyFont="1" applyFill="1" applyBorder="1" applyAlignment="1">
      <alignment wrapText="1"/>
    </xf>
    <xf numFmtId="3" fontId="13" fillId="0" borderId="10" xfId="0" applyNumberFormat="1" applyFont="1" applyFill="1" applyBorder="1" applyAlignment="1">
      <alignment wrapText="1"/>
    </xf>
    <xf numFmtId="172" fontId="13" fillId="0" borderId="10" xfId="0" applyNumberFormat="1" applyFont="1" applyFill="1" applyBorder="1" applyAlignment="1">
      <alignment wrapText="1"/>
    </xf>
    <xf numFmtId="0" fontId="12" fillId="0" borderId="10" xfId="0" applyFont="1" applyFill="1" applyBorder="1" applyAlignment="1">
      <alignment horizontal="center" wrapText="1"/>
    </xf>
    <xf numFmtId="0" fontId="12" fillId="0" borderId="10" xfId="0" applyFont="1" applyFill="1" applyBorder="1" applyAlignment="1">
      <alignment wrapText="1"/>
    </xf>
    <xf numFmtId="3" fontId="12" fillId="0" borderId="10" xfId="0" applyNumberFormat="1" applyFont="1" applyFill="1" applyBorder="1" applyAlignment="1">
      <alignment wrapText="1"/>
    </xf>
    <xf numFmtId="172" fontId="12" fillId="0" borderId="10" xfId="0" applyNumberFormat="1" applyFont="1" applyFill="1" applyBorder="1" applyAlignment="1">
      <alignment wrapText="1"/>
    </xf>
    <xf numFmtId="0" fontId="13" fillId="0" borderId="10" xfId="0" applyFont="1" applyFill="1" applyBorder="1" applyAlignment="1">
      <alignment horizontal="center" wrapText="1"/>
    </xf>
    <xf numFmtId="0" fontId="12" fillId="0" borderId="11" xfId="0" applyFont="1" applyFill="1" applyBorder="1" applyAlignment="1">
      <alignment horizontal="center" wrapText="1"/>
    </xf>
    <xf numFmtId="0" fontId="12" fillId="0" borderId="11" xfId="0" applyFont="1" applyFill="1" applyBorder="1" applyAlignment="1">
      <alignment wrapText="1"/>
    </xf>
    <xf numFmtId="3" fontId="12" fillId="0" borderId="11" xfId="0" applyNumberFormat="1" applyFont="1" applyFill="1" applyBorder="1" applyAlignment="1">
      <alignment wrapText="1"/>
    </xf>
    <xf numFmtId="172" fontId="12" fillId="0" borderId="11" xfId="0" applyNumberFormat="1" applyFont="1" applyFill="1" applyBorder="1" applyAlignment="1">
      <alignment wrapText="1"/>
    </xf>
    <xf numFmtId="0" fontId="12" fillId="0" borderId="0" xfId="0" applyFont="1" applyFill="1" applyBorder="1" applyAlignment="1">
      <alignment horizontal="center" wrapText="1"/>
    </xf>
    <xf numFmtId="0" fontId="12" fillId="0" borderId="0" xfId="0" applyFont="1" applyFill="1" applyBorder="1" applyAlignment="1">
      <alignment wrapText="1"/>
    </xf>
    <xf numFmtId="3" fontId="12" fillId="0" borderId="0" xfId="0" applyNumberFormat="1" applyFont="1" applyFill="1" applyBorder="1" applyAlignment="1">
      <alignment wrapText="1"/>
    </xf>
    <xf numFmtId="172" fontId="12" fillId="0" borderId="0" xfId="0" applyNumberFormat="1" applyFont="1" applyFill="1" applyBorder="1" applyAlignment="1">
      <alignment wrapText="1"/>
    </xf>
    <xf numFmtId="49" fontId="12" fillId="0" borderId="10" xfId="0" applyNumberFormat="1" applyFont="1" applyFill="1" applyBorder="1" applyAlignment="1">
      <alignment horizontal="center" wrapText="1"/>
    </xf>
    <xf numFmtId="49" fontId="12" fillId="0" borderId="10" xfId="0" applyNumberFormat="1" applyFont="1" applyFill="1" applyBorder="1" applyAlignment="1">
      <alignment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0" fontId="14" fillId="0" borderId="10" xfId="0" applyFont="1" applyFill="1" applyBorder="1" applyAlignment="1">
      <alignment wrapText="1"/>
    </xf>
    <xf numFmtId="0" fontId="15" fillId="0" borderId="10" xfId="0" applyFont="1" applyFill="1" applyBorder="1" applyAlignment="1">
      <alignment wrapText="1"/>
    </xf>
    <xf numFmtId="0" fontId="18" fillId="24" borderId="0" xfId="0" applyFont="1" applyFill="1" applyAlignment="1">
      <alignment/>
    </xf>
    <xf numFmtId="0" fontId="12" fillId="0" borderId="10" xfId="0" applyFont="1" applyFill="1" applyBorder="1" applyAlignment="1">
      <alignment vertical="center" wrapText="1"/>
    </xf>
    <xf numFmtId="1"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 fontId="0" fillId="24" borderId="0" xfId="0" applyNumberFormat="1" applyFill="1" applyAlignment="1">
      <alignment/>
    </xf>
    <xf numFmtId="1" fontId="6" fillId="0" borderId="0" xfId="0" applyNumberFormat="1" applyFont="1" applyFill="1" applyBorder="1" applyAlignment="1">
      <alignment horizontal="center" vertical="center" wrapText="1"/>
    </xf>
    <xf numFmtId="3" fontId="0" fillId="24" borderId="0" xfId="0" applyNumberFormat="1" applyFill="1" applyAlignment="1">
      <alignment/>
    </xf>
    <xf numFmtId="3" fontId="5" fillId="0" borderId="0" xfId="0" applyNumberFormat="1" applyFont="1" applyFill="1" applyBorder="1" applyAlignment="1">
      <alignment horizontal="center" vertical="center" wrapText="1"/>
    </xf>
    <xf numFmtId="49" fontId="13" fillId="0" borderId="10" xfId="0" applyNumberFormat="1" applyFont="1" applyFill="1" applyBorder="1" applyAlignment="1">
      <alignment wrapText="1"/>
    </xf>
    <xf numFmtId="49" fontId="12" fillId="0" borderId="10" xfId="0" applyNumberFormat="1" applyFont="1" applyFill="1" applyBorder="1" applyAlignment="1">
      <alignment horizontal="right" wrapText="1"/>
    </xf>
    <xf numFmtId="0" fontId="19" fillId="0" borderId="0" xfId="0" applyFont="1" applyAlignment="1">
      <alignment wrapText="1"/>
    </xf>
    <xf numFmtId="175" fontId="19" fillId="0" borderId="0" xfId="0" applyNumberFormat="1" applyFont="1" applyBorder="1" applyAlignment="1">
      <alignment/>
    </xf>
    <xf numFmtId="0" fontId="19" fillId="0" borderId="0" xfId="0" applyFont="1" applyAlignment="1">
      <alignment/>
    </xf>
    <xf numFmtId="1" fontId="12" fillId="0" borderId="10" xfId="0" applyNumberFormat="1" applyFont="1" applyFill="1" applyBorder="1" applyAlignment="1">
      <alignment horizontal="right" wrapText="1"/>
    </xf>
    <xf numFmtId="0" fontId="20" fillId="0" borderId="10" xfId="0" applyFont="1" applyFill="1" applyBorder="1" applyAlignment="1">
      <alignment horizontal="center" wrapText="1"/>
    </xf>
    <xf numFmtId="0" fontId="20" fillId="0" borderId="10" xfId="0" applyFont="1" applyFill="1" applyBorder="1" applyAlignment="1">
      <alignment wrapText="1"/>
    </xf>
    <xf numFmtId="3" fontId="20" fillId="0" borderId="10" xfId="0" applyNumberFormat="1" applyFont="1" applyFill="1" applyBorder="1" applyAlignment="1">
      <alignment wrapText="1"/>
    </xf>
    <xf numFmtId="3" fontId="21" fillId="24" borderId="0" xfId="0" applyNumberFormat="1" applyFont="1" applyFill="1" applyAlignment="1">
      <alignment/>
    </xf>
    <xf numFmtId="0" fontId="1" fillId="22" borderId="12" xfId="0" applyFont="1" applyFill="1" applyBorder="1" applyAlignment="1">
      <alignment horizontal="left" wrapText="1"/>
    </xf>
    <xf numFmtId="49" fontId="0" fillId="22" borderId="0" xfId="0" applyNumberFormat="1" applyFill="1" applyBorder="1" applyAlignment="1">
      <alignment horizontal="center"/>
    </xf>
    <xf numFmtId="0" fontId="1" fillId="22" borderId="0" xfId="0" applyFont="1" applyFill="1" applyBorder="1" applyAlignment="1">
      <alignment horizontal="left" wrapText="1"/>
    </xf>
    <xf numFmtId="172" fontId="20" fillId="0" borderId="10" xfId="0" applyNumberFormat="1" applyFont="1" applyFill="1" applyBorder="1" applyAlignment="1">
      <alignment wrapText="1"/>
    </xf>
    <xf numFmtId="3" fontId="21" fillId="0" borderId="0" xfId="0" applyNumberFormat="1" applyFont="1" applyFill="1" applyAlignment="1">
      <alignment/>
    </xf>
    <xf numFmtId="3" fontId="0" fillId="0" borderId="0" xfId="0" applyNumberFormat="1" applyFill="1" applyAlignment="1">
      <alignment/>
    </xf>
    <xf numFmtId="0" fontId="19" fillId="0" borderId="0" xfId="0" applyFont="1" applyAlignment="1">
      <alignment horizontal="left" wrapText="1"/>
    </xf>
    <xf numFmtId="0" fontId="2" fillId="24" borderId="0" xfId="0" applyFont="1" applyFill="1" applyAlignment="1">
      <alignment horizontal="center"/>
    </xf>
    <xf numFmtId="0" fontId="12" fillId="24" borderId="13"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40" fillId="24" borderId="0" xfId="0" applyFont="1" applyFill="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3">
          <cell r="K13">
            <v>575555</v>
          </cell>
        </row>
        <row r="18">
          <cell r="K18">
            <v>2505783</v>
          </cell>
        </row>
        <row r="31">
          <cell r="K31">
            <v>143656</v>
          </cell>
        </row>
        <row r="46">
          <cell r="K46">
            <v>608758</v>
          </cell>
        </row>
        <row r="48">
          <cell r="K48">
            <v>3765943</v>
          </cell>
        </row>
        <row r="50">
          <cell r="K50">
            <v>9200</v>
          </cell>
        </row>
        <row r="52">
          <cell r="K52">
            <v>463775</v>
          </cell>
        </row>
        <row r="54">
          <cell r="K54">
            <v>24500</v>
          </cell>
        </row>
        <row r="56">
          <cell r="K56">
            <v>73500</v>
          </cell>
        </row>
        <row r="58">
          <cell r="K58">
            <v>0</v>
          </cell>
        </row>
        <row r="63">
          <cell r="K63">
            <v>134400</v>
          </cell>
        </row>
        <row r="69">
          <cell r="K69">
            <v>22000</v>
          </cell>
        </row>
        <row r="74">
          <cell r="K74">
            <v>16281324</v>
          </cell>
        </row>
        <row r="83">
          <cell r="K83">
            <v>0</v>
          </cell>
        </row>
        <row r="85">
          <cell r="K85">
            <v>6034720</v>
          </cell>
        </row>
        <row r="87">
          <cell r="K87">
            <v>189561</v>
          </cell>
        </row>
        <row r="88">
          <cell r="K88">
            <v>570490</v>
          </cell>
        </row>
        <row r="91">
          <cell r="K91">
            <v>1430</v>
          </cell>
        </row>
        <row r="94">
          <cell r="K94">
            <v>19908</v>
          </cell>
        </row>
        <row r="96">
          <cell r="K96">
            <v>12238342</v>
          </cell>
        </row>
        <row r="104">
          <cell r="K104">
            <v>607642</v>
          </cell>
        </row>
        <row r="113">
          <cell r="K113">
            <v>35775</v>
          </cell>
        </row>
        <row r="158">
          <cell r="K158">
            <v>438451</v>
          </cell>
        </row>
        <row r="163">
          <cell r="K163">
            <v>5341456</v>
          </cell>
        </row>
        <row r="188">
          <cell r="K188">
            <v>16170</v>
          </cell>
        </row>
        <row r="193">
          <cell r="K193">
            <v>5254</v>
          </cell>
        </row>
        <row r="198">
          <cell r="K198">
            <v>686157</v>
          </cell>
        </row>
        <row r="199">
          <cell r="K199">
            <v>1123216</v>
          </cell>
        </row>
        <row r="200">
          <cell r="K200">
            <v>564116</v>
          </cell>
        </row>
        <row r="201">
          <cell r="K201">
            <v>262138</v>
          </cell>
        </row>
        <row r="205">
          <cell r="K205">
            <v>88196</v>
          </cell>
        </row>
        <row r="206">
          <cell r="K206">
            <v>210000</v>
          </cell>
        </row>
        <row r="215">
          <cell r="K215">
            <v>8240</v>
          </cell>
        </row>
        <row r="226">
          <cell r="K226">
            <v>43050</v>
          </cell>
        </row>
        <row r="231">
          <cell r="K231">
            <v>36022090</v>
          </cell>
        </row>
        <row r="237">
          <cell r="K237">
            <v>14470494</v>
          </cell>
        </row>
        <row r="239">
          <cell r="K239">
            <v>2902495</v>
          </cell>
        </row>
        <row r="248">
          <cell r="K248">
            <v>2103843</v>
          </cell>
        </row>
        <row r="269">
          <cell r="K269">
            <v>4392072</v>
          </cell>
        </row>
        <row r="271">
          <cell r="K271">
            <v>24374396</v>
          </cell>
        </row>
        <row r="292">
          <cell r="K292">
            <v>10423</v>
          </cell>
        </row>
        <row r="331">
          <cell r="K331">
            <v>261218</v>
          </cell>
        </row>
        <row r="345">
          <cell r="K345">
            <v>6350000</v>
          </cell>
        </row>
        <row r="351">
          <cell r="K351">
            <v>6500</v>
          </cell>
        </row>
        <row r="355">
          <cell r="K355">
            <v>10183994</v>
          </cell>
        </row>
        <row r="367">
          <cell r="K367">
            <v>7500</v>
          </cell>
        </row>
        <row r="380">
          <cell r="K380">
            <v>198704</v>
          </cell>
        </row>
        <row r="383">
          <cell r="K383">
            <v>35253</v>
          </cell>
        </row>
        <row r="385">
          <cell r="K385">
            <v>60000</v>
          </cell>
        </row>
        <row r="386">
          <cell r="K386">
            <v>0</v>
          </cell>
        </row>
        <row r="396">
          <cell r="K396">
            <v>0</v>
          </cell>
        </row>
        <row r="407">
          <cell r="K407">
            <v>39690</v>
          </cell>
        </row>
        <row r="409">
          <cell r="K409">
            <v>39000</v>
          </cell>
        </row>
        <row r="410">
          <cell r="K410">
            <v>4212384</v>
          </cell>
        </row>
        <row r="420">
          <cell r="K420">
            <v>9000</v>
          </cell>
        </row>
        <row r="422">
          <cell r="K422">
            <v>13000</v>
          </cell>
        </row>
        <row r="423">
          <cell r="K423">
            <v>1272945</v>
          </cell>
        </row>
        <row r="433">
          <cell r="K433">
            <v>30915</v>
          </cell>
        </row>
        <row r="445">
          <cell r="K445">
            <v>7896</v>
          </cell>
        </row>
        <row r="447">
          <cell r="K447">
            <v>43000</v>
          </cell>
        </row>
        <row r="459">
          <cell r="K459">
            <v>183187</v>
          </cell>
        </row>
        <row r="468">
          <cell r="K468">
            <v>40000</v>
          </cell>
        </row>
        <row r="469">
          <cell r="K469">
            <v>176489660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90"/>
  <sheetViews>
    <sheetView tabSelected="1" view="pageBreakPreview" zoomScale="75" zoomScaleNormal="75" zoomScaleSheetLayoutView="75" zoomScalePageLayoutView="0" workbookViewId="0" topLeftCell="A1">
      <selection activeCell="C4" sqref="C4"/>
    </sheetView>
  </sheetViews>
  <sheetFormatPr defaultColWidth="9.140625" defaultRowHeight="15"/>
  <cols>
    <col min="1" max="1" width="22.421875" style="1" customWidth="1"/>
    <col min="2" max="2" width="33.421875" style="27" bestFit="1" customWidth="1"/>
    <col min="3" max="3" width="40.7109375" style="27" customWidth="1"/>
    <col min="4" max="5" width="16.7109375" style="28" customWidth="1"/>
    <col min="6" max="6" width="16.28125" style="28" customWidth="1"/>
    <col min="7" max="7" width="19.8515625" style="28" customWidth="1"/>
    <col min="8" max="8" width="21.00390625" style="1" bestFit="1" customWidth="1"/>
    <col min="9" max="9" width="19.57421875" style="1" bestFit="1" customWidth="1"/>
    <col min="10" max="10" width="15.28125" style="1" customWidth="1"/>
    <col min="11" max="16384" width="9.140625" style="1" customWidth="1"/>
  </cols>
  <sheetData>
    <row r="1" spans="2:7" ht="63.75" customHeight="1">
      <c r="B1" s="31"/>
      <c r="C1" s="31"/>
      <c r="E1" s="56" t="s">
        <v>119</v>
      </c>
      <c r="F1" s="1"/>
      <c r="G1" s="1"/>
    </row>
    <row r="2" spans="2:7" ht="21.75" customHeight="1">
      <c r="B2" s="31"/>
      <c r="C2" s="31"/>
      <c r="E2" s="56" t="s">
        <v>118</v>
      </c>
      <c r="F2" s="1"/>
      <c r="G2" s="1"/>
    </row>
    <row r="3" spans="2:7" ht="22.5">
      <c r="B3" s="31"/>
      <c r="C3" s="31"/>
      <c r="E3" s="86" t="s">
        <v>301</v>
      </c>
      <c r="F3" s="1"/>
      <c r="G3" s="1"/>
    </row>
    <row r="4" spans="2:7" ht="15">
      <c r="B4" s="31"/>
      <c r="C4" s="31"/>
      <c r="D4" s="1"/>
      <c r="E4" s="1"/>
      <c r="F4" s="1"/>
      <c r="G4" s="1"/>
    </row>
    <row r="5" spans="2:7" ht="15">
      <c r="B5" s="31"/>
      <c r="C5" s="31"/>
      <c r="D5" s="1"/>
      <c r="E5" s="1"/>
      <c r="F5" s="1"/>
      <c r="G5" s="1"/>
    </row>
    <row r="6" spans="1:7" s="3" customFormat="1" ht="18">
      <c r="A6" s="83" t="s">
        <v>28</v>
      </c>
      <c r="B6" s="83"/>
      <c r="C6" s="83"/>
      <c r="D6" s="83"/>
      <c r="E6" s="83"/>
      <c r="F6" s="83"/>
      <c r="G6" s="83"/>
    </row>
    <row r="7" spans="2:7" ht="15">
      <c r="B7" s="31"/>
      <c r="C7" s="31"/>
      <c r="D7" s="1"/>
      <c r="E7" s="1"/>
      <c r="F7" s="1"/>
      <c r="G7" s="1"/>
    </row>
    <row r="8" spans="2:7" ht="15">
      <c r="B8" s="31"/>
      <c r="C8" s="31"/>
      <c r="D8" s="1"/>
      <c r="E8" s="1"/>
      <c r="F8" s="1"/>
      <c r="G8" s="1"/>
    </row>
    <row r="9" spans="1:7" s="2" customFormat="1" ht="79.5" customHeight="1">
      <c r="A9" s="32" t="s">
        <v>7</v>
      </c>
      <c r="B9" s="32" t="s">
        <v>8</v>
      </c>
      <c r="C9" s="84" t="s">
        <v>0</v>
      </c>
      <c r="D9" s="84" t="s">
        <v>3</v>
      </c>
      <c r="E9" s="84" t="s">
        <v>4</v>
      </c>
      <c r="F9" s="84" t="s">
        <v>5</v>
      </c>
      <c r="G9" s="84" t="s">
        <v>6</v>
      </c>
    </row>
    <row r="10" spans="1:8" s="2" customFormat="1" ht="81.75" customHeight="1">
      <c r="A10" s="32" t="s">
        <v>9</v>
      </c>
      <c r="B10" s="32" t="s">
        <v>10</v>
      </c>
      <c r="C10" s="85"/>
      <c r="D10" s="85"/>
      <c r="E10" s="85"/>
      <c r="F10" s="85"/>
      <c r="G10" s="85"/>
      <c r="H10" s="2">
        <v>150000</v>
      </c>
    </row>
    <row r="11" spans="1:7" s="29" customFormat="1" ht="15">
      <c r="A11" s="32">
        <v>1</v>
      </c>
      <c r="B11" s="32">
        <v>2</v>
      </c>
      <c r="C11" s="32">
        <v>3</v>
      </c>
      <c r="D11" s="32">
        <v>4</v>
      </c>
      <c r="E11" s="32">
        <v>5</v>
      </c>
      <c r="F11" s="32">
        <v>6</v>
      </c>
      <c r="G11" s="32">
        <v>7</v>
      </c>
    </row>
    <row r="12" spans="1:15" s="19" customFormat="1" ht="31.5">
      <c r="A12" s="41" t="s">
        <v>110</v>
      </c>
      <c r="B12" s="34" t="s">
        <v>240</v>
      </c>
      <c r="C12" s="34"/>
      <c r="D12" s="35"/>
      <c r="E12" s="36"/>
      <c r="F12" s="35"/>
      <c r="G12" s="35">
        <f>SUM(G13:G16)</f>
        <v>3224994</v>
      </c>
      <c r="H12" s="59">
        <f>G15+G16</f>
        <v>2505783</v>
      </c>
      <c r="I12" s="59">
        <f>'[1]Місто'!$K$18</f>
        <v>2505783</v>
      </c>
      <c r="J12" s="64">
        <f>I12-H12</f>
        <v>0</v>
      </c>
      <c r="K12" s="5"/>
      <c r="L12" s="5"/>
      <c r="M12" s="6"/>
      <c r="N12" s="7"/>
      <c r="O12" s="18"/>
    </row>
    <row r="13" spans="1:15" s="19" customFormat="1" ht="30.75">
      <c r="A13" s="50" t="s">
        <v>121</v>
      </c>
      <c r="B13" s="38" t="s">
        <v>148</v>
      </c>
      <c r="C13" s="38" t="s">
        <v>122</v>
      </c>
      <c r="D13" s="39"/>
      <c r="E13" s="40"/>
      <c r="F13" s="39"/>
      <c r="G13" s="39">
        <f>'[1]Місто'!$K$13</f>
        <v>575555</v>
      </c>
      <c r="H13" s="5"/>
      <c r="I13" s="5"/>
      <c r="J13" s="64"/>
      <c r="K13" s="5"/>
      <c r="L13" s="5"/>
      <c r="M13" s="6"/>
      <c r="N13" s="7"/>
      <c r="O13" s="18"/>
    </row>
    <row r="14" spans="1:15" s="19" customFormat="1" ht="18.75">
      <c r="A14" s="37">
        <v>250404</v>
      </c>
      <c r="B14" s="38" t="s">
        <v>155</v>
      </c>
      <c r="C14" s="38" t="s">
        <v>122</v>
      </c>
      <c r="D14" s="39"/>
      <c r="E14" s="40"/>
      <c r="F14" s="39"/>
      <c r="G14" s="39">
        <f>'[1]Місто'!$K$31</f>
        <v>143656</v>
      </c>
      <c r="H14" s="5"/>
      <c r="I14" s="5"/>
      <c r="J14" s="64"/>
      <c r="K14" s="5"/>
      <c r="L14" s="5"/>
      <c r="M14" s="6"/>
      <c r="N14" s="7"/>
      <c r="O14" s="18"/>
    </row>
    <row r="15" spans="1:15" s="4" customFormat="1" ht="75.75">
      <c r="A15" s="37">
        <v>150101</v>
      </c>
      <c r="B15" s="38" t="s">
        <v>1</v>
      </c>
      <c r="C15" s="38" t="s">
        <v>172</v>
      </c>
      <c r="D15" s="39"/>
      <c r="E15" s="40"/>
      <c r="F15" s="39"/>
      <c r="G15" s="39">
        <v>7065</v>
      </c>
      <c r="H15" s="58"/>
      <c r="I15" s="21"/>
      <c r="J15" s="64"/>
      <c r="K15" s="21"/>
      <c r="L15" s="21"/>
      <c r="M15" s="11"/>
      <c r="N15" s="22"/>
      <c r="O15" s="8"/>
    </row>
    <row r="16" spans="1:15" s="4" customFormat="1" ht="60.75">
      <c r="A16" s="37">
        <v>150101</v>
      </c>
      <c r="B16" s="38" t="s">
        <v>1</v>
      </c>
      <c r="C16" s="38" t="s">
        <v>263</v>
      </c>
      <c r="D16" s="39">
        <f>1266275+1232443</f>
        <v>2498718</v>
      </c>
      <c r="E16" s="40"/>
      <c r="F16" s="39">
        <f>1266275+1232443</f>
        <v>2498718</v>
      </c>
      <c r="G16" s="39">
        <f>1266275+1232443</f>
        <v>2498718</v>
      </c>
      <c r="H16" s="58"/>
      <c r="I16" s="21"/>
      <c r="J16" s="64"/>
      <c r="K16" s="21"/>
      <c r="L16" s="21"/>
      <c r="M16" s="11"/>
      <c r="N16" s="22"/>
      <c r="O16" s="8"/>
    </row>
    <row r="17" spans="1:15" s="19" customFormat="1" ht="47.25">
      <c r="A17" s="41">
        <v>10</v>
      </c>
      <c r="B17" s="34" t="s">
        <v>21</v>
      </c>
      <c r="C17" s="34"/>
      <c r="D17" s="35">
        <f>SUM(D27:D45)</f>
        <v>62815808</v>
      </c>
      <c r="E17" s="36"/>
      <c r="F17" s="35">
        <f>SUM(F27:F45)</f>
        <v>54633761.239999995</v>
      </c>
      <c r="G17" s="35">
        <f>SUM(G18:G45)</f>
        <v>21383400</v>
      </c>
      <c r="H17" s="59">
        <f>SUM(G27:G44)</f>
        <v>16281324</v>
      </c>
      <c r="I17" s="59">
        <f>'[1]Місто'!$K$74</f>
        <v>16281324</v>
      </c>
      <c r="J17" s="64">
        <f>I17-H17</f>
        <v>0</v>
      </c>
      <c r="K17" s="5"/>
      <c r="L17" s="5"/>
      <c r="M17" s="6"/>
      <c r="N17" s="7"/>
      <c r="O17" s="18"/>
    </row>
    <row r="18" spans="1:15" s="19" customFormat="1" ht="18.75">
      <c r="A18" s="50" t="s">
        <v>123</v>
      </c>
      <c r="B18" s="38" t="s">
        <v>149</v>
      </c>
      <c r="C18" s="38" t="s">
        <v>122</v>
      </c>
      <c r="D18" s="39"/>
      <c r="E18" s="40"/>
      <c r="F18" s="39"/>
      <c r="G18" s="39">
        <f>'[1]Місто'!$K$46</f>
        <v>608758</v>
      </c>
      <c r="H18" s="5"/>
      <c r="I18" s="5"/>
      <c r="J18" s="64"/>
      <c r="K18" s="5"/>
      <c r="L18" s="5"/>
      <c r="M18" s="6"/>
      <c r="N18" s="7"/>
      <c r="O18" s="18"/>
    </row>
    <row r="19" spans="1:15" s="19" customFormat="1" ht="75.75">
      <c r="A19" s="50" t="s">
        <v>124</v>
      </c>
      <c r="B19" s="38" t="s">
        <v>150</v>
      </c>
      <c r="C19" s="38" t="s">
        <v>122</v>
      </c>
      <c r="D19" s="39"/>
      <c r="E19" s="40"/>
      <c r="F19" s="39"/>
      <c r="G19" s="39">
        <f>'[1]Місто'!$K$48</f>
        <v>3765943</v>
      </c>
      <c r="H19" s="5"/>
      <c r="I19" s="5"/>
      <c r="J19" s="64"/>
      <c r="K19" s="5"/>
      <c r="L19" s="5"/>
      <c r="M19" s="6"/>
      <c r="N19" s="7"/>
      <c r="O19" s="18"/>
    </row>
    <row r="20" spans="1:15" s="19" customFormat="1" ht="18.75">
      <c r="A20" s="50" t="s">
        <v>125</v>
      </c>
      <c r="B20" s="38" t="s">
        <v>151</v>
      </c>
      <c r="C20" s="38" t="s">
        <v>122</v>
      </c>
      <c r="D20" s="39"/>
      <c r="E20" s="40"/>
      <c r="F20" s="39"/>
      <c r="G20" s="39">
        <f>'[1]Місто'!$K$50</f>
        <v>9200</v>
      </c>
      <c r="H20" s="5"/>
      <c r="I20" s="5"/>
      <c r="J20" s="64"/>
      <c r="K20" s="5"/>
      <c r="L20" s="5"/>
      <c r="M20" s="6"/>
      <c r="N20" s="7"/>
      <c r="O20" s="18"/>
    </row>
    <row r="21" spans="1:15" s="19" customFormat="1" ht="45.75">
      <c r="A21" s="50" t="s">
        <v>126</v>
      </c>
      <c r="B21" s="38" t="s">
        <v>152</v>
      </c>
      <c r="C21" s="38" t="s">
        <v>122</v>
      </c>
      <c r="D21" s="39"/>
      <c r="E21" s="40"/>
      <c r="F21" s="39"/>
      <c r="G21" s="39">
        <f>'[1]Місто'!$K$52</f>
        <v>463775</v>
      </c>
      <c r="H21" s="5"/>
      <c r="I21" s="5"/>
      <c r="J21" s="64"/>
      <c r="K21" s="5"/>
      <c r="L21" s="5"/>
      <c r="M21" s="6"/>
      <c r="N21" s="7"/>
      <c r="O21" s="18"/>
    </row>
    <row r="22" spans="1:15" s="19" customFormat="1" ht="18.75" hidden="1">
      <c r="A22" s="50" t="s">
        <v>127</v>
      </c>
      <c r="B22" s="38" t="s">
        <v>153</v>
      </c>
      <c r="C22" s="38" t="s">
        <v>122</v>
      </c>
      <c r="D22" s="39"/>
      <c r="E22" s="40"/>
      <c r="F22" s="39"/>
      <c r="G22" s="39">
        <f>'[1]Місто'!$K$58</f>
        <v>0</v>
      </c>
      <c r="H22" s="5"/>
      <c r="I22" s="5"/>
      <c r="J22" s="64"/>
      <c r="K22" s="5"/>
      <c r="L22" s="5"/>
      <c r="M22" s="6"/>
      <c r="N22" s="7"/>
      <c r="O22" s="18"/>
    </row>
    <row r="23" spans="1:15" s="19" customFormat="1" ht="45.75">
      <c r="A23" s="50" t="s">
        <v>204</v>
      </c>
      <c r="B23" s="38" t="s">
        <v>206</v>
      </c>
      <c r="C23" s="38" t="s">
        <v>122</v>
      </c>
      <c r="D23" s="39"/>
      <c r="E23" s="40"/>
      <c r="F23" s="39"/>
      <c r="G23" s="39">
        <f>'[1]Місто'!$K$54</f>
        <v>24500</v>
      </c>
      <c r="H23" s="5"/>
      <c r="I23" s="5"/>
      <c r="J23" s="64"/>
      <c r="K23" s="5"/>
      <c r="L23" s="5"/>
      <c r="M23" s="6"/>
      <c r="N23" s="7"/>
      <c r="O23" s="18"/>
    </row>
    <row r="24" spans="1:15" s="19" customFormat="1" ht="45.75">
      <c r="A24" s="50" t="s">
        <v>205</v>
      </c>
      <c r="B24" s="38" t="s">
        <v>207</v>
      </c>
      <c r="C24" s="38" t="s">
        <v>122</v>
      </c>
      <c r="D24" s="39"/>
      <c r="E24" s="40"/>
      <c r="F24" s="39"/>
      <c r="G24" s="39">
        <f>'[1]Місто'!$K$56</f>
        <v>73500</v>
      </c>
      <c r="H24" s="5"/>
      <c r="I24" s="5"/>
      <c r="J24" s="64"/>
      <c r="K24" s="5"/>
      <c r="L24" s="5"/>
      <c r="M24" s="6"/>
      <c r="N24" s="7"/>
      <c r="O24" s="18"/>
    </row>
    <row r="25" spans="1:15" s="19" customFormat="1" ht="45.75">
      <c r="A25" s="50" t="s">
        <v>201</v>
      </c>
      <c r="B25" s="38" t="s">
        <v>202</v>
      </c>
      <c r="C25" s="38" t="s">
        <v>122</v>
      </c>
      <c r="D25" s="39"/>
      <c r="E25" s="40"/>
      <c r="F25" s="39"/>
      <c r="G25" s="39">
        <f>'[1]Місто'!$K$63</f>
        <v>134400</v>
      </c>
      <c r="H25" s="5"/>
      <c r="I25" s="5"/>
      <c r="J25" s="64"/>
      <c r="K25" s="5"/>
      <c r="L25" s="5"/>
      <c r="M25" s="6"/>
      <c r="N25" s="7"/>
      <c r="O25" s="18"/>
    </row>
    <row r="26" spans="1:15" s="19" customFormat="1" ht="45.75">
      <c r="A26" s="50" t="s">
        <v>128</v>
      </c>
      <c r="B26" s="38" t="s">
        <v>154</v>
      </c>
      <c r="C26" s="38" t="s">
        <v>122</v>
      </c>
      <c r="D26" s="39"/>
      <c r="E26" s="40"/>
      <c r="F26" s="39"/>
      <c r="G26" s="39">
        <f>'[1]Місто'!$K$69</f>
        <v>22000</v>
      </c>
      <c r="H26" s="5"/>
      <c r="I26" s="5"/>
      <c r="J26" s="64"/>
      <c r="K26" s="5"/>
      <c r="L26" s="5"/>
      <c r="M26" s="6"/>
      <c r="N26" s="7"/>
      <c r="O26" s="18"/>
    </row>
    <row r="27" spans="1:15" s="4" customFormat="1" ht="75.75">
      <c r="A27" s="37">
        <v>150101</v>
      </c>
      <c r="B27" s="38" t="s">
        <v>1</v>
      </c>
      <c r="C27" s="38" t="s">
        <v>53</v>
      </c>
      <c r="D27" s="39">
        <v>2105695</v>
      </c>
      <c r="E27" s="40">
        <f aca="true" t="shared" si="0" ref="E27:E39">100-(F27/D27)*100</f>
        <v>7.531995374448826</v>
      </c>
      <c r="F27" s="39">
        <f>D27-158600.85</f>
        <v>1947094.15</v>
      </c>
      <c r="G27" s="39">
        <f>274246+1672848</f>
        <v>1947094</v>
      </c>
      <c r="H27" s="9"/>
      <c r="I27" s="9"/>
      <c r="J27" s="64"/>
      <c r="K27" s="9"/>
      <c r="L27" s="9"/>
      <c r="M27" s="10"/>
      <c r="N27" s="11"/>
      <c r="O27" s="15"/>
    </row>
    <row r="28" spans="1:15" s="4" customFormat="1" ht="75.75">
      <c r="A28" s="37">
        <v>150101</v>
      </c>
      <c r="B28" s="38" t="s">
        <v>1</v>
      </c>
      <c r="C28" s="38" t="s">
        <v>54</v>
      </c>
      <c r="D28" s="74">
        <v>3519492</v>
      </c>
      <c r="E28" s="79">
        <f t="shared" si="0"/>
        <v>37.0644854427855</v>
      </c>
      <c r="F28" s="74">
        <f>2397192-182181.6</f>
        <v>2215010.4</v>
      </c>
      <c r="G28" s="74">
        <f>54072+1120562-5081-8492</f>
        <v>1161061</v>
      </c>
      <c r="H28" s="9"/>
      <c r="I28" s="9"/>
      <c r="J28" s="64"/>
      <c r="K28" s="9"/>
      <c r="L28" s="9"/>
      <c r="M28" s="10"/>
      <c r="N28" s="20"/>
      <c r="O28" s="8"/>
    </row>
    <row r="29" spans="1:15" s="4" customFormat="1" ht="75.75">
      <c r="A29" s="37">
        <v>150101</v>
      </c>
      <c r="B29" s="38" t="s">
        <v>1</v>
      </c>
      <c r="C29" s="38" t="s">
        <v>55</v>
      </c>
      <c r="D29" s="39">
        <v>2335982</v>
      </c>
      <c r="E29" s="40">
        <f t="shared" si="0"/>
        <v>66.2983794395676</v>
      </c>
      <c r="F29" s="39">
        <f>D29-(1069830.4+474259.29+1388.56+3239.96)</f>
        <v>787263.79</v>
      </c>
      <c r="G29" s="39">
        <f>583111+204153</f>
        <v>787264</v>
      </c>
      <c r="H29" s="9"/>
      <c r="I29" s="9"/>
      <c r="J29" s="64"/>
      <c r="K29" s="9"/>
      <c r="L29" s="9"/>
      <c r="M29" s="10"/>
      <c r="N29" s="20"/>
      <c r="O29" s="8"/>
    </row>
    <row r="30" spans="1:15" s="4" customFormat="1" ht="45.75">
      <c r="A30" s="37">
        <v>150101</v>
      </c>
      <c r="B30" s="38" t="s">
        <v>1</v>
      </c>
      <c r="C30" s="38" t="s">
        <v>112</v>
      </c>
      <c r="D30" s="39">
        <v>6379139</v>
      </c>
      <c r="E30" s="40">
        <f t="shared" si="0"/>
        <v>35.3881348250916</v>
      </c>
      <c r="F30" s="39">
        <f>D30-(1687311+344040.21+44976.1+181131)</f>
        <v>4121680.69</v>
      </c>
      <c r="G30" s="39">
        <f>46111+1149714+261296</f>
        <v>1457121</v>
      </c>
      <c r="H30" s="9"/>
      <c r="I30" s="9"/>
      <c r="J30" s="64"/>
      <c r="K30" s="9"/>
      <c r="L30" s="9"/>
      <c r="M30" s="13"/>
      <c r="N30" s="20"/>
      <c r="O30" s="8"/>
    </row>
    <row r="31" spans="1:15" s="4" customFormat="1" ht="60.75">
      <c r="A31" s="37">
        <v>150101</v>
      </c>
      <c r="B31" s="38" t="s">
        <v>1</v>
      </c>
      <c r="C31" s="38" t="s">
        <v>56</v>
      </c>
      <c r="D31" s="39">
        <v>7632826</v>
      </c>
      <c r="E31" s="40">
        <f t="shared" si="0"/>
        <v>16.719485548340813</v>
      </c>
      <c r="F31" s="39">
        <f>D31-(1069700+206469.24)</f>
        <v>6356656.76</v>
      </c>
      <c r="G31" s="39">
        <f>133+553564-260000-59972</f>
        <v>233725</v>
      </c>
      <c r="H31" s="9"/>
      <c r="I31" s="9"/>
      <c r="J31" s="64"/>
      <c r="K31" s="9"/>
      <c r="L31" s="9"/>
      <c r="M31" s="10"/>
      <c r="N31" s="11"/>
      <c r="O31" s="8"/>
    </row>
    <row r="32" spans="1:16" s="4" customFormat="1" ht="75.75">
      <c r="A32" s="37">
        <v>150101</v>
      </c>
      <c r="B32" s="38" t="s">
        <v>1</v>
      </c>
      <c r="C32" s="38" t="s">
        <v>85</v>
      </c>
      <c r="D32" s="39">
        <f>13005346+2884005</f>
        <v>15889351</v>
      </c>
      <c r="E32" s="40">
        <f t="shared" si="0"/>
        <v>2.0143220449973143</v>
      </c>
      <c r="F32" s="39">
        <f>SUM(D32-202125.64-117937.06)</f>
        <v>15569288.299999999</v>
      </c>
      <c r="G32" s="39">
        <f>7672000-280650</f>
        <v>7391350</v>
      </c>
      <c r="H32" s="9"/>
      <c r="I32" s="10"/>
      <c r="J32" s="64"/>
      <c r="K32" s="9"/>
      <c r="L32" s="9"/>
      <c r="M32" s="9"/>
      <c r="N32" s="10"/>
      <c r="O32" s="11"/>
      <c r="P32" s="8"/>
    </row>
    <row r="33" spans="1:16" s="4" customFormat="1" ht="60.75">
      <c r="A33" s="37">
        <v>150101</v>
      </c>
      <c r="B33" s="38" t="s">
        <v>1</v>
      </c>
      <c r="C33" s="38" t="s">
        <v>86</v>
      </c>
      <c r="D33" s="39">
        <v>11138050</v>
      </c>
      <c r="E33" s="40">
        <f>100-(F33/D33)*100</f>
        <v>2.566631142794293</v>
      </c>
      <c r="F33" s="39">
        <f>D33-285872.66</f>
        <v>10852177.34</v>
      </c>
      <c r="G33" s="39">
        <f>20000+15000</f>
        <v>35000</v>
      </c>
      <c r="H33" s="9"/>
      <c r="I33" s="10"/>
      <c r="J33" s="64"/>
      <c r="K33" s="9"/>
      <c r="L33" s="9"/>
      <c r="M33" s="9"/>
      <c r="N33" s="10"/>
      <c r="O33" s="11"/>
      <c r="P33" s="8"/>
    </row>
    <row r="34" spans="1:16" s="4" customFormat="1" ht="75.75">
      <c r="A34" s="37">
        <v>150101</v>
      </c>
      <c r="B34" s="38" t="s">
        <v>1</v>
      </c>
      <c r="C34" s="38" t="s">
        <v>106</v>
      </c>
      <c r="D34" s="39">
        <v>260000</v>
      </c>
      <c r="E34" s="40">
        <f>100-(F34/D34)*100</f>
        <v>0</v>
      </c>
      <c r="F34" s="39">
        <v>260000</v>
      </c>
      <c r="G34" s="39">
        <v>260000</v>
      </c>
      <c r="H34" s="9"/>
      <c r="I34" s="10"/>
      <c r="J34" s="64"/>
      <c r="K34" s="9"/>
      <c r="L34" s="9"/>
      <c r="M34" s="9"/>
      <c r="N34" s="10"/>
      <c r="O34" s="11"/>
      <c r="P34" s="8"/>
    </row>
    <row r="35" spans="1:16" s="4" customFormat="1" ht="75.75" hidden="1">
      <c r="A35" s="37">
        <v>150101</v>
      </c>
      <c r="B35" s="38" t="s">
        <v>1</v>
      </c>
      <c r="C35" s="38" t="s">
        <v>87</v>
      </c>
      <c r="D35" s="39"/>
      <c r="E35" s="39" t="e">
        <f>100-(F35/D35)*100</f>
        <v>#DIV/0!</v>
      </c>
      <c r="F35" s="39"/>
      <c r="G35" s="39"/>
      <c r="H35" s="9"/>
      <c r="I35" s="10"/>
      <c r="J35" s="64"/>
      <c r="K35" s="9"/>
      <c r="L35" s="9"/>
      <c r="M35" s="9"/>
      <c r="N35" s="10"/>
      <c r="O35" s="11"/>
      <c r="P35" s="8"/>
    </row>
    <row r="36" spans="1:15" s="4" customFormat="1" ht="75.75">
      <c r="A36" s="37">
        <v>150101</v>
      </c>
      <c r="B36" s="38" t="s">
        <v>1</v>
      </c>
      <c r="C36" s="38" t="s">
        <v>57</v>
      </c>
      <c r="D36" s="39">
        <f>602696+400000</f>
        <v>1002696</v>
      </c>
      <c r="E36" s="40">
        <f t="shared" si="0"/>
        <v>2.123992715638636</v>
      </c>
      <c r="F36" s="39">
        <f>D36-21297.19</f>
        <v>981398.81</v>
      </c>
      <c r="G36" s="39">
        <f>581399+400000-111000</f>
        <v>870399</v>
      </c>
      <c r="H36" s="9"/>
      <c r="I36" s="9"/>
      <c r="J36" s="64"/>
      <c r="K36" s="9"/>
      <c r="L36" s="9"/>
      <c r="M36" s="10"/>
      <c r="N36" s="11"/>
      <c r="O36" s="15"/>
    </row>
    <row r="37" spans="1:15" s="4" customFormat="1" ht="75.75">
      <c r="A37" s="37">
        <v>150101</v>
      </c>
      <c r="B37" s="38" t="s">
        <v>1</v>
      </c>
      <c r="C37" s="38" t="s">
        <v>236</v>
      </c>
      <c r="D37" s="39">
        <v>260000</v>
      </c>
      <c r="E37" s="40">
        <f t="shared" si="0"/>
        <v>0</v>
      </c>
      <c r="F37" s="39">
        <v>260000</v>
      </c>
      <c r="G37" s="39">
        <v>260000</v>
      </c>
      <c r="H37" s="9"/>
      <c r="I37" s="9"/>
      <c r="J37" s="64"/>
      <c r="K37" s="9"/>
      <c r="L37" s="9"/>
      <c r="M37" s="10"/>
      <c r="N37" s="11"/>
      <c r="O37" s="15"/>
    </row>
    <row r="38" spans="1:15" s="4" customFormat="1" ht="45.75">
      <c r="A38" s="37">
        <v>150101</v>
      </c>
      <c r="B38" s="38" t="s">
        <v>1</v>
      </c>
      <c r="C38" s="38" t="s">
        <v>191</v>
      </c>
      <c r="D38" s="39">
        <v>2533338</v>
      </c>
      <c r="E38" s="40">
        <f t="shared" si="0"/>
        <v>0</v>
      </c>
      <c r="F38" s="39">
        <v>2533338</v>
      </c>
      <c r="G38" s="39">
        <f>2533338-1000000</f>
        <v>1533338</v>
      </c>
      <c r="H38" s="9"/>
      <c r="I38" s="9"/>
      <c r="J38" s="64"/>
      <c r="K38" s="9"/>
      <c r="L38" s="9"/>
      <c r="M38" s="10"/>
      <c r="N38" s="11"/>
      <c r="O38" s="15"/>
    </row>
    <row r="39" spans="1:16" s="4" customFormat="1" ht="29.25" customHeight="1">
      <c r="A39" s="37">
        <v>150101</v>
      </c>
      <c r="B39" s="38" t="s">
        <v>1</v>
      </c>
      <c r="C39" s="38" t="s">
        <v>246</v>
      </c>
      <c r="D39" s="39">
        <v>300000</v>
      </c>
      <c r="E39" s="40">
        <f t="shared" si="0"/>
        <v>0</v>
      </c>
      <c r="F39" s="39">
        <v>300000</v>
      </c>
      <c r="G39" s="39">
        <v>300000</v>
      </c>
      <c r="H39" s="9"/>
      <c r="I39" s="10"/>
      <c r="J39" s="64"/>
      <c r="K39" s="9"/>
      <c r="L39" s="9"/>
      <c r="M39" s="9"/>
      <c r="N39" s="10"/>
      <c r="O39" s="11"/>
      <c r="P39" s="15"/>
    </row>
    <row r="40" spans="1:16" s="4" customFormat="1" ht="60.75">
      <c r="A40" s="37">
        <v>150101</v>
      </c>
      <c r="B40" s="38" t="s">
        <v>1</v>
      </c>
      <c r="C40" s="38" t="s">
        <v>188</v>
      </c>
      <c r="D40" s="39">
        <v>9459239</v>
      </c>
      <c r="E40" s="40">
        <v>10.7</v>
      </c>
      <c r="F40" s="39">
        <v>8449853</v>
      </c>
      <c r="G40" s="39">
        <v>44972</v>
      </c>
      <c r="H40" s="9"/>
      <c r="I40" s="10"/>
      <c r="J40" s="64"/>
      <c r="K40" s="9"/>
      <c r="L40" s="9"/>
      <c r="M40" s="9"/>
      <c r="N40" s="10"/>
      <c r="O40" s="11"/>
      <c r="P40" s="15"/>
    </row>
    <row r="41" spans="1:16" s="4" customFormat="1" ht="75.75" hidden="1">
      <c r="A41" s="37">
        <v>150101</v>
      </c>
      <c r="B41" s="38" t="s">
        <v>1</v>
      </c>
      <c r="C41" s="38" t="s">
        <v>184</v>
      </c>
      <c r="D41" s="39"/>
      <c r="E41" s="40">
        <v>0</v>
      </c>
      <c r="F41" s="39"/>
      <c r="G41" s="39">
        <f>38886-38886</f>
        <v>0</v>
      </c>
      <c r="H41" s="9"/>
      <c r="I41" s="10"/>
      <c r="J41" s="64"/>
      <c r="K41" s="9"/>
      <c r="L41" s="9"/>
      <c r="M41" s="9"/>
      <c r="N41" s="10"/>
      <c r="O41" s="11"/>
      <c r="P41" s="15"/>
    </row>
    <row r="42" spans="1:16" s="4" customFormat="1" ht="90.75" hidden="1">
      <c r="A42" s="37">
        <v>150101</v>
      </c>
      <c r="B42" s="38" t="s">
        <v>1</v>
      </c>
      <c r="C42" s="38" t="s">
        <v>185</v>
      </c>
      <c r="D42" s="39"/>
      <c r="E42" s="40">
        <v>0</v>
      </c>
      <c r="F42" s="39"/>
      <c r="G42" s="39">
        <f>57314-57314</f>
        <v>0</v>
      </c>
      <c r="H42" s="9"/>
      <c r="I42" s="10"/>
      <c r="J42" s="64"/>
      <c r="K42" s="9"/>
      <c r="L42" s="9"/>
      <c r="M42" s="9"/>
      <c r="N42" s="10"/>
      <c r="O42" s="11"/>
      <c r="P42" s="15"/>
    </row>
    <row r="43" spans="1:16" s="4" customFormat="1" ht="45.75" hidden="1">
      <c r="A43" s="37">
        <v>150101</v>
      </c>
      <c r="B43" s="38" t="s">
        <v>1</v>
      </c>
      <c r="C43" s="38" t="s">
        <v>186</v>
      </c>
      <c r="D43" s="39"/>
      <c r="E43" s="40">
        <v>0</v>
      </c>
      <c r="F43" s="39"/>
      <c r="G43" s="39">
        <f>65997-65997</f>
        <v>0</v>
      </c>
      <c r="H43" s="9"/>
      <c r="I43" s="10"/>
      <c r="J43" s="64"/>
      <c r="K43" s="9"/>
      <c r="L43" s="9"/>
      <c r="M43" s="9"/>
      <c r="N43" s="10"/>
      <c r="O43" s="11"/>
      <c r="P43" s="15"/>
    </row>
    <row r="44" spans="1:16" s="4" customFormat="1" ht="45.75" hidden="1">
      <c r="A44" s="37">
        <v>150101</v>
      </c>
      <c r="B44" s="38" t="s">
        <v>1</v>
      </c>
      <c r="C44" s="38" t="s">
        <v>187</v>
      </c>
      <c r="D44" s="39"/>
      <c r="E44" s="40">
        <v>0</v>
      </c>
      <c r="F44" s="39"/>
      <c r="G44" s="39">
        <f>87694-87694</f>
        <v>0</v>
      </c>
      <c r="H44" s="9"/>
      <c r="I44" s="10"/>
      <c r="J44" s="64"/>
      <c r="K44" s="9"/>
      <c r="L44" s="9"/>
      <c r="M44" s="9"/>
      <c r="N44" s="10"/>
      <c r="O44" s="11"/>
      <c r="P44" s="15"/>
    </row>
    <row r="45" spans="1:16" s="4" customFormat="1" ht="30.75" customHeight="1" hidden="1">
      <c r="A45" s="37">
        <v>150101</v>
      </c>
      <c r="B45" s="38" t="s">
        <v>1</v>
      </c>
      <c r="C45" s="38" t="s">
        <v>20</v>
      </c>
      <c r="D45" s="39"/>
      <c r="E45" s="40"/>
      <c r="F45" s="39"/>
      <c r="G45" s="39"/>
      <c r="H45" s="9"/>
      <c r="I45" s="11"/>
      <c r="J45" s="64"/>
      <c r="K45" s="21"/>
      <c r="L45" s="21"/>
      <c r="M45" s="21"/>
      <c r="N45" s="11"/>
      <c r="O45" s="22"/>
      <c r="P45" s="8"/>
    </row>
    <row r="46" spans="1:15" s="19" customFormat="1" ht="47.25">
      <c r="A46" s="41">
        <v>14</v>
      </c>
      <c r="B46" s="34" t="s">
        <v>88</v>
      </c>
      <c r="C46" s="34"/>
      <c r="D46" s="35">
        <f>SUM(D53:D72)</f>
        <v>50874338</v>
      </c>
      <c r="E46" s="36"/>
      <c r="F46" s="35">
        <f>SUM(F53:F72)</f>
        <v>33313717.230000004</v>
      </c>
      <c r="G46" s="35">
        <f>SUM(G47:G72)</f>
        <v>19054451</v>
      </c>
      <c r="H46" s="59">
        <f>SUM(G53:G72)</f>
        <v>12238342</v>
      </c>
      <c r="I46" s="59">
        <f>'[1]Місто'!$K$96</f>
        <v>12238342</v>
      </c>
      <c r="J46" s="64">
        <f>I46-H46</f>
        <v>0</v>
      </c>
      <c r="K46" s="5"/>
      <c r="L46" s="5"/>
      <c r="M46" s="6"/>
      <c r="N46" s="7"/>
      <c r="O46" s="18"/>
    </row>
    <row r="47" spans="1:15" s="19" customFormat="1" ht="30.75">
      <c r="A47" s="50" t="s">
        <v>121</v>
      </c>
      <c r="B47" s="38" t="s">
        <v>148</v>
      </c>
      <c r="C47" s="38" t="s">
        <v>122</v>
      </c>
      <c r="D47" s="35"/>
      <c r="E47" s="36"/>
      <c r="F47" s="35"/>
      <c r="G47" s="39">
        <f>'[1]Місто'!$K$83</f>
        <v>0</v>
      </c>
      <c r="H47" s="59"/>
      <c r="I47" s="59"/>
      <c r="J47" s="64"/>
      <c r="K47" s="5"/>
      <c r="L47" s="5"/>
      <c r="M47" s="6"/>
      <c r="N47" s="7"/>
      <c r="O47" s="18"/>
    </row>
    <row r="48" spans="1:15" s="19" customFormat="1" ht="18.75">
      <c r="A48" s="50" t="s">
        <v>129</v>
      </c>
      <c r="B48" s="38" t="s">
        <v>167</v>
      </c>
      <c r="C48" s="38" t="s">
        <v>122</v>
      </c>
      <c r="D48" s="39"/>
      <c r="E48" s="40"/>
      <c r="F48" s="39"/>
      <c r="G48" s="39">
        <f>'[1]Місто'!$K$85</f>
        <v>6034720</v>
      </c>
      <c r="H48" s="5"/>
      <c r="I48" s="5"/>
      <c r="J48" s="64"/>
      <c r="K48" s="5"/>
      <c r="L48" s="5"/>
      <c r="M48" s="6"/>
      <c r="N48" s="7"/>
      <c r="O48" s="18"/>
    </row>
    <row r="49" spans="1:15" s="19" customFormat="1" ht="18.75">
      <c r="A49" s="50" t="s">
        <v>130</v>
      </c>
      <c r="B49" s="38" t="s">
        <v>168</v>
      </c>
      <c r="C49" s="38" t="s">
        <v>122</v>
      </c>
      <c r="D49" s="39"/>
      <c r="E49" s="40"/>
      <c r="F49" s="39"/>
      <c r="G49" s="39">
        <f>'[1]Місто'!$K$87</f>
        <v>189561</v>
      </c>
      <c r="H49" s="5"/>
      <c r="I49" s="5"/>
      <c r="J49" s="64"/>
      <c r="K49" s="5"/>
      <c r="L49" s="5"/>
      <c r="M49" s="6"/>
      <c r="N49" s="7"/>
      <c r="O49" s="18"/>
    </row>
    <row r="50" spans="1:15" s="19" customFormat="1" ht="75.75" customHeight="1">
      <c r="A50" s="50" t="s">
        <v>131</v>
      </c>
      <c r="B50" s="38" t="s">
        <v>169</v>
      </c>
      <c r="C50" s="38" t="s">
        <v>122</v>
      </c>
      <c r="D50" s="39"/>
      <c r="E50" s="40"/>
      <c r="F50" s="39"/>
      <c r="G50" s="39">
        <f>'[1]Місто'!$K$88</f>
        <v>570490</v>
      </c>
      <c r="H50" s="5"/>
      <c r="I50" s="5"/>
      <c r="J50" s="64"/>
      <c r="K50" s="5"/>
      <c r="L50" s="5"/>
      <c r="M50" s="6"/>
      <c r="N50" s="7"/>
      <c r="O50" s="18"/>
    </row>
    <row r="51" spans="1:15" s="19" customFormat="1" ht="36.75" customHeight="1">
      <c r="A51" s="50" t="s">
        <v>264</v>
      </c>
      <c r="B51" s="38" t="s">
        <v>265</v>
      </c>
      <c r="C51" s="38" t="s">
        <v>122</v>
      </c>
      <c r="D51" s="39"/>
      <c r="E51" s="40"/>
      <c r="F51" s="39"/>
      <c r="G51" s="39">
        <f>'[1]Місто'!$K$91</f>
        <v>1430</v>
      </c>
      <c r="H51" s="5"/>
      <c r="I51" s="5"/>
      <c r="J51" s="64"/>
      <c r="K51" s="5"/>
      <c r="L51" s="5"/>
      <c r="M51" s="6"/>
      <c r="N51" s="7"/>
      <c r="O51" s="18"/>
    </row>
    <row r="52" spans="1:15" s="19" customFormat="1" ht="18.75">
      <c r="A52" s="50" t="s">
        <v>132</v>
      </c>
      <c r="B52" s="38" t="s">
        <v>170</v>
      </c>
      <c r="C52" s="38" t="s">
        <v>122</v>
      </c>
      <c r="D52" s="39"/>
      <c r="E52" s="40"/>
      <c r="F52" s="39"/>
      <c r="G52" s="39">
        <f>'[1]Місто'!$K$94</f>
        <v>19908</v>
      </c>
      <c r="H52" s="5"/>
      <c r="I52" s="5"/>
      <c r="J52" s="64"/>
      <c r="K52" s="5"/>
      <c r="L52" s="5"/>
      <c r="M52" s="6"/>
      <c r="N52" s="7"/>
      <c r="O52" s="18"/>
    </row>
    <row r="53" spans="1:15" s="4" customFormat="1" ht="90.75">
      <c r="A53" s="37">
        <v>150101</v>
      </c>
      <c r="B53" s="38" t="s">
        <v>1</v>
      </c>
      <c r="C53" s="38" t="s">
        <v>48</v>
      </c>
      <c r="D53" s="39">
        <v>7053562</v>
      </c>
      <c r="E53" s="40">
        <f>100-(F53/D53)*100</f>
        <v>40.961137365773496</v>
      </c>
      <c r="F53" s="39">
        <f>D53-(1131016.02+23736.74+2463.2+1732003.26)</f>
        <v>4164342.7800000003</v>
      </c>
      <c r="G53" s="39">
        <f>545717+545026-101134</f>
        <v>989609</v>
      </c>
      <c r="H53" s="9"/>
      <c r="I53" s="9"/>
      <c r="J53" s="64"/>
      <c r="K53" s="9"/>
      <c r="L53" s="9"/>
      <c r="M53" s="13"/>
      <c r="N53" s="23"/>
      <c r="O53" s="8"/>
    </row>
    <row r="54" spans="1:15" s="4" customFormat="1" ht="105.75">
      <c r="A54" s="37">
        <v>150101</v>
      </c>
      <c r="B54" s="38" t="s">
        <v>1</v>
      </c>
      <c r="C54" s="38" t="s">
        <v>203</v>
      </c>
      <c r="D54" s="39">
        <f>500000+278000</f>
        <v>778000</v>
      </c>
      <c r="E54" s="40">
        <f>100-(F54/D54)*100</f>
        <v>0</v>
      </c>
      <c r="F54" s="39">
        <f>500000+278000</f>
        <v>778000</v>
      </c>
      <c r="G54" s="39">
        <f>500000+278000</f>
        <v>778000</v>
      </c>
      <c r="H54" s="9"/>
      <c r="I54" s="9"/>
      <c r="J54" s="64"/>
      <c r="K54" s="9"/>
      <c r="L54" s="9"/>
      <c r="M54" s="13"/>
      <c r="N54" s="23"/>
      <c r="O54" s="8"/>
    </row>
    <row r="55" spans="1:15" s="4" customFormat="1" ht="120.75">
      <c r="A55" s="37">
        <v>150101</v>
      </c>
      <c r="B55" s="38" t="s">
        <v>1</v>
      </c>
      <c r="C55" s="38" t="s">
        <v>227</v>
      </c>
      <c r="D55" s="39">
        <v>350000</v>
      </c>
      <c r="E55" s="40">
        <f aca="true" t="shared" si="1" ref="E55:E72">100-(F55/D55)*100</f>
        <v>0</v>
      </c>
      <c r="F55" s="39">
        <f>SUM(D55-0)</f>
        <v>350000</v>
      </c>
      <c r="G55" s="39">
        <v>350000</v>
      </c>
      <c r="H55" s="9"/>
      <c r="I55" s="9"/>
      <c r="J55" s="64"/>
      <c r="K55" s="9"/>
      <c r="L55" s="9"/>
      <c r="M55" s="10"/>
      <c r="N55" s="11"/>
      <c r="O55" s="8"/>
    </row>
    <row r="56" spans="1:15" s="4" customFormat="1" ht="90.75">
      <c r="A56" s="37">
        <v>150101</v>
      </c>
      <c r="B56" s="38" t="s">
        <v>1</v>
      </c>
      <c r="C56" s="38" t="s">
        <v>49</v>
      </c>
      <c r="D56" s="39">
        <f>2652552-128264</f>
        <v>2524288</v>
      </c>
      <c r="E56" s="40">
        <f t="shared" si="1"/>
        <v>6.584059742786877</v>
      </c>
      <c r="F56" s="39">
        <f>D56-(30148.8+136051.83)</f>
        <v>2358087.37</v>
      </c>
      <c r="G56" s="39">
        <f>2414+1500000</f>
        <v>1502414</v>
      </c>
      <c r="H56" s="9"/>
      <c r="I56" s="9"/>
      <c r="J56" s="64"/>
      <c r="K56" s="9"/>
      <c r="L56" s="9"/>
      <c r="M56" s="10"/>
      <c r="N56" s="20"/>
      <c r="O56" s="8"/>
    </row>
    <row r="57" spans="1:15" s="4" customFormat="1" ht="75.75">
      <c r="A57" s="37">
        <v>150101</v>
      </c>
      <c r="B57" s="38" t="s">
        <v>1</v>
      </c>
      <c r="C57" s="38" t="s">
        <v>107</v>
      </c>
      <c r="D57" s="39">
        <v>6405982</v>
      </c>
      <c r="E57" s="40">
        <f t="shared" si="1"/>
        <v>78.30015757146992</v>
      </c>
      <c r="F57" s="39">
        <v>1390088</v>
      </c>
      <c r="G57" s="39">
        <v>4634</v>
      </c>
      <c r="H57" s="9"/>
      <c r="I57" s="9"/>
      <c r="J57" s="64"/>
      <c r="K57" s="9"/>
      <c r="L57" s="9"/>
      <c r="M57" s="10"/>
      <c r="N57" s="20"/>
      <c r="O57" s="8"/>
    </row>
    <row r="58" spans="1:15" s="4" customFormat="1" ht="75.75">
      <c r="A58" s="37">
        <v>150101</v>
      </c>
      <c r="B58" s="38" t="s">
        <v>1</v>
      </c>
      <c r="C58" s="38" t="s">
        <v>50</v>
      </c>
      <c r="D58" s="39">
        <v>5540750</v>
      </c>
      <c r="E58" s="40">
        <f t="shared" si="1"/>
        <v>61.36748635112575</v>
      </c>
      <c r="F58" s="39">
        <f>D58-3400219</f>
        <v>2140531</v>
      </c>
      <c r="G58" s="39">
        <v>2140531</v>
      </c>
      <c r="H58" s="9"/>
      <c r="I58" s="9"/>
      <c r="J58" s="64"/>
      <c r="K58" s="9"/>
      <c r="L58" s="9"/>
      <c r="M58" s="10"/>
      <c r="N58" s="11"/>
      <c r="O58" s="8"/>
    </row>
    <row r="59" spans="1:15" s="4" customFormat="1" ht="90.75">
      <c r="A59" s="37">
        <v>150101</v>
      </c>
      <c r="B59" s="38" t="s">
        <v>1</v>
      </c>
      <c r="C59" s="38" t="s">
        <v>51</v>
      </c>
      <c r="D59" s="39">
        <f>6538291+708775</f>
        <v>7247066</v>
      </c>
      <c r="E59" s="40">
        <f t="shared" si="1"/>
        <v>0.07612018436151402</v>
      </c>
      <c r="F59" s="39">
        <f>D59-(1655+3861.48)</f>
        <v>7241549.52</v>
      </c>
      <c r="G59" s="39">
        <v>2032775</v>
      </c>
      <c r="H59" s="9"/>
      <c r="I59" s="9"/>
      <c r="J59" s="64"/>
      <c r="K59" s="9"/>
      <c r="L59" s="9"/>
      <c r="M59" s="10"/>
      <c r="N59" s="11"/>
      <c r="O59" s="8"/>
    </row>
    <row r="60" spans="1:15" s="4" customFormat="1" ht="60.75">
      <c r="A60" s="37">
        <v>150101</v>
      </c>
      <c r="B60" s="38" t="s">
        <v>1</v>
      </c>
      <c r="C60" s="38" t="s">
        <v>2</v>
      </c>
      <c r="D60" s="39">
        <v>6346025</v>
      </c>
      <c r="E60" s="40">
        <f t="shared" si="1"/>
        <v>88.3015500254096</v>
      </c>
      <c r="F60" s="39">
        <f>D60-(1388680+1250000+594399.65+183858.79+1020000+1166700)</f>
        <v>742386.5600000005</v>
      </c>
      <c r="G60" s="39">
        <v>742387</v>
      </c>
      <c r="H60" s="9"/>
      <c r="I60" s="9"/>
      <c r="J60" s="64"/>
      <c r="K60" s="9"/>
      <c r="L60" s="9"/>
      <c r="M60" s="10"/>
      <c r="N60" s="11"/>
      <c r="O60" s="8"/>
    </row>
    <row r="61" spans="1:15" s="4" customFormat="1" ht="60.75">
      <c r="A61" s="37">
        <v>150101</v>
      </c>
      <c r="B61" s="38" t="s">
        <v>1</v>
      </c>
      <c r="C61" s="38" t="s">
        <v>52</v>
      </c>
      <c r="D61" s="39">
        <f>808910-6230</f>
        <v>802680</v>
      </c>
      <c r="E61" s="40">
        <f t="shared" si="1"/>
        <v>0</v>
      </c>
      <c r="F61" s="39">
        <f>D61-0</f>
        <v>802680</v>
      </c>
      <c r="G61" s="39">
        <f>808910-6230</f>
        <v>802680</v>
      </c>
      <c r="H61" s="9"/>
      <c r="I61" s="9"/>
      <c r="J61" s="64"/>
      <c r="K61" s="9"/>
      <c r="L61" s="9"/>
      <c r="M61" s="10"/>
      <c r="N61" s="11"/>
      <c r="O61" s="15"/>
    </row>
    <row r="62" spans="1:15" s="4" customFormat="1" ht="45.75" hidden="1">
      <c r="A62" s="37">
        <v>150101</v>
      </c>
      <c r="B62" s="38" t="s">
        <v>1</v>
      </c>
      <c r="C62" s="38" t="s">
        <v>108</v>
      </c>
      <c r="D62" s="39"/>
      <c r="E62" s="40" t="e">
        <f t="shared" si="1"/>
        <v>#DIV/0!</v>
      </c>
      <c r="F62" s="39"/>
      <c r="G62" s="39">
        <f>450000-278000-172000</f>
        <v>0</v>
      </c>
      <c r="H62" s="9"/>
      <c r="I62" s="9"/>
      <c r="J62" s="64"/>
      <c r="K62" s="9"/>
      <c r="L62" s="9"/>
      <c r="M62" s="10"/>
      <c r="N62" s="11"/>
      <c r="O62" s="15"/>
    </row>
    <row r="63" spans="1:16" s="4" customFormat="1" ht="60.75" hidden="1">
      <c r="A63" s="37">
        <v>150101</v>
      </c>
      <c r="B63" s="38" t="s">
        <v>1</v>
      </c>
      <c r="C63" s="38" t="s">
        <v>89</v>
      </c>
      <c r="D63" s="39"/>
      <c r="E63" s="40"/>
      <c r="F63" s="39"/>
      <c r="G63" s="39"/>
      <c r="H63" s="9"/>
      <c r="I63" s="10"/>
      <c r="J63" s="64"/>
      <c r="K63" s="9"/>
      <c r="L63" s="9"/>
      <c r="M63" s="9"/>
      <c r="N63" s="10"/>
      <c r="O63" s="11"/>
      <c r="P63" s="15"/>
    </row>
    <row r="64" spans="1:16" s="4" customFormat="1" ht="60.75">
      <c r="A64" s="37">
        <v>150101</v>
      </c>
      <c r="B64" s="38" t="s">
        <v>1</v>
      </c>
      <c r="C64" s="38" t="s">
        <v>228</v>
      </c>
      <c r="D64" s="39">
        <v>1100000</v>
      </c>
      <c r="E64" s="40">
        <v>0</v>
      </c>
      <c r="F64" s="39">
        <v>1100000</v>
      </c>
      <c r="G64" s="39">
        <f>1100000</f>
        <v>1100000</v>
      </c>
      <c r="H64" s="9"/>
      <c r="I64" s="10"/>
      <c r="J64" s="64"/>
      <c r="K64" s="9"/>
      <c r="L64" s="9"/>
      <c r="M64" s="9"/>
      <c r="N64" s="10"/>
      <c r="O64" s="11"/>
      <c r="P64" s="15"/>
    </row>
    <row r="65" spans="1:16" s="4" customFormat="1" ht="60.75">
      <c r="A65" s="37">
        <v>150101</v>
      </c>
      <c r="B65" s="38" t="s">
        <v>1</v>
      </c>
      <c r="C65" s="38" t="s">
        <v>229</v>
      </c>
      <c r="D65" s="39">
        <v>1200000</v>
      </c>
      <c r="E65" s="40">
        <v>0</v>
      </c>
      <c r="F65" s="39">
        <v>1200000</v>
      </c>
      <c r="G65" s="39">
        <f>1200000-1000000</f>
        <v>200000</v>
      </c>
      <c r="H65" s="9"/>
      <c r="I65" s="10"/>
      <c r="J65" s="64"/>
      <c r="K65" s="9"/>
      <c r="L65" s="9"/>
      <c r="M65" s="9"/>
      <c r="N65" s="10"/>
      <c r="O65" s="11"/>
      <c r="P65" s="15"/>
    </row>
    <row r="66" spans="1:16" s="4" customFormat="1" ht="90.75">
      <c r="A66" s="37">
        <v>150101</v>
      </c>
      <c r="B66" s="38" t="s">
        <v>1</v>
      </c>
      <c r="C66" s="38" t="s">
        <v>230</v>
      </c>
      <c r="D66" s="39">
        <v>1100000</v>
      </c>
      <c r="E66" s="40">
        <f>100-(F66/D66)*100</f>
        <v>0</v>
      </c>
      <c r="F66" s="39">
        <v>1100000</v>
      </c>
      <c r="G66" s="39">
        <f>1100000-900000</f>
        <v>200000</v>
      </c>
      <c r="H66" s="9"/>
      <c r="I66" s="10"/>
      <c r="J66" s="64"/>
      <c r="K66" s="9"/>
      <c r="L66" s="9"/>
      <c r="M66" s="9"/>
      <c r="N66" s="10"/>
      <c r="O66" s="11"/>
      <c r="P66" s="15"/>
    </row>
    <row r="67" spans="1:15" s="4" customFormat="1" ht="75.75">
      <c r="A67" s="37">
        <v>150101</v>
      </c>
      <c r="B67" s="38" t="s">
        <v>1</v>
      </c>
      <c r="C67" s="38" t="s">
        <v>90</v>
      </c>
      <c r="D67" s="39">
        <v>581015</v>
      </c>
      <c r="E67" s="40">
        <f t="shared" si="1"/>
        <v>34.90168067950053</v>
      </c>
      <c r="F67" s="39">
        <v>378231</v>
      </c>
      <c r="G67" s="39">
        <f>371539+6692</f>
        <v>378231</v>
      </c>
      <c r="H67" s="9"/>
      <c r="I67" s="9"/>
      <c r="J67" s="64"/>
      <c r="K67" s="9"/>
      <c r="L67" s="9"/>
      <c r="M67" s="10"/>
      <c r="N67" s="11"/>
      <c r="O67" s="15"/>
    </row>
    <row r="68" spans="1:15" s="4" customFormat="1" ht="60.75">
      <c r="A68" s="37">
        <v>150101</v>
      </c>
      <c r="B68" s="38" t="s">
        <v>1</v>
      </c>
      <c r="C68" s="38" t="s">
        <v>91</v>
      </c>
      <c r="D68" s="39">
        <v>340850</v>
      </c>
      <c r="E68" s="40">
        <f t="shared" si="1"/>
        <v>81.31113392988118</v>
      </c>
      <c r="F68" s="39">
        <v>63701</v>
      </c>
      <c r="G68" s="39">
        <f>61496+2205</f>
        <v>63701</v>
      </c>
      <c r="H68" s="9"/>
      <c r="I68" s="9"/>
      <c r="J68" s="64"/>
      <c r="K68" s="9"/>
      <c r="L68" s="9"/>
      <c r="M68" s="10"/>
      <c r="N68" s="11"/>
      <c r="O68" s="15"/>
    </row>
    <row r="69" spans="1:16" s="4" customFormat="1" ht="60.75">
      <c r="A69" s="37">
        <v>150101</v>
      </c>
      <c r="B69" s="38" t="s">
        <v>1</v>
      </c>
      <c r="C69" s="38" t="s">
        <v>116</v>
      </c>
      <c r="D69" s="39">
        <f>300000+20647</f>
        <v>320647</v>
      </c>
      <c r="E69" s="40">
        <f>100-(F69/D69)*100</f>
        <v>0</v>
      </c>
      <c r="F69" s="39">
        <f>300000+20647</f>
        <v>320647</v>
      </c>
      <c r="G69" s="39">
        <v>300000</v>
      </c>
      <c r="H69" s="9"/>
      <c r="I69" s="10"/>
      <c r="J69" s="64"/>
      <c r="K69" s="9"/>
      <c r="L69" s="9"/>
      <c r="M69" s="9"/>
      <c r="N69" s="10"/>
      <c r="O69" s="11"/>
      <c r="P69" s="15"/>
    </row>
    <row r="70" spans="1:16" s="4" customFormat="1" ht="75.75">
      <c r="A70" s="37">
        <v>150101</v>
      </c>
      <c r="B70" s="38" t="s">
        <v>1</v>
      </c>
      <c r="C70" s="38" t="s">
        <v>92</v>
      </c>
      <c r="D70" s="39">
        <v>3401878</v>
      </c>
      <c r="E70" s="40">
        <f>100-(F70/D70)*100</f>
        <v>0</v>
      </c>
      <c r="F70" s="39">
        <f>SUM(D70)</f>
        <v>3401878</v>
      </c>
      <c r="G70" s="39">
        <v>159591</v>
      </c>
      <c r="H70" s="9"/>
      <c r="I70" s="10"/>
      <c r="J70" s="64"/>
      <c r="K70" s="9"/>
      <c r="L70" s="9"/>
      <c r="M70" s="9"/>
      <c r="N70" s="10"/>
      <c r="O70" s="11"/>
      <c r="P70" s="15"/>
    </row>
    <row r="71" spans="1:16" s="4" customFormat="1" ht="75.75">
      <c r="A71" s="37">
        <v>150101</v>
      </c>
      <c r="B71" s="38" t="s">
        <v>1</v>
      </c>
      <c r="C71" s="38" t="s">
        <v>299</v>
      </c>
      <c r="D71" s="39">
        <v>2364595</v>
      </c>
      <c r="E71" s="40"/>
      <c r="F71" s="39">
        <v>2364595</v>
      </c>
      <c r="G71" s="39">
        <v>183789</v>
      </c>
      <c r="H71" s="9"/>
      <c r="I71" s="10"/>
      <c r="J71" s="64"/>
      <c r="K71" s="9"/>
      <c r="L71" s="9"/>
      <c r="M71" s="9"/>
      <c r="N71" s="10"/>
      <c r="O71" s="11"/>
      <c r="P71" s="15"/>
    </row>
    <row r="72" spans="1:15" s="4" customFormat="1" ht="60.75">
      <c r="A72" s="37">
        <v>150101</v>
      </c>
      <c r="B72" s="38" t="s">
        <v>1</v>
      </c>
      <c r="C72" s="38" t="s">
        <v>109</v>
      </c>
      <c r="D72" s="39">
        <v>3417000</v>
      </c>
      <c r="E72" s="40">
        <f t="shared" si="1"/>
        <v>0</v>
      </c>
      <c r="F72" s="39">
        <f>D72-0</f>
        <v>3417000</v>
      </c>
      <c r="G72" s="39">
        <f>3417000-3107000</f>
        <v>310000</v>
      </c>
      <c r="H72" s="9"/>
      <c r="I72" s="9"/>
      <c r="J72" s="64"/>
      <c r="K72" s="9"/>
      <c r="L72" s="9"/>
      <c r="M72" s="10"/>
      <c r="N72" s="11"/>
      <c r="O72" s="8"/>
    </row>
    <row r="73" spans="1:15" s="19" customFormat="1" ht="47.25">
      <c r="A73" s="41">
        <v>15</v>
      </c>
      <c r="B73" s="34" t="s">
        <v>22</v>
      </c>
      <c r="C73" s="34"/>
      <c r="D73" s="35">
        <f>SUM(D78+D80+D79)</f>
        <v>9370429</v>
      </c>
      <c r="E73" s="36"/>
      <c r="F73" s="35">
        <f>SUM(F78+F80+F79)</f>
        <v>7689940.58</v>
      </c>
      <c r="G73" s="35">
        <f>SUM(G74:G80)-G76</f>
        <v>6423324</v>
      </c>
      <c r="H73" s="59">
        <f>G78+G79+G80</f>
        <v>5341456</v>
      </c>
      <c r="I73" s="59">
        <f>'[1]Місто'!$K$163</f>
        <v>5341456</v>
      </c>
      <c r="J73" s="64">
        <f>I73-H73</f>
        <v>0</v>
      </c>
      <c r="K73" s="5"/>
      <c r="L73" s="5"/>
      <c r="M73" s="6"/>
      <c r="N73" s="7"/>
      <c r="O73" s="18"/>
    </row>
    <row r="74" spans="1:15" s="19" customFormat="1" ht="30.75">
      <c r="A74" s="50" t="s">
        <v>121</v>
      </c>
      <c r="B74" s="38" t="s">
        <v>148</v>
      </c>
      <c r="C74" s="38" t="s">
        <v>122</v>
      </c>
      <c r="D74" s="39"/>
      <c r="E74" s="40"/>
      <c r="F74" s="39"/>
      <c r="G74" s="39">
        <f>'[1]Місто'!$K$104</f>
        <v>607642</v>
      </c>
      <c r="H74" s="5"/>
      <c r="I74" s="5"/>
      <c r="J74" s="64"/>
      <c r="K74" s="5"/>
      <c r="L74" s="5"/>
      <c r="M74" s="6"/>
      <c r="N74" s="7"/>
      <c r="O74" s="18"/>
    </row>
    <row r="75" spans="1:15" s="19" customFormat="1" ht="219" customHeight="1">
      <c r="A75" s="50" t="s">
        <v>133</v>
      </c>
      <c r="B75" s="54" t="s">
        <v>165</v>
      </c>
      <c r="C75" s="38" t="s">
        <v>122</v>
      </c>
      <c r="D75" s="39"/>
      <c r="E75" s="40"/>
      <c r="F75" s="39"/>
      <c r="G75" s="39">
        <f>'[1]Місто'!$K$113</f>
        <v>35775</v>
      </c>
      <c r="H75" s="5"/>
      <c r="I75" s="5"/>
      <c r="J75" s="64"/>
      <c r="K75" s="5"/>
      <c r="L75" s="5"/>
      <c r="M75" s="6"/>
      <c r="N75" s="7"/>
      <c r="O75" s="18"/>
    </row>
    <row r="76" spans="1:15" s="19" customFormat="1" ht="191.25" customHeight="1">
      <c r="A76" s="50"/>
      <c r="B76" s="55" t="s">
        <v>171</v>
      </c>
      <c r="C76" s="38"/>
      <c r="D76" s="39"/>
      <c r="E76" s="40"/>
      <c r="F76" s="39"/>
      <c r="G76" s="39">
        <f>G75</f>
        <v>35775</v>
      </c>
      <c r="H76" s="5"/>
      <c r="I76" s="5"/>
      <c r="J76" s="64"/>
      <c r="K76" s="5"/>
      <c r="L76" s="5"/>
      <c r="M76" s="6"/>
      <c r="N76" s="7"/>
      <c r="O76" s="18"/>
    </row>
    <row r="77" spans="1:15" s="19" customFormat="1" ht="45.75">
      <c r="A77" s="50" t="s">
        <v>134</v>
      </c>
      <c r="B77" s="38" t="s">
        <v>166</v>
      </c>
      <c r="C77" s="38" t="s">
        <v>122</v>
      </c>
      <c r="D77" s="39"/>
      <c r="E77" s="40"/>
      <c r="F77" s="39"/>
      <c r="G77" s="39">
        <f>'[1]Місто'!$K$158</f>
        <v>438451</v>
      </c>
      <c r="H77" s="5"/>
      <c r="I77" s="5"/>
      <c r="J77" s="64"/>
      <c r="K77" s="5"/>
      <c r="L77" s="5"/>
      <c r="M77" s="6"/>
      <c r="N77" s="7"/>
      <c r="O77" s="18"/>
    </row>
    <row r="78" spans="1:15" s="4" customFormat="1" ht="90.75">
      <c r="A78" s="37">
        <v>150101</v>
      </c>
      <c r="B78" s="38" t="s">
        <v>1</v>
      </c>
      <c r="C78" s="38" t="s">
        <v>93</v>
      </c>
      <c r="D78" s="39">
        <v>5314369</v>
      </c>
      <c r="E78" s="40">
        <f>100-(F78/D78)*100</f>
        <v>10.206195881392517</v>
      </c>
      <c r="F78" s="39">
        <f>D78-(383519.81+158875.1)</f>
        <v>4771974.09</v>
      </c>
      <c r="G78" s="39">
        <f>1423490+1000000</f>
        <v>2423490</v>
      </c>
      <c r="H78" s="9"/>
      <c r="I78" s="9"/>
      <c r="J78" s="64"/>
      <c r="K78" s="9"/>
      <c r="L78" s="9"/>
      <c r="M78" s="10"/>
      <c r="N78" s="11"/>
      <c r="O78" s="8"/>
    </row>
    <row r="79" spans="1:15" s="4" customFormat="1" ht="45.75">
      <c r="A79" s="37">
        <v>150101</v>
      </c>
      <c r="B79" s="38" t="s">
        <v>1</v>
      </c>
      <c r="C79" s="38" t="s">
        <v>182</v>
      </c>
      <c r="D79" s="39">
        <v>290000</v>
      </c>
      <c r="E79" s="40">
        <v>0</v>
      </c>
      <c r="F79" s="39">
        <v>290000</v>
      </c>
      <c r="G79" s="39">
        <v>290000</v>
      </c>
      <c r="H79" s="9"/>
      <c r="I79" s="9"/>
      <c r="J79" s="64"/>
      <c r="K79" s="9"/>
      <c r="L79" s="9"/>
      <c r="M79" s="10"/>
      <c r="N79" s="11"/>
      <c r="O79" s="8"/>
    </row>
    <row r="80" spans="1:15" s="4" customFormat="1" ht="60.75">
      <c r="A80" s="37">
        <v>150101</v>
      </c>
      <c r="B80" s="38" t="s">
        <v>1</v>
      </c>
      <c r="C80" s="38" t="s">
        <v>11</v>
      </c>
      <c r="D80" s="39">
        <v>3766060</v>
      </c>
      <c r="E80" s="40">
        <f>100-(F80/D80)*100</f>
        <v>30.219739196932593</v>
      </c>
      <c r="F80" s="39">
        <f>D80-878841-259252.51</f>
        <v>2627966.49</v>
      </c>
      <c r="G80" s="39">
        <f>452799+2175167</f>
        <v>2627966</v>
      </c>
      <c r="H80" s="9"/>
      <c r="I80" s="9"/>
      <c r="J80" s="64"/>
      <c r="K80" s="9"/>
      <c r="L80" s="9"/>
      <c r="M80" s="10"/>
      <c r="N80" s="11"/>
      <c r="O80" s="8"/>
    </row>
    <row r="81" spans="1:15" s="4" customFormat="1" ht="47.25">
      <c r="A81" s="41">
        <v>20</v>
      </c>
      <c r="B81" s="34" t="s">
        <v>147</v>
      </c>
      <c r="C81" s="34"/>
      <c r="D81" s="35"/>
      <c r="E81" s="36"/>
      <c r="F81" s="35"/>
      <c r="G81" s="35">
        <f>G82</f>
        <v>16170</v>
      </c>
      <c r="H81" s="9"/>
      <c r="I81" s="9"/>
      <c r="J81" s="64"/>
      <c r="K81" s="9"/>
      <c r="L81" s="9"/>
      <c r="M81" s="10"/>
      <c r="N81" s="11"/>
      <c r="O81" s="8"/>
    </row>
    <row r="82" spans="1:15" s="4" customFormat="1" ht="30.75">
      <c r="A82" s="50" t="s">
        <v>121</v>
      </c>
      <c r="B82" s="38" t="s">
        <v>148</v>
      </c>
      <c r="C82" s="38" t="s">
        <v>122</v>
      </c>
      <c r="D82" s="39"/>
      <c r="E82" s="40"/>
      <c r="F82" s="39"/>
      <c r="G82" s="39">
        <f>'[1]Місто'!$K$188</f>
        <v>16170</v>
      </c>
      <c r="H82" s="9"/>
      <c r="I82" s="9"/>
      <c r="J82" s="64"/>
      <c r="K82" s="9"/>
      <c r="L82" s="9"/>
      <c r="M82" s="10"/>
      <c r="N82" s="11"/>
      <c r="O82" s="8"/>
    </row>
    <row r="83" spans="1:15" s="4" customFormat="1" ht="78.75">
      <c r="A83" s="41">
        <v>23</v>
      </c>
      <c r="B83" s="34" t="s">
        <v>135</v>
      </c>
      <c r="C83" s="34"/>
      <c r="D83" s="35"/>
      <c r="E83" s="36"/>
      <c r="F83" s="35"/>
      <c r="G83" s="35">
        <f>SUM(G84:G84)</f>
        <v>5254</v>
      </c>
      <c r="H83" s="9"/>
      <c r="I83" s="9"/>
      <c r="J83" s="64"/>
      <c r="K83" s="9"/>
      <c r="L83" s="9"/>
      <c r="M83" s="10"/>
      <c r="N83" s="11"/>
      <c r="O83" s="8"/>
    </row>
    <row r="84" spans="1:15" s="4" customFormat="1" ht="30.75">
      <c r="A84" s="50" t="s">
        <v>121</v>
      </c>
      <c r="B84" s="38" t="s">
        <v>148</v>
      </c>
      <c r="C84" s="38" t="s">
        <v>122</v>
      </c>
      <c r="D84" s="39"/>
      <c r="E84" s="40"/>
      <c r="F84" s="39"/>
      <c r="G84" s="39">
        <f>'[1]Місто'!$K$193</f>
        <v>5254</v>
      </c>
      <c r="H84" s="9"/>
      <c r="I84" s="9"/>
      <c r="J84" s="64"/>
      <c r="K84" s="9"/>
      <c r="L84" s="9"/>
      <c r="M84" s="10"/>
      <c r="N84" s="11"/>
      <c r="O84" s="8"/>
    </row>
    <row r="85" spans="1:15" s="19" customFormat="1" ht="47.25">
      <c r="A85" s="41">
        <v>24</v>
      </c>
      <c r="B85" s="34" t="s">
        <v>23</v>
      </c>
      <c r="C85" s="34"/>
      <c r="D85" s="35">
        <f>SUM(D91:D91)</f>
        <v>210000</v>
      </c>
      <c r="E85" s="36"/>
      <c r="F85" s="35">
        <f>SUM(F91:F91)</f>
        <v>210000</v>
      </c>
      <c r="G85" s="35">
        <f>SUM(G86:G91)</f>
        <v>2933823</v>
      </c>
      <c r="H85" s="59">
        <f>G91</f>
        <v>210000</v>
      </c>
      <c r="I85" s="59">
        <f>'[1]Місто'!$K$206</f>
        <v>210000</v>
      </c>
      <c r="J85" s="64">
        <f>I85-H85</f>
        <v>0</v>
      </c>
      <c r="K85" s="5"/>
      <c r="L85" s="5"/>
      <c r="M85" s="6"/>
      <c r="N85" s="7"/>
      <c r="O85" s="18"/>
    </row>
    <row r="86" spans="1:15" s="19" customFormat="1" ht="18.75">
      <c r="A86" s="50" t="s">
        <v>136</v>
      </c>
      <c r="B86" s="38" t="s">
        <v>160</v>
      </c>
      <c r="C86" s="38" t="s">
        <v>122</v>
      </c>
      <c r="D86" s="39"/>
      <c r="E86" s="40"/>
      <c r="F86" s="39"/>
      <c r="G86" s="39">
        <f>'[1]Місто'!$K$198</f>
        <v>686157</v>
      </c>
      <c r="H86" s="5"/>
      <c r="I86" s="59"/>
      <c r="J86" s="64"/>
      <c r="K86" s="5"/>
      <c r="L86" s="5"/>
      <c r="M86" s="6"/>
      <c r="N86" s="7"/>
      <c r="O86" s="18"/>
    </row>
    <row r="87" spans="1:15" s="19" customFormat="1" ht="18.75">
      <c r="A87" s="50" t="s">
        <v>137</v>
      </c>
      <c r="B87" s="38" t="s">
        <v>161</v>
      </c>
      <c r="C87" s="38" t="s">
        <v>122</v>
      </c>
      <c r="D87" s="39"/>
      <c r="E87" s="40"/>
      <c r="F87" s="39"/>
      <c r="G87" s="39">
        <f>'[1]Місто'!$K$199</f>
        <v>1123216</v>
      </c>
      <c r="H87" s="5"/>
      <c r="I87" s="59"/>
      <c r="J87" s="64"/>
      <c r="K87" s="5"/>
      <c r="L87" s="5"/>
      <c r="M87" s="6"/>
      <c r="N87" s="7"/>
      <c r="O87" s="18"/>
    </row>
    <row r="88" spans="1:15" s="19" customFormat="1" ht="45.75">
      <c r="A88" s="50" t="s">
        <v>138</v>
      </c>
      <c r="B88" s="38" t="s">
        <v>162</v>
      </c>
      <c r="C88" s="38" t="s">
        <v>122</v>
      </c>
      <c r="D88" s="39"/>
      <c r="E88" s="40"/>
      <c r="F88" s="39"/>
      <c r="G88" s="39">
        <f>'[1]Місто'!$K$200</f>
        <v>564116</v>
      </c>
      <c r="H88" s="5"/>
      <c r="I88" s="59"/>
      <c r="J88" s="64"/>
      <c r="K88" s="5"/>
      <c r="L88" s="5"/>
      <c r="M88" s="6"/>
      <c r="N88" s="7"/>
      <c r="O88" s="18"/>
    </row>
    <row r="89" spans="1:15" s="19" customFormat="1" ht="30.75">
      <c r="A89" s="50" t="s">
        <v>139</v>
      </c>
      <c r="B89" s="38" t="s">
        <v>163</v>
      </c>
      <c r="C89" s="38" t="s">
        <v>122</v>
      </c>
      <c r="D89" s="39"/>
      <c r="E89" s="40"/>
      <c r="F89" s="39"/>
      <c r="G89" s="39">
        <f>'[1]Місто'!$K$201</f>
        <v>262138</v>
      </c>
      <c r="H89" s="5"/>
      <c r="I89" s="59"/>
      <c r="J89" s="64"/>
      <c r="K89" s="5"/>
      <c r="L89" s="5"/>
      <c r="M89" s="6"/>
      <c r="N89" s="7"/>
      <c r="O89" s="18"/>
    </row>
    <row r="90" spans="1:15" s="19" customFormat="1" ht="30.75">
      <c r="A90" s="50" t="s">
        <v>140</v>
      </c>
      <c r="B90" s="38" t="s">
        <v>164</v>
      </c>
      <c r="C90" s="38" t="s">
        <v>122</v>
      </c>
      <c r="D90" s="39"/>
      <c r="E90" s="40"/>
      <c r="F90" s="39"/>
      <c r="G90" s="39">
        <f>'[1]Місто'!$K$205</f>
        <v>88196</v>
      </c>
      <c r="H90" s="5"/>
      <c r="I90" s="59"/>
      <c r="J90" s="64"/>
      <c r="K90" s="5"/>
      <c r="L90" s="5"/>
      <c r="M90" s="6"/>
      <c r="N90" s="7"/>
      <c r="O90" s="18"/>
    </row>
    <row r="91" spans="1:15" s="4" customFormat="1" ht="75.75">
      <c r="A91" s="37">
        <v>150101</v>
      </c>
      <c r="B91" s="38" t="s">
        <v>1</v>
      </c>
      <c r="C91" s="38" t="s">
        <v>58</v>
      </c>
      <c r="D91" s="39">
        <f>100000+110000</f>
        <v>210000</v>
      </c>
      <c r="E91" s="40">
        <f>100-(F91/D91)*100</f>
        <v>0</v>
      </c>
      <c r="F91" s="39">
        <f>D91-0</f>
        <v>210000</v>
      </c>
      <c r="G91" s="39">
        <f>100000+110000</f>
        <v>210000</v>
      </c>
      <c r="H91" s="9"/>
      <c r="I91" s="65"/>
      <c r="J91" s="64"/>
      <c r="K91" s="9"/>
      <c r="L91" s="9"/>
      <c r="M91" s="10"/>
      <c r="N91" s="11"/>
      <c r="O91" s="15"/>
    </row>
    <row r="92" spans="1:15" s="4" customFormat="1" ht="63">
      <c r="A92" s="41" t="s">
        <v>209</v>
      </c>
      <c r="B92" s="34" t="s">
        <v>210</v>
      </c>
      <c r="C92" s="34"/>
      <c r="D92" s="35"/>
      <c r="E92" s="36"/>
      <c r="F92" s="35"/>
      <c r="G92" s="35">
        <f>G93</f>
        <v>8240</v>
      </c>
      <c r="H92" s="9"/>
      <c r="I92" s="65"/>
      <c r="J92" s="64"/>
      <c r="K92" s="9"/>
      <c r="L92" s="9"/>
      <c r="M92" s="10"/>
      <c r="N92" s="11"/>
      <c r="O92" s="15"/>
    </row>
    <row r="93" spans="1:15" s="4" customFormat="1" ht="30.75">
      <c r="A93" s="50" t="s">
        <v>121</v>
      </c>
      <c r="B93" s="38" t="s">
        <v>148</v>
      </c>
      <c r="C93" s="38" t="s">
        <v>122</v>
      </c>
      <c r="D93" s="39"/>
      <c r="E93" s="40"/>
      <c r="F93" s="39"/>
      <c r="G93" s="39">
        <f>'[1]Місто'!$K$215</f>
        <v>8240</v>
      </c>
      <c r="H93" s="9"/>
      <c r="I93" s="65"/>
      <c r="J93" s="64"/>
      <c r="K93" s="9"/>
      <c r="L93" s="9"/>
      <c r="M93" s="10"/>
      <c r="N93" s="11"/>
      <c r="O93" s="15"/>
    </row>
    <row r="94" spans="1:256" s="4" customFormat="1" ht="47.25">
      <c r="A94" s="41" t="s">
        <v>241</v>
      </c>
      <c r="B94" s="34" t="s">
        <v>242</v>
      </c>
      <c r="C94" s="34"/>
      <c r="D94" s="35"/>
      <c r="E94" s="36"/>
      <c r="F94" s="35"/>
      <c r="G94" s="35">
        <f>G95</f>
        <v>43050</v>
      </c>
      <c r="H94" s="76"/>
      <c r="I94" s="77"/>
      <c r="J94" s="78"/>
      <c r="K94" s="77"/>
      <c r="L94" s="78"/>
      <c r="M94" s="77"/>
      <c r="N94" s="78"/>
      <c r="O94" s="77"/>
      <c r="P94" s="78"/>
      <c r="Q94" s="77"/>
      <c r="R94" s="78"/>
      <c r="S94" s="77"/>
      <c r="T94" s="78"/>
      <c r="U94" s="77"/>
      <c r="V94" s="78"/>
      <c r="W94" s="77"/>
      <c r="X94" s="78"/>
      <c r="Y94" s="77"/>
      <c r="Z94" s="78"/>
      <c r="AA94" s="77"/>
      <c r="AB94" s="78"/>
      <c r="AC94" s="77"/>
      <c r="AD94" s="78"/>
      <c r="AE94" s="77"/>
      <c r="AF94" s="78"/>
      <c r="AG94" s="77"/>
      <c r="AH94" s="78"/>
      <c r="AI94" s="77"/>
      <c r="AJ94" s="78"/>
      <c r="AK94" s="77"/>
      <c r="AL94" s="78"/>
      <c r="AM94" s="77"/>
      <c r="AN94" s="78"/>
      <c r="AO94" s="77"/>
      <c r="AP94" s="78"/>
      <c r="AQ94" s="77"/>
      <c r="AR94" s="78"/>
      <c r="AS94" s="77"/>
      <c r="AT94" s="78"/>
      <c r="AU94" s="77"/>
      <c r="AV94" s="78"/>
      <c r="AW94" s="77"/>
      <c r="AX94" s="78"/>
      <c r="AY94" s="77"/>
      <c r="AZ94" s="78"/>
      <c r="BA94" s="77"/>
      <c r="BB94" s="78"/>
      <c r="BC94" s="77"/>
      <c r="BD94" s="78"/>
      <c r="BE94" s="77"/>
      <c r="BF94" s="78"/>
      <c r="BG94" s="77"/>
      <c r="BH94" s="78"/>
      <c r="BI94" s="77"/>
      <c r="BJ94" s="78"/>
      <c r="BK94" s="77"/>
      <c r="BL94" s="78"/>
      <c r="BM94" s="77"/>
      <c r="BN94" s="78"/>
      <c r="BO94" s="77"/>
      <c r="BP94" s="78"/>
      <c r="BQ94" s="77"/>
      <c r="BR94" s="78"/>
      <c r="BS94" s="77"/>
      <c r="BT94" s="78"/>
      <c r="BU94" s="77"/>
      <c r="BV94" s="78"/>
      <c r="BW94" s="77"/>
      <c r="BX94" s="78"/>
      <c r="BY94" s="77"/>
      <c r="BZ94" s="78"/>
      <c r="CA94" s="77"/>
      <c r="CB94" s="78"/>
      <c r="CC94" s="77"/>
      <c r="CD94" s="78"/>
      <c r="CE94" s="77"/>
      <c r="CF94" s="78"/>
      <c r="CG94" s="77"/>
      <c r="CH94" s="78"/>
      <c r="CI94" s="77"/>
      <c r="CJ94" s="78"/>
      <c r="CK94" s="77"/>
      <c r="CL94" s="78"/>
      <c r="CM94" s="77"/>
      <c r="CN94" s="78"/>
      <c r="CO94" s="77"/>
      <c r="CP94" s="78"/>
      <c r="CQ94" s="77"/>
      <c r="CR94" s="78"/>
      <c r="CS94" s="77"/>
      <c r="CT94" s="78"/>
      <c r="CU94" s="77"/>
      <c r="CV94" s="78"/>
      <c r="CW94" s="77"/>
      <c r="CX94" s="78"/>
      <c r="CY94" s="77"/>
      <c r="CZ94" s="78"/>
      <c r="DA94" s="77"/>
      <c r="DB94" s="78"/>
      <c r="DC94" s="77"/>
      <c r="DD94" s="78"/>
      <c r="DE94" s="77"/>
      <c r="DF94" s="78"/>
      <c r="DG94" s="77"/>
      <c r="DH94" s="78"/>
      <c r="DI94" s="77"/>
      <c r="DJ94" s="78"/>
      <c r="DK94" s="77"/>
      <c r="DL94" s="78"/>
      <c r="DM94" s="77"/>
      <c r="DN94" s="78"/>
      <c r="DO94" s="77"/>
      <c r="DP94" s="78"/>
      <c r="DQ94" s="77"/>
      <c r="DR94" s="78"/>
      <c r="DS94" s="77"/>
      <c r="DT94" s="78"/>
      <c r="DU94" s="77"/>
      <c r="DV94" s="78"/>
      <c r="DW94" s="77"/>
      <c r="DX94" s="78"/>
      <c r="DY94" s="77"/>
      <c r="DZ94" s="78"/>
      <c r="EA94" s="77"/>
      <c r="EB94" s="78"/>
      <c r="EC94" s="77"/>
      <c r="ED94" s="78"/>
      <c r="EE94" s="77"/>
      <c r="EF94" s="78"/>
      <c r="EG94" s="77"/>
      <c r="EH94" s="78"/>
      <c r="EI94" s="77"/>
      <c r="EJ94" s="78"/>
      <c r="EK94" s="77"/>
      <c r="EL94" s="78"/>
      <c r="EM94" s="77"/>
      <c r="EN94" s="78"/>
      <c r="EO94" s="77"/>
      <c r="EP94" s="78"/>
      <c r="EQ94" s="77"/>
      <c r="ER94" s="78"/>
      <c r="ES94" s="77"/>
      <c r="ET94" s="78"/>
      <c r="EU94" s="77"/>
      <c r="EV94" s="78"/>
      <c r="EW94" s="77"/>
      <c r="EX94" s="78"/>
      <c r="EY94" s="77"/>
      <c r="EZ94" s="78"/>
      <c r="FA94" s="77"/>
      <c r="FB94" s="78"/>
      <c r="FC94" s="77"/>
      <c r="FD94" s="78"/>
      <c r="FE94" s="77"/>
      <c r="FF94" s="78"/>
      <c r="FG94" s="77"/>
      <c r="FH94" s="78"/>
      <c r="FI94" s="77"/>
      <c r="FJ94" s="78"/>
      <c r="FK94" s="77"/>
      <c r="FL94" s="78"/>
      <c r="FM94" s="77"/>
      <c r="FN94" s="78"/>
      <c r="FO94" s="77"/>
      <c r="FP94" s="78"/>
      <c r="FQ94" s="77"/>
      <c r="FR94" s="78"/>
      <c r="FS94" s="77"/>
      <c r="FT94" s="78"/>
      <c r="FU94" s="77"/>
      <c r="FV94" s="78"/>
      <c r="FW94" s="77"/>
      <c r="FX94" s="78"/>
      <c r="FY94" s="77"/>
      <c r="FZ94" s="78"/>
      <c r="GA94" s="77"/>
      <c r="GB94" s="78"/>
      <c r="GC94" s="77"/>
      <c r="GD94" s="78"/>
      <c r="GE94" s="77"/>
      <c r="GF94" s="78"/>
      <c r="GG94" s="77"/>
      <c r="GH94" s="78"/>
      <c r="GI94" s="77"/>
      <c r="GJ94" s="78"/>
      <c r="GK94" s="77"/>
      <c r="GL94" s="78"/>
      <c r="GM94" s="77"/>
      <c r="GN94" s="78"/>
      <c r="GO94" s="77"/>
      <c r="GP94" s="78"/>
      <c r="GQ94" s="77"/>
      <c r="GR94" s="78"/>
      <c r="GS94" s="77"/>
      <c r="GT94" s="78"/>
      <c r="GU94" s="77"/>
      <c r="GV94" s="78"/>
      <c r="GW94" s="77"/>
      <c r="GX94" s="78"/>
      <c r="GY94" s="77"/>
      <c r="GZ94" s="78"/>
      <c r="HA94" s="77"/>
      <c r="HB94" s="78"/>
      <c r="HC94" s="77"/>
      <c r="HD94" s="78"/>
      <c r="HE94" s="77"/>
      <c r="HF94" s="78"/>
      <c r="HG94" s="77"/>
      <c r="HH94" s="78"/>
      <c r="HI94" s="77"/>
      <c r="HJ94" s="78"/>
      <c r="HK94" s="77"/>
      <c r="HL94" s="78"/>
      <c r="HM94" s="77"/>
      <c r="HN94" s="78"/>
      <c r="HO94" s="77"/>
      <c r="HP94" s="78"/>
      <c r="HQ94" s="77"/>
      <c r="HR94" s="78"/>
      <c r="HS94" s="77"/>
      <c r="HT94" s="78"/>
      <c r="HU94" s="77"/>
      <c r="HV94" s="78"/>
      <c r="HW94" s="77"/>
      <c r="HX94" s="78"/>
      <c r="HY94" s="77"/>
      <c r="HZ94" s="78"/>
      <c r="IA94" s="77"/>
      <c r="IB94" s="78"/>
      <c r="IC94" s="77"/>
      <c r="ID94" s="78"/>
      <c r="IE94" s="77"/>
      <c r="IF94" s="78"/>
      <c r="IG94" s="77"/>
      <c r="IH94" s="78"/>
      <c r="II94" s="77"/>
      <c r="IJ94" s="78"/>
      <c r="IK94" s="77"/>
      <c r="IL94" s="78"/>
      <c r="IM94" s="77"/>
      <c r="IN94" s="78"/>
      <c r="IO94" s="77"/>
      <c r="IP94" s="78"/>
      <c r="IQ94" s="77"/>
      <c r="IR94" s="78"/>
      <c r="IS94" s="77"/>
      <c r="IT94" s="78"/>
      <c r="IU94" s="77"/>
      <c r="IV94" s="78"/>
    </row>
    <row r="95" spans="1:256" s="4" customFormat="1" ht="30.75">
      <c r="A95" s="50" t="s">
        <v>121</v>
      </c>
      <c r="B95" s="38" t="s">
        <v>148</v>
      </c>
      <c r="C95" s="38" t="s">
        <v>122</v>
      </c>
      <c r="D95" s="35"/>
      <c r="E95" s="36"/>
      <c r="F95" s="35"/>
      <c r="G95" s="39">
        <f>'[1]Місто'!$K$226</f>
        <v>43050</v>
      </c>
      <c r="H95" s="78"/>
      <c r="I95" s="77"/>
      <c r="J95" s="78"/>
      <c r="K95" s="77"/>
      <c r="L95" s="78"/>
      <c r="M95" s="77"/>
      <c r="N95" s="78"/>
      <c r="O95" s="77"/>
      <c r="P95" s="78"/>
      <c r="Q95" s="77"/>
      <c r="R95" s="78"/>
      <c r="S95" s="77"/>
      <c r="T95" s="78"/>
      <c r="U95" s="77"/>
      <c r="V95" s="78"/>
      <c r="W95" s="77"/>
      <c r="X95" s="78"/>
      <c r="Y95" s="77"/>
      <c r="Z95" s="78"/>
      <c r="AA95" s="77"/>
      <c r="AB95" s="78"/>
      <c r="AC95" s="77"/>
      <c r="AD95" s="78"/>
      <c r="AE95" s="77"/>
      <c r="AF95" s="78"/>
      <c r="AG95" s="77"/>
      <c r="AH95" s="78"/>
      <c r="AI95" s="77"/>
      <c r="AJ95" s="78"/>
      <c r="AK95" s="77"/>
      <c r="AL95" s="78"/>
      <c r="AM95" s="77"/>
      <c r="AN95" s="78"/>
      <c r="AO95" s="77"/>
      <c r="AP95" s="78"/>
      <c r="AQ95" s="77"/>
      <c r="AR95" s="78"/>
      <c r="AS95" s="77"/>
      <c r="AT95" s="78"/>
      <c r="AU95" s="77"/>
      <c r="AV95" s="78"/>
      <c r="AW95" s="77"/>
      <c r="AX95" s="78"/>
      <c r="AY95" s="77"/>
      <c r="AZ95" s="78"/>
      <c r="BA95" s="77"/>
      <c r="BB95" s="78"/>
      <c r="BC95" s="77"/>
      <c r="BD95" s="78"/>
      <c r="BE95" s="77"/>
      <c r="BF95" s="78"/>
      <c r="BG95" s="77"/>
      <c r="BH95" s="78"/>
      <c r="BI95" s="77"/>
      <c r="BJ95" s="78"/>
      <c r="BK95" s="77"/>
      <c r="BL95" s="78"/>
      <c r="BM95" s="77"/>
      <c r="BN95" s="78"/>
      <c r="BO95" s="77"/>
      <c r="BP95" s="78"/>
      <c r="BQ95" s="77"/>
      <c r="BR95" s="78"/>
      <c r="BS95" s="77"/>
      <c r="BT95" s="78"/>
      <c r="BU95" s="77"/>
      <c r="BV95" s="78"/>
      <c r="BW95" s="77"/>
      <c r="BX95" s="78"/>
      <c r="BY95" s="77"/>
      <c r="BZ95" s="78"/>
      <c r="CA95" s="77"/>
      <c r="CB95" s="78"/>
      <c r="CC95" s="77"/>
      <c r="CD95" s="78"/>
      <c r="CE95" s="77"/>
      <c r="CF95" s="78"/>
      <c r="CG95" s="77"/>
      <c r="CH95" s="78"/>
      <c r="CI95" s="77"/>
      <c r="CJ95" s="78"/>
      <c r="CK95" s="77"/>
      <c r="CL95" s="78"/>
      <c r="CM95" s="77"/>
      <c r="CN95" s="78"/>
      <c r="CO95" s="77"/>
      <c r="CP95" s="78"/>
      <c r="CQ95" s="77"/>
      <c r="CR95" s="78"/>
      <c r="CS95" s="77"/>
      <c r="CT95" s="78"/>
      <c r="CU95" s="77"/>
      <c r="CV95" s="78"/>
      <c r="CW95" s="77"/>
      <c r="CX95" s="78"/>
      <c r="CY95" s="77"/>
      <c r="CZ95" s="78"/>
      <c r="DA95" s="77"/>
      <c r="DB95" s="78"/>
      <c r="DC95" s="77"/>
      <c r="DD95" s="78"/>
      <c r="DE95" s="77"/>
      <c r="DF95" s="78"/>
      <c r="DG95" s="77"/>
      <c r="DH95" s="78"/>
      <c r="DI95" s="77"/>
      <c r="DJ95" s="78"/>
      <c r="DK95" s="77"/>
      <c r="DL95" s="78"/>
      <c r="DM95" s="77"/>
      <c r="DN95" s="78"/>
      <c r="DO95" s="77"/>
      <c r="DP95" s="78"/>
      <c r="DQ95" s="77"/>
      <c r="DR95" s="78"/>
      <c r="DS95" s="77"/>
      <c r="DT95" s="78"/>
      <c r="DU95" s="77"/>
      <c r="DV95" s="78"/>
      <c r="DW95" s="77"/>
      <c r="DX95" s="78"/>
      <c r="DY95" s="77"/>
      <c r="DZ95" s="78"/>
      <c r="EA95" s="77"/>
      <c r="EB95" s="78"/>
      <c r="EC95" s="77"/>
      <c r="ED95" s="78"/>
      <c r="EE95" s="77"/>
      <c r="EF95" s="78"/>
      <c r="EG95" s="77"/>
      <c r="EH95" s="78"/>
      <c r="EI95" s="77"/>
      <c r="EJ95" s="78"/>
      <c r="EK95" s="77"/>
      <c r="EL95" s="78"/>
      <c r="EM95" s="77"/>
      <c r="EN95" s="78"/>
      <c r="EO95" s="77"/>
      <c r="EP95" s="78"/>
      <c r="EQ95" s="77"/>
      <c r="ER95" s="78"/>
      <c r="ES95" s="77"/>
      <c r="ET95" s="78"/>
      <c r="EU95" s="77"/>
      <c r="EV95" s="78"/>
      <c r="EW95" s="77"/>
      <c r="EX95" s="78"/>
      <c r="EY95" s="77"/>
      <c r="EZ95" s="78"/>
      <c r="FA95" s="77"/>
      <c r="FB95" s="78"/>
      <c r="FC95" s="77"/>
      <c r="FD95" s="78"/>
      <c r="FE95" s="77"/>
      <c r="FF95" s="78"/>
      <c r="FG95" s="77"/>
      <c r="FH95" s="78"/>
      <c r="FI95" s="77"/>
      <c r="FJ95" s="78"/>
      <c r="FK95" s="77"/>
      <c r="FL95" s="78"/>
      <c r="FM95" s="77"/>
      <c r="FN95" s="78"/>
      <c r="FO95" s="77"/>
      <c r="FP95" s="78"/>
      <c r="FQ95" s="77"/>
      <c r="FR95" s="78"/>
      <c r="FS95" s="77"/>
      <c r="FT95" s="78"/>
      <c r="FU95" s="77"/>
      <c r="FV95" s="78"/>
      <c r="FW95" s="77"/>
      <c r="FX95" s="78"/>
      <c r="FY95" s="77"/>
      <c r="FZ95" s="78"/>
      <c r="GA95" s="77"/>
      <c r="GB95" s="78"/>
      <c r="GC95" s="77"/>
      <c r="GD95" s="78"/>
      <c r="GE95" s="77"/>
      <c r="GF95" s="78"/>
      <c r="GG95" s="77"/>
      <c r="GH95" s="78"/>
      <c r="GI95" s="77"/>
      <c r="GJ95" s="78"/>
      <c r="GK95" s="77"/>
      <c r="GL95" s="78"/>
      <c r="GM95" s="77"/>
      <c r="GN95" s="78"/>
      <c r="GO95" s="77"/>
      <c r="GP95" s="78"/>
      <c r="GQ95" s="77"/>
      <c r="GR95" s="78"/>
      <c r="GS95" s="77"/>
      <c r="GT95" s="78"/>
      <c r="GU95" s="77"/>
      <c r="GV95" s="78"/>
      <c r="GW95" s="77"/>
      <c r="GX95" s="78"/>
      <c r="GY95" s="77"/>
      <c r="GZ95" s="78"/>
      <c r="HA95" s="77"/>
      <c r="HB95" s="78"/>
      <c r="HC95" s="77"/>
      <c r="HD95" s="78"/>
      <c r="HE95" s="77"/>
      <c r="HF95" s="78"/>
      <c r="HG95" s="77"/>
      <c r="HH95" s="78"/>
      <c r="HI95" s="77"/>
      <c r="HJ95" s="78"/>
      <c r="HK95" s="77"/>
      <c r="HL95" s="78"/>
      <c r="HM95" s="77"/>
      <c r="HN95" s="78"/>
      <c r="HO95" s="77"/>
      <c r="HP95" s="78"/>
      <c r="HQ95" s="77"/>
      <c r="HR95" s="78"/>
      <c r="HS95" s="77"/>
      <c r="HT95" s="78"/>
      <c r="HU95" s="77"/>
      <c r="HV95" s="78"/>
      <c r="HW95" s="77"/>
      <c r="HX95" s="78"/>
      <c r="HY95" s="77"/>
      <c r="HZ95" s="78"/>
      <c r="IA95" s="77"/>
      <c r="IB95" s="78"/>
      <c r="IC95" s="77"/>
      <c r="ID95" s="78"/>
      <c r="IE95" s="77"/>
      <c r="IF95" s="78"/>
      <c r="IG95" s="77"/>
      <c r="IH95" s="78"/>
      <c r="II95" s="77"/>
      <c r="IJ95" s="78"/>
      <c r="IK95" s="77"/>
      <c r="IL95" s="78"/>
      <c r="IM95" s="77"/>
      <c r="IN95" s="78"/>
      <c r="IO95" s="77"/>
      <c r="IP95" s="78"/>
      <c r="IQ95" s="77"/>
      <c r="IR95" s="78"/>
      <c r="IS95" s="77"/>
      <c r="IT95" s="78"/>
      <c r="IU95" s="77"/>
      <c r="IV95" s="78"/>
    </row>
    <row r="96" spans="1:15" s="19" customFormat="1" ht="63">
      <c r="A96" s="41">
        <v>40</v>
      </c>
      <c r="B96" s="34" t="s">
        <v>27</v>
      </c>
      <c r="C96" s="34"/>
      <c r="D96" s="35">
        <f>SUM(D99:D137)</f>
        <v>39370446</v>
      </c>
      <c r="E96" s="36"/>
      <c r="F96" s="35">
        <f>SUM(F99:F137)</f>
        <v>29514234.119999997</v>
      </c>
      <c r="G96" s="35">
        <f>SUM(G97:G137)</f>
        <v>55845227</v>
      </c>
      <c r="H96" s="59">
        <f>G99+G100+G101+G102+G103+G104+G105+G106+G107+G108+G109+G110+G111+G112+G113+G114+G115+G116+G117+G118+G119+G120+G122+G123+G124+G125+G126+G127+G128+G129+G130+G131+G132+G133+G134+G135+G136</f>
        <v>14470494</v>
      </c>
      <c r="I96" s="59">
        <f>'[1]Місто'!$K$237</f>
        <v>14470494</v>
      </c>
      <c r="J96" s="64">
        <f>I96-H96</f>
        <v>0</v>
      </c>
      <c r="K96" s="5"/>
      <c r="L96" s="5"/>
      <c r="M96" s="6"/>
      <c r="N96" s="7"/>
      <c r="O96" s="18"/>
    </row>
    <row r="97" spans="1:15" s="19" customFormat="1" ht="45.75">
      <c r="A97" s="50" t="s">
        <v>141</v>
      </c>
      <c r="B97" s="38" t="s">
        <v>159</v>
      </c>
      <c r="C97" s="38" t="s">
        <v>122</v>
      </c>
      <c r="D97" s="39"/>
      <c r="E97" s="40"/>
      <c r="F97" s="39"/>
      <c r="G97" s="39">
        <f>'[1]Місто'!$K$231</f>
        <v>36022090</v>
      </c>
      <c r="H97" s="5"/>
      <c r="I97" s="5"/>
      <c r="J97" s="64"/>
      <c r="K97" s="5"/>
      <c r="L97" s="5"/>
      <c r="M97" s="6"/>
      <c r="N97" s="7"/>
      <c r="O97" s="18"/>
    </row>
    <row r="98" spans="1:15" s="19" customFormat="1" ht="18.75">
      <c r="A98" s="50" t="s">
        <v>142</v>
      </c>
      <c r="B98" s="38" t="s">
        <v>155</v>
      </c>
      <c r="C98" s="38" t="s">
        <v>122</v>
      </c>
      <c r="D98" s="39"/>
      <c r="E98" s="40"/>
      <c r="F98" s="39"/>
      <c r="G98" s="39">
        <f>'[1]Місто'!$K$248</f>
        <v>2103843</v>
      </c>
      <c r="H98" s="5"/>
      <c r="I98" s="5"/>
      <c r="J98" s="64"/>
      <c r="K98" s="5"/>
      <c r="L98" s="5"/>
      <c r="M98" s="6"/>
      <c r="N98" s="7"/>
      <c r="O98" s="18"/>
    </row>
    <row r="99" spans="1:15" s="4" customFormat="1" ht="30.75">
      <c r="A99" s="37">
        <v>150101</v>
      </c>
      <c r="B99" s="38" t="s">
        <v>1</v>
      </c>
      <c r="C99" s="38" t="s">
        <v>15</v>
      </c>
      <c r="D99" s="39">
        <v>3036560</v>
      </c>
      <c r="E99" s="40">
        <f aca="true" t="shared" si="2" ref="E99:E120">100-(F99/D99)*100</f>
        <v>30.88672017019259</v>
      </c>
      <c r="F99" s="39">
        <f>D99-(884915+52978.79)</f>
        <v>2098666.21</v>
      </c>
      <c r="G99" s="39">
        <v>678935</v>
      </c>
      <c r="H99" s="12"/>
      <c r="I99" s="12"/>
      <c r="J99" s="64"/>
      <c r="K99" s="12"/>
      <c r="L99" s="12"/>
      <c r="M99" s="10"/>
      <c r="N99" s="11"/>
      <c r="O99" s="8"/>
    </row>
    <row r="100" spans="1:15" s="4" customFormat="1" ht="60.75">
      <c r="A100" s="37">
        <v>150101</v>
      </c>
      <c r="B100" s="38" t="s">
        <v>1</v>
      </c>
      <c r="C100" s="38" t="s">
        <v>42</v>
      </c>
      <c r="D100" s="39">
        <v>840000</v>
      </c>
      <c r="E100" s="40">
        <f t="shared" si="2"/>
        <v>0</v>
      </c>
      <c r="F100" s="39">
        <f>D100</f>
        <v>840000</v>
      </c>
      <c r="G100" s="39">
        <v>840000</v>
      </c>
      <c r="H100" s="9"/>
      <c r="I100" s="9"/>
      <c r="J100" s="64"/>
      <c r="K100" s="9"/>
      <c r="L100" s="9"/>
      <c r="M100" s="10"/>
      <c r="N100" s="11"/>
      <c r="O100" s="8"/>
    </row>
    <row r="101" spans="1:15" s="4" customFormat="1" ht="90.75">
      <c r="A101" s="37">
        <v>150101</v>
      </c>
      <c r="B101" s="38" t="s">
        <v>1</v>
      </c>
      <c r="C101" s="38" t="s">
        <v>74</v>
      </c>
      <c r="D101" s="39">
        <v>1512000</v>
      </c>
      <c r="E101" s="40">
        <f t="shared" si="2"/>
        <v>33.69751322751323</v>
      </c>
      <c r="F101" s="39">
        <f>D101-509506.4</f>
        <v>1002493.6</v>
      </c>
      <c r="G101" s="39">
        <f>596381-400000</f>
        <v>196381</v>
      </c>
      <c r="H101" s="9"/>
      <c r="I101" s="9"/>
      <c r="J101" s="64"/>
      <c r="K101" s="9"/>
      <c r="L101" s="9"/>
      <c r="M101" s="10"/>
      <c r="N101" s="11"/>
      <c r="O101" s="8"/>
    </row>
    <row r="102" spans="1:15" s="4" customFormat="1" ht="30.75">
      <c r="A102" s="37">
        <v>150101</v>
      </c>
      <c r="B102" s="38" t="s">
        <v>1</v>
      </c>
      <c r="C102" s="38" t="s">
        <v>43</v>
      </c>
      <c r="D102" s="39">
        <v>1761669</v>
      </c>
      <c r="E102" s="40">
        <f t="shared" si="2"/>
        <v>40.32799237541218</v>
      </c>
      <c r="F102" s="39">
        <f>D102-710445.74</f>
        <v>1051223.26</v>
      </c>
      <c r="G102" s="39">
        <f>113505+500486-359767</f>
        <v>254224</v>
      </c>
      <c r="H102" s="9"/>
      <c r="I102" s="9"/>
      <c r="J102" s="64"/>
      <c r="K102" s="9"/>
      <c r="L102" s="9"/>
      <c r="M102" s="10"/>
      <c r="N102" s="11"/>
      <c r="O102" s="8"/>
    </row>
    <row r="103" spans="1:15" s="4" customFormat="1" ht="45.75">
      <c r="A103" s="37">
        <v>150101</v>
      </c>
      <c r="B103" s="38" t="s">
        <v>1</v>
      </c>
      <c r="C103" s="38" t="s">
        <v>44</v>
      </c>
      <c r="D103" s="39">
        <v>800000</v>
      </c>
      <c r="E103" s="40">
        <f t="shared" si="2"/>
        <v>0.27025375000000906</v>
      </c>
      <c r="F103" s="39">
        <f>D103-2162.03</f>
        <v>797837.97</v>
      </c>
      <c r="G103" s="39">
        <v>99511</v>
      </c>
      <c r="H103" s="9"/>
      <c r="I103" s="9"/>
      <c r="J103" s="64"/>
      <c r="K103" s="9"/>
      <c r="L103" s="9"/>
      <c r="M103" s="10"/>
      <c r="N103" s="11"/>
      <c r="O103" s="8"/>
    </row>
    <row r="104" spans="1:15" s="4" customFormat="1" ht="30.75">
      <c r="A104" s="37">
        <v>150101</v>
      </c>
      <c r="B104" s="38" t="s">
        <v>1</v>
      </c>
      <c r="C104" s="38" t="s">
        <v>17</v>
      </c>
      <c r="D104" s="39">
        <v>1664934</v>
      </c>
      <c r="E104" s="40">
        <f t="shared" si="2"/>
        <v>0</v>
      </c>
      <c r="F104" s="39">
        <f>D104</f>
        <v>1664934</v>
      </c>
      <c r="G104" s="39">
        <f>550000+44404</f>
        <v>594404</v>
      </c>
      <c r="H104" s="9"/>
      <c r="I104" s="9"/>
      <c r="J104" s="64"/>
      <c r="K104" s="9"/>
      <c r="L104" s="9"/>
      <c r="M104" s="10"/>
      <c r="N104" s="11"/>
      <c r="O104" s="8"/>
    </row>
    <row r="105" spans="1:15" s="4" customFormat="1" ht="60.75">
      <c r="A105" s="37">
        <v>150101</v>
      </c>
      <c r="B105" s="38" t="s">
        <v>1</v>
      </c>
      <c r="C105" s="38" t="s">
        <v>45</v>
      </c>
      <c r="D105" s="39">
        <v>1050483</v>
      </c>
      <c r="E105" s="40">
        <f t="shared" si="2"/>
        <v>0</v>
      </c>
      <c r="F105" s="39">
        <f>D105-0</f>
        <v>1050483</v>
      </c>
      <c r="G105" s="39">
        <v>1050483</v>
      </c>
      <c r="H105" s="9"/>
      <c r="I105" s="9"/>
      <c r="J105" s="64"/>
      <c r="K105" s="9"/>
      <c r="L105" s="9"/>
      <c r="M105" s="10"/>
      <c r="N105" s="11"/>
      <c r="O105" s="8"/>
    </row>
    <row r="106" spans="1:15" s="4" customFormat="1" ht="45.75">
      <c r="A106" s="37">
        <v>150101</v>
      </c>
      <c r="B106" s="38" t="s">
        <v>1</v>
      </c>
      <c r="C106" s="38" t="s">
        <v>46</v>
      </c>
      <c r="D106" s="39">
        <v>3231882</v>
      </c>
      <c r="E106" s="40">
        <f>100-(F106/D106)*100</f>
        <v>66.36832099686808</v>
      </c>
      <c r="F106" s="39">
        <f>1131882-44945.82</f>
        <v>1086936.18</v>
      </c>
      <c r="G106" s="39">
        <f>1081+874850-300000</f>
        <v>575931</v>
      </c>
      <c r="H106" s="9"/>
      <c r="I106" s="9"/>
      <c r="J106" s="64"/>
      <c r="K106" s="9"/>
      <c r="L106" s="9"/>
      <c r="M106" s="10"/>
      <c r="N106" s="11"/>
      <c r="O106" s="8"/>
    </row>
    <row r="107" spans="1:15" s="4" customFormat="1" ht="60.75">
      <c r="A107" s="37">
        <v>150101</v>
      </c>
      <c r="B107" s="38" t="s">
        <v>1</v>
      </c>
      <c r="C107" s="38" t="s">
        <v>47</v>
      </c>
      <c r="D107" s="39">
        <v>2667701</v>
      </c>
      <c r="E107" s="39">
        <f t="shared" si="2"/>
        <v>6.489295464521689</v>
      </c>
      <c r="F107" s="39">
        <f>D107-173115</f>
        <v>2494586</v>
      </c>
      <c r="G107" s="39">
        <v>1100000</v>
      </c>
      <c r="H107" s="9"/>
      <c r="I107" s="9"/>
      <c r="J107" s="64"/>
      <c r="K107" s="9"/>
      <c r="L107" s="9"/>
      <c r="M107" s="10"/>
      <c r="N107" s="11"/>
      <c r="O107" s="8"/>
    </row>
    <row r="108" spans="1:15" s="4" customFormat="1" ht="30.75">
      <c r="A108" s="37">
        <v>150101</v>
      </c>
      <c r="B108" s="38" t="s">
        <v>1</v>
      </c>
      <c r="C108" s="38" t="s">
        <v>231</v>
      </c>
      <c r="D108" s="39">
        <v>5000000</v>
      </c>
      <c r="E108" s="40">
        <f t="shared" si="2"/>
        <v>0</v>
      </c>
      <c r="F108" s="39">
        <f>D108</f>
        <v>5000000</v>
      </c>
      <c r="G108" s="39">
        <f>168000+4832000-900000-1757056+809178-1146700-298520-582758-870739</f>
        <v>253405</v>
      </c>
      <c r="H108" s="9"/>
      <c r="I108" s="9"/>
      <c r="J108" s="64"/>
      <c r="K108" s="9"/>
      <c r="L108" s="9"/>
      <c r="M108" s="10"/>
      <c r="N108" s="11"/>
      <c r="O108" s="8"/>
    </row>
    <row r="109" spans="1:15" s="4" customFormat="1" ht="45.75">
      <c r="A109" s="37">
        <v>150101</v>
      </c>
      <c r="B109" s="38" t="s">
        <v>1</v>
      </c>
      <c r="C109" s="38" t="s">
        <v>75</v>
      </c>
      <c r="D109" s="39">
        <f>2704286+412555</f>
        <v>3116841</v>
      </c>
      <c r="E109" s="40">
        <f t="shared" si="2"/>
        <v>2.7912877172752815</v>
      </c>
      <c r="F109" s="39">
        <f>D109-87000</f>
        <v>3029841</v>
      </c>
      <c r="G109" s="39">
        <f>209114+800000+412555</f>
        <v>1421669</v>
      </c>
      <c r="H109" s="9"/>
      <c r="I109" s="9"/>
      <c r="J109" s="64"/>
      <c r="K109" s="9"/>
      <c r="L109" s="9"/>
      <c r="M109" s="10"/>
      <c r="N109" s="11"/>
      <c r="O109" s="8"/>
    </row>
    <row r="110" spans="1:15" s="4" customFormat="1" ht="45.75">
      <c r="A110" s="37">
        <v>150101</v>
      </c>
      <c r="B110" s="38" t="s">
        <v>1</v>
      </c>
      <c r="C110" s="38" t="s">
        <v>103</v>
      </c>
      <c r="D110" s="39">
        <v>822602</v>
      </c>
      <c r="E110" s="40">
        <f t="shared" si="2"/>
        <v>56.38280723849443</v>
      </c>
      <c r="F110" s="39">
        <f>SUM(D110-463806.1)</f>
        <v>358795.9</v>
      </c>
      <c r="G110" s="39">
        <v>358796</v>
      </c>
      <c r="H110" s="9"/>
      <c r="I110" s="9"/>
      <c r="J110" s="64"/>
      <c r="K110" s="9"/>
      <c r="L110" s="9"/>
      <c r="M110" s="10"/>
      <c r="N110" s="11"/>
      <c r="O110" s="8"/>
    </row>
    <row r="111" spans="1:15" s="4" customFormat="1" ht="60.75">
      <c r="A111" s="37">
        <v>150101</v>
      </c>
      <c r="B111" s="38" t="s">
        <v>1</v>
      </c>
      <c r="C111" s="38" t="s">
        <v>76</v>
      </c>
      <c r="D111" s="39">
        <v>480880</v>
      </c>
      <c r="E111" s="40">
        <f t="shared" si="2"/>
        <v>38.58592580269505</v>
      </c>
      <c r="F111" s="39">
        <v>295328</v>
      </c>
      <c r="G111" s="39">
        <f>277274+18054</f>
        <v>295328</v>
      </c>
      <c r="H111" s="9"/>
      <c r="I111" s="9"/>
      <c r="J111" s="64"/>
      <c r="K111" s="9"/>
      <c r="L111" s="9"/>
      <c r="M111" s="10"/>
      <c r="N111" s="11"/>
      <c r="O111" s="8"/>
    </row>
    <row r="112" spans="1:15" s="4" customFormat="1" ht="30.75">
      <c r="A112" s="37">
        <v>150101</v>
      </c>
      <c r="B112" s="38" t="s">
        <v>1</v>
      </c>
      <c r="C112" s="38" t="s">
        <v>77</v>
      </c>
      <c r="D112" s="39">
        <v>1062000</v>
      </c>
      <c r="E112" s="40">
        <f t="shared" si="2"/>
        <v>50.847457627118644</v>
      </c>
      <c r="F112" s="39">
        <v>522000</v>
      </c>
      <c r="G112" s="39">
        <f>511142-49999</f>
        <v>461143</v>
      </c>
      <c r="H112" s="9"/>
      <c r="I112" s="9"/>
      <c r="J112" s="64"/>
      <c r="K112" s="9"/>
      <c r="L112" s="9"/>
      <c r="M112" s="10"/>
      <c r="N112" s="11"/>
      <c r="O112" s="8"/>
    </row>
    <row r="113" spans="1:15" s="4" customFormat="1" ht="30.75">
      <c r="A113" s="37">
        <v>150101</v>
      </c>
      <c r="B113" s="38" t="s">
        <v>1</v>
      </c>
      <c r="C113" s="38" t="s">
        <v>78</v>
      </c>
      <c r="D113" s="39">
        <v>1366871</v>
      </c>
      <c r="E113" s="40">
        <f t="shared" si="2"/>
        <v>83.2401155632097</v>
      </c>
      <c r="F113" s="39">
        <v>229086</v>
      </c>
      <c r="G113" s="39">
        <f>229086-214491</f>
        <v>14595</v>
      </c>
      <c r="H113" s="9"/>
      <c r="I113" s="9"/>
      <c r="J113" s="64"/>
      <c r="K113" s="9"/>
      <c r="L113" s="9"/>
      <c r="M113" s="10"/>
      <c r="N113" s="11"/>
      <c r="O113" s="8"/>
    </row>
    <row r="114" spans="1:15" s="4" customFormat="1" ht="60.75">
      <c r="A114" s="37">
        <v>150101</v>
      </c>
      <c r="B114" s="38" t="s">
        <v>1</v>
      </c>
      <c r="C114" s="38" t="s">
        <v>104</v>
      </c>
      <c r="D114" s="39">
        <v>2664013</v>
      </c>
      <c r="E114" s="40">
        <f t="shared" si="2"/>
        <v>52.10826673893859</v>
      </c>
      <c r="F114" s="39">
        <v>1275842</v>
      </c>
      <c r="G114" s="39">
        <v>289816</v>
      </c>
      <c r="H114" s="9"/>
      <c r="I114" s="9"/>
      <c r="J114" s="64"/>
      <c r="K114" s="9"/>
      <c r="L114" s="9"/>
      <c r="M114" s="10"/>
      <c r="N114" s="11"/>
      <c r="O114" s="8"/>
    </row>
    <row r="115" spans="1:15" s="4" customFormat="1" ht="30.75">
      <c r="A115" s="37">
        <v>150101</v>
      </c>
      <c r="B115" s="38" t="s">
        <v>1</v>
      </c>
      <c r="C115" s="38" t="s">
        <v>79</v>
      </c>
      <c r="D115" s="39">
        <v>610807</v>
      </c>
      <c r="E115" s="40">
        <f t="shared" si="2"/>
        <v>23.40379203250781</v>
      </c>
      <c r="F115" s="39">
        <v>467855</v>
      </c>
      <c r="G115" s="39">
        <f>178128+289727</f>
        <v>467855</v>
      </c>
      <c r="H115" s="9"/>
      <c r="I115" s="9"/>
      <c r="J115" s="64"/>
      <c r="K115" s="9"/>
      <c r="L115" s="9"/>
      <c r="M115" s="10"/>
      <c r="N115" s="11"/>
      <c r="O115" s="8"/>
    </row>
    <row r="116" spans="1:15" s="4" customFormat="1" ht="30.75">
      <c r="A116" s="37">
        <v>150101</v>
      </c>
      <c r="B116" s="38" t="s">
        <v>1</v>
      </c>
      <c r="C116" s="38" t="s">
        <v>80</v>
      </c>
      <c r="D116" s="39">
        <v>717305</v>
      </c>
      <c r="E116" s="40">
        <f t="shared" si="2"/>
        <v>3.9168833341465614</v>
      </c>
      <c r="F116" s="39">
        <v>689209</v>
      </c>
      <c r="G116" s="39">
        <f>325758+354451</f>
        <v>680209</v>
      </c>
      <c r="H116" s="9"/>
      <c r="I116" s="9"/>
      <c r="J116" s="64"/>
      <c r="K116" s="9"/>
      <c r="L116" s="9"/>
      <c r="M116" s="10"/>
      <c r="N116" s="11"/>
      <c r="O116" s="8"/>
    </row>
    <row r="117" spans="1:15" s="4" customFormat="1" ht="45.75">
      <c r="A117" s="37">
        <v>150101</v>
      </c>
      <c r="B117" s="38" t="s">
        <v>1</v>
      </c>
      <c r="C117" s="38" t="s">
        <v>81</v>
      </c>
      <c r="D117" s="39">
        <v>294000</v>
      </c>
      <c r="E117" s="40">
        <f t="shared" si="2"/>
        <v>29.31972789115646</v>
      </c>
      <c r="F117" s="39">
        <v>207800</v>
      </c>
      <c r="G117" s="39">
        <f>54138+153662</f>
        <v>207800</v>
      </c>
      <c r="H117" s="9"/>
      <c r="I117" s="9"/>
      <c r="J117" s="64"/>
      <c r="K117" s="9"/>
      <c r="L117" s="9"/>
      <c r="M117" s="10"/>
      <c r="N117" s="11"/>
      <c r="O117" s="8"/>
    </row>
    <row r="118" spans="1:15" s="4" customFormat="1" ht="30.75">
      <c r="A118" s="37">
        <v>150101</v>
      </c>
      <c r="B118" s="38" t="s">
        <v>1</v>
      </c>
      <c r="C118" s="38" t="s">
        <v>82</v>
      </c>
      <c r="D118" s="39">
        <v>1502982</v>
      </c>
      <c r="E118" s="39">
        <f t="shared" si="2"/>
        <v>87.73099079030887</v>
      </c>
      <c r="F118" s="39">
        <v>184401</v>
      </c>
      <c r="G118" s="39">
        <f>93587+90814-90814</f>
        <v>93587</v>
      </c>
      <c r="H118" s="9"/>
      <c r="I118" s="9"/>
      <c r="J118" s="64"/>
      <c r="K118" s="9"/>
      <c r="L118" s="9"/>
      <c r="M118" s="10"/>
      <c r="N118" s="11"/>
      <c r="O118" s="8"/>
    </row>
    <row r="119" spans="1:15" s="4" customFormat="1" ht="45.75">
      <c r="A119" s="37">
        <v>150101</v>
      </c>
      <c r="B119" s="38" t="s">
        <v>1</v>
      </c>
      <c r="C119" s="38" t="s">
        <v>83</v>
      </c>
      <c r="D119" s="39">
        <v>298864</v>
      </c>
      <c r="E119" s="40">
        <f t="shared" si="2"/>
        <v>0</v>
      </c>
      <c r="F119" s="39">
        <v>298864</v>
      </c>
      <c r="G119" s="39">
        <f>86430+212434</f>
        <v>298864</v>
      </c>
      <c r="H119" s="9"/>
      <c r="I119" s="9"/>
      <c r="J119" s="64"/>
      <c r="K119" s="9"/>
      <c r="L119" s="9"/>
      <c r="M119" s="10"/>
      <c r="N119" s="11"/>
      <c r="O119" s="8"/>
    </row>
    <row r="120" spans="1:15" s="4" customFormat="1" ht="60.75">
      <c r="A120" s="37">
        <v>150101</v>
      </c>
      <c r="B120" s="38" t="s">
        <v>1</v>
      </c>
      <c r="C120" s="38" t="s">
        <v>111</v>
      </c>
      <c r="D120" s="39">
        <v>4548060</v>
      </c>
      <c r="E120" s="40">
        <f t="shared" si="2"/>
        <v>0</v>
      </c>
      <c r="F120" s="39">
        <v>4548060</v>
      </c>
      <c r="G120" s="39">
        <f>2000000-984929</f>
        <v>1015071</v>
      </c>
      <c r="H120" s="9"/>
      <c r="I120" s="9"/>
      <c r="J120" s="64"/>
      <c r="K120" s="9"/>
      <c r="L120" s="9"/>
      <c r="M120" s="10"/>
      <c r="N120" s="11"/>
      <c r="O120" s="8"/>
    </row>
    <row r="121" spans="1:15" s="4" customFormat="1" ht="60.75" hidden="1">
      <c r="A121" s="37">
        <v>150101</v>
      </c>
      <c r="B121" s="38" t="s">
        <v>1</v>
      </c>
      <c r="C121" s="38" t="s">
        <v>105</v>
      </c>
      <c r="D121" s="39"/>
      <c r="E121" s="40"/>
      <c r="F121" s="39"/>
      <c r="G121" s="39"/>
      <c r="H121" s="9"/>
      <c r="I121" s="9"/>
      <c r="J121" s="64"/>
      <c r="K121" s="9"/>
      <c r="L121" s="9"/>
      <c r="M121" s="10"/>
      <c r="N121" s="11"/>
      <c r="O121" s="8"/>
    </row>
    <row r="122" spans="1:15" s="4" customFormat="1" ht="60.75" hidden="1">
      <c r="A122" s="37">
        <v>150101</v>
      </c>
      <c r="B122" s="38" t="s">
        <v>1</v>
      </c>
      <c r="C122" s="38" t="s">
        <v>208</v>
      </c>
      <c r="D122" s="39"/>
      <c r="E122" s="40"/>
      <c r="F122" s="39"/>
      <c r="G122" s="39"/>
      <c r="H122" s="9"/>
      <c r="I122" s="9"/>
      <c r="J122" s="64"/>
      <c r="K122" s="9"/>
      <c r="L122" s="9"/>
      <c r="M122" s="10"/>
      <c r="N122" s="11"/>
      <c r="O122" s="8"/>
    </row>
    <row r="123" spans="1:15" s="4" customFormat="1" ht="45.75" hidden="1">
      <c r="A123" s="37">
        <v>150118</v>
      </c>
      <c r="B123" s="38" t="s">
        <v>247</v>
      </c>
      <c r="C123" s="38" t="s">
        <v>248</v>
      </c>
      <c r="D123" s="39"/>
      <c r="E123" s="40"/>
      <c r="F123" s="39"/>
      <c r="G123" s="39"/>
      <c r="H123" s="9"/>
      <c r="I123" s="9"/>
      <c r="J123" s="64"/>
      <c r="K123" s="9"/>
      <c r="L123" s="9"/>
      <c r="M123" s="10"/>
      <c r="N123" s="11"/>
      <c r="O123" s="8"/>
    </row>
    <row r="124" spans="1:15" s="4" customFormat="1" ht="30.75">
      <c r="A124" s="37">
        <v>150101</v>
      </c>
      <c r="B124" s="38" t="s">
        <v>1</v>
      </c>
      <c r="C124" s="38" t="s">
        <v>250</v>
      </c>
      <c r="D124" s="39">
        <v>26666</v>
      </c>
      <c r="E124" s="40"/>
      <c r="F124" s="39">
        <v>26666</v>
      </c>
      <c r="G124" s="39">
        <v>26666</v>
      </c>
      <c r="H124" s="9"/>
      <c r="I124" s="9"/>
      <c r="J124" s="64"/>
      <c r="K124" s="9"/>
      <c r="L124" s="9"/>
      <c r="M124" s="10"/>
      <c r="N124" s="11"/>
      <c r="O124" s="8"/>
    </row>
    <row r="125" spans="1:15" s="4" customFormat="1" ht="30.75">
      <c r="A125" s="37">
        <v>150101</v>
      </c>
      <c r="B125" s="38" t="s">
        <v>1</v>
      </c>
      <c r="C125" s="38" t="s">
        <v>251</v>
      </c>
      <c r="D125" s="39">
        <v>26666</v>
      </c>
      <c r="E125" s="40"/>
      <c r="F125" s="39">
        <v>26666</v>
      </c>
      <c r="G125" s="39">
        <v>26666</v>
      </c>
      <c r="H125" s="9"/>
      <c r="I125" s="9"/>
      <c r="J125" s="64"/>
      <c r="K125" s="9"/>
      <c r="L125" s="9"/>
      <c r="M125" s="10"/>
      <c r="N125" s="11"/>
      <c r="O125" s="8"/>
    </row>
    <row r="126" spans="1:15" s="4" customFormat="1" ht="30.75">
      <c r="A126" s="37">
        <v>150101</v>
      </c>
      <c r="B126" s="38" t="s">
        <v>1</v>
      </c>
      <c r="C126" s="38" t="s">
        <v>252</v>
      </c>
      <c r="D126" s="39">
        <v>26666</v>
      </c>
      <c r="E126" s="40"/>
      <c r="F126" s="39">
        <v>26666</v>
      </c>
      <c r="G126" s="39">
        <v>26666</v>
      </c>
      <c r="H126" s="9"/>
      <c r="I126" s="9"/>
      <c r="J126" s="64"/>
      <c r="K126" s="9"/>
      <c r="L126" s="9"/>
      <c r="M126" s="10"/>
      <c r="N126" s="11"/>
      <c r="O126" s="8"/>
    </row>
    <row r="127" spans="1:15" s="4" customFormat="1" ht="30.75">
      <c r="A127" s="37">
        <v>150101</v>
      </c>
      <c r="B127" s="38" t="s">
        <v>1</v>
      </c>
      <c r="C127" s="38" t="s">
        <v>253</v>
      </c>
      <c r="D127" s="39">
        <v>26666</v>
      </c>
      <c r="E127" s="40"/>
      <c r="F127" s="39">
        <v>26666</v>
      </c>
      <c r="G127" s="39">
        <v>26666</v>
      </c>
      <c r="H127" s="9"/>
      <c r="I127" s="9"/>
      <c r="J127" s="64"/>
      <c r="K127" s="9"/>
      <c r="L127" s="9"/>
      <c r="M127" s="10"/>
      <c r="N127" s="11"/>
      <c r="O127" s="8"/>
    </row>
    <row r="128" spans="1:15" s="4" customFormat="1" ht="45.75">
      <c r="A128" s="37">
        <v>150101</v>
      </c>
      <c r="B128" s="38" t="s">
        <v>1</v>
      </c>
      <c r="C128" s="38" t="s">
        <v>254</v>
      </c>
      <c r="D128" s="39">
        <v>26666</v>
      </c>
      <c r="E128" s="40"/>
      <c r="F128" s="39">
        <v>26666</v>
      </c>
      <c r="G128" s="39">
        <v>26666</v>
      </c>
      <c r="H128" s="9"/>
      <c r="I128" s="9"/>
      <c r="J128" s="64"/>
      <c r="K128" s="9"/>
      <c r="L128" s="9"/>
      <c r="M128" s="10"/>
      <c r="N128" s="11"/>
      <c r="O128" s="8"/>
    </row>
    <row r="129" spans="1:15" s="4" customFormat="1" ht="45.75">
      <c r="A129" s="37">
        <v>150101</v>
      </c>
      <c r="B129" s="38" t="s">
        <v>1</v>
      </c>
      <c r="C129" s="38" t="s">
        <v>255</v>
      </c>
      <c r="D129" s="39">
        <v>26666</v>
      </c>
      <c r="E129" s="40"/>
      <c r="F129" s="39">
        <v>26666</v>
      </c>
      <c r="G129" s="39">
        <v>26666</v>
      </c>
      <c r="H129" s="9"/>
      <c r="I129" s="9"/>
      <c r="J129" s="64"/>
      <c r="K129" s="9"/>
      <c r="L129" s="9"/>
      <c r="M129" s="10"/>
      <c r="N129" s="11"/>
      <c r="O129" s="8"/>
    </row>
    <row r="130" spans="1:15" s="4" customFormat="1" ht="30.75">
      <c r="A130" s="37">
        <v>150101</v>
      </c>
      <c r="B130" s="38" t="s">
        <v>1</v>
      </c>
      <c r="C130" s="38" t="s">
        <v>256</v>
      </c>
      <c r="D130" s="39">
        <v>26666</v>
      </c>
      <c r="E130" s="40"/>
      <c r="F130" s="39">
        <v>26666</v>
      </c>
      <c r="G130" s="39">
        <v>26666</v>
      </c>
      <c r="H130" s="9"/>
      <c r="I130" s="9"/>
      <c r="J130" s="64"/>
      <c r="K130" s="9"/>
      <c r="L130" s="9"/>
      <c r="M130" s="10"/>
      <c r="N130" s="11"/>
      <c r="O130" s="8"/>
    </row>
    <row r="131" spans="1:15" s="4" customFormat="1" ht="30.75">
      <c r="A131" s="37">
        <v>150101</v>
      </c>
      <c r="B131" s="38" t="s">
        <v>1</v>
      </c>
      <c r="C131" s="38" t="s">
        <v>257</v>
      </c>
      <c r="D131" s="39">
        <v>26666</v>
      </c>
      <c r="E131" s="40"/>
      <c r="F131" s="39">
        <v>26666</v>
      </c>
      <c r="G131" s="39">
        <v>26666</v>
      </c>
      <c r="H131" s="9"/>
      <c r="I131" s="9"/>
      <c r="J131" s="64"/>
      <c r="K131" s="9"/>
      <c r="L131" s="9"/>
      <c r="M131" s="10"/>
      <c r="N131" s="11"/>
      <c r="O131" s="8"/>
    </row>
    <row r="132" spans="1:15" s="4" customFormat="1" ht="30.75">
      <c r="A132" s="37">
        <v>150101</v>
      </c>
      <c r="B132" s="38" t="s">
        <v>1</v>
      </c>
      <c r="C132" s="38" t="s">
        <v>258</v>
      </c>
      <c r="D132" s="39">
        <v>26666</v>
      </c>
      <c r="E132" s="40"/>
      <c r="F132" s="39">
        <v>26666</v>
      </c>
      <c r="G132" s="39">
        <v>26666</v>
      </c>
      <c r="H132" s="9"/>
      <c r="I132" s="9"/>
      <c r="J132" s="64"/>
      <c r="K132" s="9"/>
      <c r="L132" s="9"/>
      <c r="M132" s="10"/>
      <c r="N132" s="11"/>
      <c r="O132" s="8"/>
    </row>
    <row r="133" spans="1:15" s="4" customFormat="1" ht="30.75">
      <c r="A133" s="37">
        <v>150101</v>
      </c>
      <c r="B133" s="38" t="s">
        <v>1</v>
      </c>
      <c r="C133" s="38" t="s">
        <v>259</v>
      </c>
      <c r="D133" s="39">
        <v>26666</v>
      </c>
      <c r="E133" s="40"/>
      <c r="F133" s="39">
        <v>26666</v>
      </c>
      <c r="G133" s="39">
        <v>26666</v>
      </c>
      <c r="H133" s="9"/>
      <c r="I133" s="9"/>
      <c r="J133" s="64"/>
      <c r="K133" s="9"/>
      <c r="L133" s="9"/>
      <c r="M133" s="10"/>
      <c r="N133" s="11"/>
      <c r="O133" s="8"/>
    </row>
    <row r="134" spans="1:15" s="4" customFormat="1" ht="30.75">
      <c r="A134" s="37">
        <v>150101</v>
      </c>
      <c r="B134" s="38" t="s">
        <v>1</v>
      </c>
      <c r="C134" s="38" t="s">
        <v>260</v>
      </c>
      <c r="D134" s="39">
        <v>26666</v>
      </c>
      <c r="E134" s="40"/>
      <c r="F134" s="39">
        <v>26666</v>
      </c>
      <c r="G134" s="39">
        <v>26666</v>
      </c>
      <c r="H134" s="9"/>
      <c r="I134" s="9"/>
      <c r="J134" s="64"/>
      <c r="K134" s="9"/>
      <c r="L134" s="9"/>
      <c r="M134" s="10"/>
      <c r="N134" s="11"/>
      <c r="O134" s="8"/>
    </row>
    <row r="135" spans="1:15" s="4" customFormat="1" ht="30.75">
      <c r="A135" s="37">
        <v>150101</v>
      </c>
      <c r="B135" s="38" t="s">
        <v>1</v>
      </c>
      <c r="C135" s="38" t="s">
        <v>261</v>
      </c>
      <c r="D135" s="39">
        <v>26666</v>
      </c>
      <c r="E135" s="40"/>
      <c r="F135" s="39">
        <v>26666</v>
      </c>
      <c r="G135" s="39">
        <v>26666</v>
      </c>
      <c r="H135" s="9"/>
      <c r="I135" s="9"/>
      <c r="J135" s="64"/>
      <c r="K135" s="9"/>
      <c r="L135" s="9"/>
      <c r="M135" s="10"/>
      <c r="N135" s="11"/>
      <c r="O135" s="8"/>
    </row>
    <row r="136" spans="1:15" s="4" customFormat="1" ht="45.75">
      <c r="A136" s="37">
        <v>150118</v>
      </c>
      <c r="B136" s="38" t="s">
        <v>247</v>
      </c>
      <c r="C136" s="38" t="s">
        <v>266</v>
      </c>
      <c r="D136" s="39"/>
      <c r="E136" s="40"/>
      <c r="F136" s="39"/>
      <c r="G136" s="39">
        <f>'[1]Місто'!$K$239</f>
        <v>2902495</v>
      </c>
      <c r="H136" s="9"/>
      <c r="I136" s="9"/>
      <c r="J136" s="64"/>
      <c r="K136" s="9"/>
      <c r="L136" s="9"/>
      <c r="M136" s="10"/>
      <c r="N136" s="11"/>
      <c r="O136" s="8"/>
    </row>
    <row r="137" spans="1:15" s="4" customFormat="1" ht="60.75">
      <c r="A137" s="37">
        <v>180409</v>
      </c>
      <c r="B137" s="38" t="s">
        <v>16</v>
      </c>
      <c r="C137" s="38" t="s">
        <v>84</v>
      </c>
      <c r="D137" s="39"/>
      <c r="E137" s="40"/>
      <c r="F137" s="39"/>
      <c r="G137" s="39">
        <f>6299400-2730600-320000</f>
        <v>3248800</v>
      </c>
      <c r="H137" s="9"/>
      <c r="I137" s="9"/>
      <c r="J137" s="64"/>
      <c r="K137" s="9"/>
      <c r="L137" s="9"/>
      <c r="M137" s="10"/>
      <c r="N137" s="11"/>
      <c r="O137" s="8"/>
    </row>
    <row r="138" spans="1:15" s="4" customFormat="1" ht="18.75">
      <c r="A138" s="37"/>
      <c r="B138" s="38" t="s">
        <v>196</v>
      </c>
      <c r="C138" s="38"/>
      <c r="D138" s="39"/>
      <c r="E138" s="40"/>
      <c r="F138" s="39"/>
      <c r="G138" s="39"/>
      <c r="H138" s="9"/>
      <c r="I138" s="9"/>
      <c r="J138" s="64"/>
      <c r="K138" s="9"/>
      <c r="L138" s="9"/>
      <c r="M138" s="10"/>
      <c r="N138" s="11"/>
      <c r="O138" s="8"/>
    </row>
    <row r="139" spans="1:15" s="4" customFormat="1" ht="145.5">
      <c r="A139" s="37"/>
      <c r="B139" s="38"/>
      <c r="C139" s="73" t="s">
        <v>267</v>
      </c>
      <c r="D139" s="39"/>
      <c r="E139" s="40"/>
      <c r="F139" s="39"/>
      <c r="G139" s="39">
        <f>3248800</f>
        <v>3248800</v>
      </c>
      <c r="H139" s="9"/>
      <c r="I139" s="9"/>
      <c r="J139" s="64"/>
      <c r="K139" s="9"/>
      <c r="L139" s="9"/>
      <c r="M139" s="10"/>
      <c r="N139" s="11"/>
      <c r="O139" s="8"/>
    </row>
    <row r="140" spans="1:15" s="4" customFormat="1" ht="45.75" hidden="1">
      <c r="A140" s="37"/>
      <c r="B140" s="38"/>
      <c r="C140" s="38" t="s">
        <v>197</v>
      </c>
      <c r="D140" s="39"/>
      <c r="E140" s="40"/>
      <c r="F140" s="39"/>
      <c r="G140" s="39">
        <f>320000-320000</f>
        <v>0</v>
      </c>
      <c r="H140" s="9"/>
      <c r="I140" s="9"/>
      <c r="J140" s="64"/>
      <c r="K140" s="9"/>
      <c r="L140" s="9"/>
      <c r="M140" s="10"/>
      <c r="N140" s="11"/>
      <c r="O140" s="8"/>
    </row>
    <row r="141" spans="1:15" s="19" customFormat="1" ht="63">
      <c r="A141" s="41">
        <v>41</v>
      </c>
      <c r="B141" s="34" t="s">
        <v>62</v>
      </c>
      <c r="C141" s="34" t="s">
        <v>63</v>
      </c>
      <c r="D141" s="35">
        <f>SUM(D143:D219)</f>
        <v>150121196</v>
      </c>
      <c r="E141" s="36"/>
      <c r="F141" s="35">
        <f>SUM(F143:F219)</f>
        <v>114716273.62000002</v>
      </c>
      <c r="G141" s="35">
        <f>SUM(G142:G219)-G214-G215-G216-G217-G218</f>
        <v>40519690</v>
      </c>
      <c r="H141" s="59">
        <f>SUM(G143:G212)</f>
        <v>24374396</v>
      </c>
      <c r="I141" s="59">
        <f>'[1]Місто'!$K$271</f>
        <v>24374396</v>
      </c>
      <c r="J141" s="64">
        <f>I141-H141</f>
        <v>0</v>
      </c>
      <c r="K141" s="5"/>
      <c r="L141" s="5"/>
      <c r="M141" s="6"/>
      <c r="N141" s="17"/>
      <c r="O141" s="18"/>
    </row>
    <row r="142" spans="1:15" s="19" customFormat="1" ht="18.75">
      <c r="A142" s="50" t="s">
        <v>143</v>
      </c>
      <c r="B142" s="38" t="s">
        <v>156</v>
      </c>
      <c r="C142" s="38" t="s">
        <v>122</v>
      </c>
      <c r="D142" s="39"/>
      <c r="E142" s="40"/>
      <c r="F142" s="39"/>
      <c r="G142" s="39">
        <f>'[1]Місто'!$K$269</f>
        <v>4392072</v>
      </c>
      <c r="H142" s="5"/>
      <c r="I142" s="5"/>
      <c r="J142" s="64"/>
      <c r="K142" s="5"/>
      <c r="L142" s="5"/>
      <c r="M142" s="6"/>
      <c r="N142" s="17"/>
      <c r="O142" s="18"/>
    </row>
    <row r="143" spans="1:15" s="4" customFormat="1" ht="45.75">
      <c r="A143" s="37">
        <v>150101</v>
      </c>
      <c r="B143" s="38" t="s">
        <v>1</v>
      </c>
      <c r="C143" s="38" t="s">
        <v>33</v>
      </c>
      <c r="D143" s="39">
        <v>33418000</v>
      </c>
      <c r="E143" s="40">
        <f aca="true" t="shared" si="3" ref="E143:E162">100-(F143/D143)*100</f>
        <v>67.09543686037465</v>
      </c>
      <c r="F143" s="39">
        <f>D143-(18568253.13+3853699.96)</f>
        <v>10996046.91</v>
      </c>
      <c r="G143" s="39">
        <f>146236+5500000-2500000</f>
        <v>3146236</v>
      </c>
      <c r="H143" s="9"/>
      <c r="I143" s="9"/>
      <c r="J143" s="64"/>
      <c r="K143" s="9"/>
      <c r="L143" s="9"/>
      <c r="M143" s="10"/>
      <c r="N143" s="16"/>
      <c r="O143" s="8"/>
    </row>
    <row r="144" spans="1:15" s="4" customFormat="1" ht="45.75">
      <c r="A144" s="37">
        <v>150101</v>
      </c>
      <c r="B144" s="38" t="s">
        <v>1</v>
      </c>
      <c r="C144" s="38" t="s">
        <v>26</v>
      </c>
      <c r="D144" s="39">
        <v>13492940</v>
      </c>
      <c r="E144" s="40">
        <f t="shared" si="3"/>
        <v>21.184069594914092</v>
      </c>
      <c r="F144" s="39">
        <f>D144-(2764681.8+93672)</f>
        <v>10634586.2</v>
      </c>
      <c r="G144" s="39">
        <f>3000000-217177-2732823</f>
        <v>50000</v>
      </c>
      <c r="H144" s="9"/>
      <c r="I144" s="9"/>
      <c r="J144" s="64"/>
      <c r="K144" s="9"/>
      <c r="L144" s="9"/>
      <c r="M144" s="10"/>
      <c r="N144" s="20"/>
      <c r="O144" s="15"/>
    </row>
    <row r="145" spans="1:15" s="4" customFormat="1" ht="60.75">
      <c r="A145" s="37">
        <v>150101</v>
      </c>
      <c r="B145" s="38" t="s">
        <v>1</v>
      </c>
      <c r="C145" s="38" t="s">
        <v>64</v>
      </c>
      <c r="D145" s="39">
        <v>5210000</v>
      </c>
      <c r="E145" s="40">
        <f>100-(F145/D145)*100</f>
        <v>1.7417963531669756</v>
      </c>
      <c r="F145" s="39">
        <f>D145-90747.59</f>
        <v>5119252.41</v>
      </c>
      <c r="G145" s="39">
        <v>112926</v>
      </c>
      <c r="H145" s="9"/>
      <c r="I145" s="9"/>
      <c r="J145" s="64"/>
      <c r="K145" s="9"/>
      <c r="L145" s="9"/>
      <c r="M145" s="10"/>
      <c r="N145" s="11"/>
      <c r="O145" s="15"/>
    </row>
    <row r="146" spans="1:10" s="4" customFormat="1" ht="105.75" hidden="1">
      <c r="A146" s="37">
        <v>150101</v>
      </c>
      <c r="B146" s="38" t="s">
        <v>1</v>
      </c>
      <c r="C146" s="38" t="s">
        <v>114</v>
      </c>
      <c r="D146" s="39"/>
      <c r="E146" s="40"/>
      <c r="F146" s="39"/>
      <c r="G146" s="39">
        <f>2117823-2117823</f>
        <v>0</v>
      </c>
      <c r="H146" s="12"/>
      <c r="I146" s="11"/>
      <c r="J146" s="64"/>
    </row>
    <row r="147" spans="1:10" s="4" customFormat="1" ht="45.75">
      <c r="A147" s="37">
        <v>150101</v>
      </c>
      <c r="B147" s="38" t="s">
        <v>1</v>
      </c>
      <c r="C147" s="38" t="s">
        <v>176</v>
      </c>
      <c r="D147" s="39">
        <v>820137</v>
      </c>
      <c r="E147" s="40">
        <f>100-(F147/D147)*100</f>
        <v>0</v>
      </c>
      <c r="F147" s="39">
        <v>820137</v>
      </c>
      <c r="G147" s="39">
        <f>820137</f>
        <v>820137</v>
      </c>
      <c r="H147" s="12"/>
      <c r="I147" s="11"/>
      <c r="J147" s="64"/>
    </row>
    <row r="148" spans="1:10" s="4" customFormat="1" ht="90.75">
      <c r="A148" s="37">
        <v>150101</v>
      </c>
      <c r="B148" s="38" t="s">
        <v>1</v>
      </c>
      <c r="C148" s="38" t="s">
        <v>65</v>
      </c>
      <c r="D148" s="39">
        <v>329000</v>
      </c>
      <c r="E148" s="40">
        <f>100-(F148/D148)*100</f>
        <v>0</v>
      </c>
      <c r="F148" s="39">
        <v>329000</v>
      </c>
      <c r="G148" s="39">
        <v>329000</v>
      </c>
      <c r="H148" s="12"/>
      <c r="I148" s="10"/>
      <c r="J148" s="64"/>
    </row>
    <row r="149" spans="1:15" s="4" customFormat="1" ht="60.75">
      <c r="A149" s="37">
        <v>150101</v>
      </c>
      <c r="B149" s="38" t="s">
        <v>1</v>
      </c>
      <c r="C149" s="38" t="s">
        <v>66</v>
      </c>
      <c r="D149" s="39">
        <v>465000</v>
      </c>
      <c r="E149" s="40">
        <f t="shared" si="3"/>
        <v>46.5410752688172</v>
      </c>
      <c r="F149" s="39">
        <f>D149-(79512+136904)</f>
        <v>248584</v>
      </c>
      <c r="G149" s="39">
        <v>248584</v>
      </c>
      <c r="H149" s="9"/>
      <c r="I149" s="9"/>
      <c r="J149" s="64"/>
      <c r="K149" s="9"/>
      <c r="L149" s="9"/>
      <c r="M149" s="10"/>
      <c r="N149" s="11"/>
      <c r="O149" s="8"/>
    </row>
    <row r="150" spans="1:10" s="4" customFormat="1" ht="61.5" customHeight="1">
      <c r="A150" s="37">
        <v>150101</v>
      </c>
      <c r="B150" s="38" t="s">
        <v>1</v>
      </c>
      <c r="C150" s="38" t="s">
        <v>262</v>
      </c>
      <c r="D150" s="39">
        <v>4621540</v>
      </c>
      <c r="E150" s="40">
        <f>100-(F150/D150)*100</f>
        <v>0</v>
      </c>
      <c r="F150" s="39">
        <f>D150-0</f>
        <v>4621540</v>
      </c>
      <c r="G150" s="39">
        <f>2925506-2825506</f>
        <v>100000</v>
      </c>
      <c r="H150" s="12"/>
      <c r="I150" s="10"/>
      <c r="J150" s="64"/>
    </row>
    <row r="151" spans="1:15" s="4" customFormat="1" ht="90.75">
      <c r="A151" s="37">
        <v>150101</v>
      </c>
      <c r="B151" s="38" t="s">
        <v>1</v>
      </c>
      <c r="C151" s="38" t="s">
        <v>224</v>
      </c>
      <c r="D151" s="39">
        <v>997202</v>
      </c>
      <c r="E151" s="40">
        <f t="shared" si="3"/>
        <v>31.945884585069024</v>
      </c>
      <c r="F151" s="39">
        <f>SUM(D151-318565)</f>
        <v>678637</v>
      </c>
      <c r="G151" s="39">
        <f>439075-15000</f>
        <v>424075</v>
      </c>
      <c r="H151" s="9"/>
      <c r="I151" s="9"/>
      <c r="J151" s="64"/>
      <c r="K151" s="9"/>
      <c r="L151" s="9"/>
      <c r="M151" s="10"/>
      <c r="N151" s="11"/>
      <c r="O151" s="8"/>
    </row>
    <row r="152" spans="1:15" s="4" customFormat="1" ht="60.75">
      <c r="A152" s="37">
        <v>150101</v>
      </c>
      <c r="B152" s="38" t="s">
        <v>1</v>
      </c>
      <c r="C152" s="38" t="s">
        <v>67</v>
      </c>
      <c r="D152" s="39">
        <v>1250888</v>
      </c>
      <c r="E152" s="40">
        <f t="shared" si="3"/>
        <v>38.22682926049333</v>
      </c>
      <c r="F152" s="39">
        <f>SUM(D152-98211.46-96415.45-283547.91)</f>
        <v>772713.1800000002</v>
      </c>
      <c r="G152" s="39">
        <f>52526+104178+644430-28421</f>
        <v>772713</v>
      </c>
      <c r="H152" s="9"/>
      <c r="I152" s="9"/>
      <c r="J152" s="64"/>
      <c r="K152" s="9"/>
      <c r="L152" s="9"/>
      <c r="M152" s="10"/>
      <c r="N152" s="11"/>
      <c r="O152" s="8"/>
    </row>
    <row r="153" spans="1:15" s="4" customFormat="1" ht="60.75">
      <c r="A153" s="37">
        <v>150101</v>
      </c>
      <c r="B153" s="38" t="s">
        <v>1</v>
      </c>
      <c r="C153" s="38" t="s">
        <v>190</v>
      </c>
      <c r="D153" s="39">
        <f>65920+28770</f>
        <v>94690</v>
      </c>
      <c r="E153" s="40">
        <v>0</v>
      </c>
      <c r="F153" s="39">
        <f>65920+28770</f>
        <v>94690</v>
      </c>
      <c r="G153" s="39">
        <f>65920+28770</f>
        <v>94690</v>
      </c>
      <c r="H153" s="9"/>
      <c r="I153" s="9"/>
      <c r="J153" s="64"/>
      <c r="K153" s="9"/>
      <c r="L153" s="9"/>
      <c r="M153" s="10"/>
      <c r="N153" s="11"/>
      <c r="O153" s="8"/>
    </row>
    <row r="154" spans="1:15" s="4" customFormat="1" ht="45.75">
      <c r="A154" s="37">
        <v>150101</v>
      </c>
      <c r="B154" s="38" t="s">
        <v>1</v>
      </c>
      <c r="C154" s="38" t="s">
        <v>34</v>
      </c>
      <c r="D154" s="39">
        <f>320000+60000</f>
        <v>380000</v>
      </c>
      <c r="E154" s="40">
        <f t="shared" si="3"/>
        <v>16.18976315789473</v>
      </c>
      <c r="F154" s="39">
        <f>D154-(60000+1521.1)</f>
        <v>318478.9</v>
      </c>
      <c r="G154" s="39">
        <f>186226+72253+60000</f>
        <v>318479</v>
      </c>
      <c r="H154" s="9"/>
      <c r="I154" s="9"/>
      <c r="J154" s="64"/>
      <c r="K154" s="9"/>
      <c r="L154" s="9"/>
      <c r="M154" s="10"/>
      <c r="N154" s="11"/>
      <c r="O154" s="8"/>
    </row>
    <row r="155" spans="1:15" s="4" customFormat="1" ht="45.75">
      <c r="A155" s="37">
        <v>150101</v>
      </c>
      <c r="B155" s="38" t="s">
        <v>1</v>
      </c>
      <c r="C155" s="38" t="s">
        <v>189</v>
      </c>
      <c r="D155" s="39">
        <v>17355089</v>
      </c>
      <c r="E155" s="40">
        <f t="shared" si="3"/>
        <v>1.2488613570348122</v>
      </c>
      <c r="F155" s="39">
        <v>17138348</v>
      </c>
      <c r="G155" s="39">
        <f>184976+35000</f>
        <v>219976</v>
      </c>
      <c r="H155" s="9"/>
      <c r="I155" s="9"/>
      <c r="J155" s="64"/>
      <c r="K155" s="9"/>
      <c r="L155" s="9"/>
      <c r="M155" s="10"/>
      <c r="N155" s="11"/>
      <c r="O155" s="8"/>
    </row>
    <row r="156" spans="1:15" s="4" customFormat="1" ht="45.75">
      <c r="A156" s="37">
        <v>150101</v>
      </c>
      <c r="B156" s="38" t="s">
        <v>1</v>
      </c>
      <c r="C156" s="38" t="s">
        <v>35</v>
      </c>
      <c r="D156" s="39">
        <f>430000+31406</f>
        <v>461406</v>
      </c>
      <c r="E156" s="40">
        <f t="shared" si="3"/>
        <v>21.116760510266445</v>
      </c>
      <c r="F156" s="39">
        <f>D156-(60352.8+37081.2)</f>
        <v>363972</v>
      </c>
      <c r="G156" s="39">
        <f>317262+15304+31406</f>
        <v>363972</v>
      </c>
      <c r="H156" s="9"/>
      <c r="I156" s="9"/>
      <c r="J156" s="64"/>
      <c r="K156" s="9"/>
      <c r="L156" s="9"/>
      <c r="M156" s="10"/>
      <c r="N156" s="11"/>
      <c r="O156" s="8"/>
    </row>
    <row r="157" spans="1:15" s="4" customFormat="1" ht="90.75">
      <c r="A157" s="37">
        <v>150101</v>
      </c>
      <c r="B157" s="38" t="s">
        <v>1</v>
      </c>
      <c r="C157" s="38" t="s">
        <v>36</v>
      </c>
      <c r="D157" s="39">
        <v>2800000</v>
      </c>
      <c r="E157" s="40">
        <f t="shared" si="3"/>
        <v>3.8084935714285564</v>
      </c>
      <c r="F157" s="39">
        <f>D157-106637.82</f>
        <v>2693362.18</v>
      </c>
      <c r="G157" s="39">
        <f>450000-200000</f>
        <v>250000</v>
      </c>
      <c r="H157" s="9"/>
      <c r="I157" s="9"/>
      <c r="J157" s="64"/>
      <c r="K157" s="9"/>
      <c r="L157" s="9"/>
      <c r="M157" s="10"/>
      <c r="N157" s="11"/>
      <c r="O157" s="8"/>
    </row>
    <row r="158" spans="1:15" s="4" customFormat="1" ht="75.75">
      <c r="A158" s="37">
        <v>150101</v>
      </c>
      <c r="B158" s="38" t="s">
        <v>1</v>
      </c>
      <c r="C158" s="38" t="s">
        <v>13</v>
      </c>
      <c r="D158" s="39">
        <v>4500000</v>
      </c>
      <c r="E158" s="40">
        <f t="shared" si="3"/>
        <v>3.7698666666666725</v>
      </c>
      <c r="F158" s="39">
        <f>D158-169644</f>
        <v>4330356</v>
      </c>
      <c r="G158" s="39">
        <f>86356+2000000-1736356</f>
        <v>350000</v>
      </c>
      <c r="H158" s="9"/>
      <c r="I158" s="9"/>
      <c r="J158" s="64"/>
      <c r="K158" s="9"/>
      <c r="L158" s="9"/>
      <c r="M158" s="10"/>
      <c r="N158" s="11"/>
      <c r="O158" s="8"/>
    </row>
    <row r="159" spans="1:15" s="4" customFormat="1" ht="60.75">
      <c r="A159" s="37">
        <v>150101</v>
      </c>
      <c r="B159" s="38" t="s">
        <v>1</v>
      </c>
      <c r="C159" s="38" t="s">
        <v>37</v>
      </c>
      <c r="D159" s="39">
        <v>1951998</v>
      </c>
      <c r="E159" s="40">
        <f t="shared" si="3"/>
        <v>4.2933973293005465</v>
      </c>
      <c r="F159" s="39">
        <f>D159-83807.03</f>
        <v>1868190.97</v>
      </c>
      <c r="G159" s="39">
        <f>1868191-1718191</f>
        <v>150000</v>
      </c>
      <c r="H159" s="9"/>
      <c r="I159" s="9"/>
      <c r="J159" s="64"/>
      <c r="K159" s="9"/>
      <c r="L159" s="9"/>
      <c r="M159" s="10"/>
      <c r="N159" s="11"/>
      <c r="O159" s="8"/>
    </row>
    <row r="160" spans="1:15" s="4" customFormat="1" ht="45.75" hidden="1">
      <c r="A160" s="37">
        <v>150101</v>
      </c>
      <c r="B160" s="38" t="s">
        <v>1</v>
      </c>
      <c r="C160" s="38" t="s">
        <v>14</v>
      </c>
      <c r="D160" s="39"/>
      <c r="E160" s="40"/>
      <c r="F160" s="39"/>
      <c r="G160" s="39">
        <f>200000-200000</f>
        <v>0</v>
      </c>
      <c r="H160" s="9"/>
      <c r="I160" s="9"/>
      <c r="J160" s="64"/>
      <c r="K160" s="9"/>
      <c r="L160" s="9"/>
      <c r="M160" s="10"/>
      <c r="N160" s="11"/>
      <c r="O160" s="8"/>
    </row>
    <row r="161" spans="1:15" s="4" customFormat="1" ht="45.75">
      <c r="A161" s="37">
        <v>150101</v>
      </c>
      <c r="B161" s="38" t="s">
        <v>1</v>
      </c>
      <c r="C161" s="38" t="s">
        <v>38</v>
      </c>
      <c r="D161" s="39">
        <v>2037432</v>
      </c>
      <c r="E161" s="40">
        <f t="shared" si="3"/>
        <v>3.727133960789857</v>
      </c>
      <c r="F161" s="39">
        <f>D161-75937.82</f>
        <v>1961494.18</v>
      </c>
      <c r="G161" s="39">
        <v>500000</v>
      </c>
      <c r="H161" s="9"/>
      <c r="I161" s="9"/>
      <c r="J161" s="64"/>
      <c r="K161" s="9"/>
      <c r="L161" s="9"/>
      <c r="M161" s="10"/>
      <c r="N161" s="11"/>
      <c r="O161" s="8"/>
    </row>
    <row r="162" spans="1:15" s="4" customFormat="1" ht="63.75" customHeight="1">
      <c r="A162" s="37">
        <v>150101</v>
      </c>
      <c r="B162" s="38" t="s">
        <v>1</v>
      </c>
      <c r="C162" s="38" t="s">
        <v>39</v>
      </c>
      <c r="D162" s="39">
        <v>325000</v>
      </c>
      <c r="E162" s="40">
        <f t="shared" si="3"/>
        <v>0</v>
      </c>
      <c r="F162" s="39">
        <f>D162-0</f>
        <v>325000</v>
      </c>
      <c r="G162" s="39">
        <v>325000</v>
      </c>
      <c r="H162" s="9"/>
      <c r="I162" s="9"/>
      <c r="J162" s="64"/>
      <c r="K162" s="9"/>
      <c r="L162" s="9"/>
      <c r="M162" s="10"/>
      <c r="N162" s="11"/>
      <c r="O162" s="15"/>
    </row>
    <row r="163" spans="1:15" s="4" customFormat="1" ht="70.5" customHeight="1">
      <c r="A163" s="37">
        <v>150101</v>
      </c>
      <c r="B163" s="38" t="s">
        <v>1</v>
      </c>
      <c r="C163" s="57" t="s">
        <v>99</v>
      </c>
      <c r="D163" s="39">
        <v>29998001</v>
      </c>
      <c r="E163" s="40">
        <v>0</v>
      </c>
      <c r="F163" s="39">
        <f>19185690+3254590</f>
        <v>22440280</v>
      </c>
      <c r="G163" s="39">
        <f>3782+3254590</f>
        <v>3258372</v>
      </c>
      <c r="H163" s="9"/>
      <c r="I163" s="9"/>
      <c r="J163" s="64"/>
      <c r="K163" s="9"/>
      <c r="L163" s="9"/>
      <c r="M163" s="10"/>
      <c r="N163" s="11"/>
      <c r="O163" s="15"/>
    </row>
    <row r="164" spans="1:15" s="4" customFormat="1" ht="60.75">
      <c r="A164" s="37">
        <v>150101</v>
      </c>
      <c r="B164" s="38" t="s">
        <v>1</v>
      </c>
      <c r="C164" s="38" t="s">
        <v>100</v>
      </c>
      <c r="D164" s="39">
        <v>332200</v>
      </c>
      <c r="E164" s="40">
        <f aca="true" t="shared" si="4" ref="E164:E170">100-(F164/D164)*100</f>
        <v>96.03883202889826</v>
      </c>
      <c r="F164" s="39">
        <v>13159</v>
      </c>
      <c r="G164" s="39">
        <v>426</v>
      </c>
      <c r="H164" s="9"/>
      <c r="I164" s="9"/>
      <c r="J164" s="64"/>
      <c r="K164" s="9"/>
      <c r="L164" s="9"/>
      <c r="M164" s="10"/>
      <c r="N164" s="11"/>
      <c r="O164" s="8"/>
    </row>
    <row r="165" spans="1:16" s="4" customFormat="1" ht="45.75">
      <c r="A165" s="37">
        <v>150101</v>
      </c>
      <c r="B165" s="38" t="s">
        <v>1</v>
      </c>
      <c r="C165" s="38" t="s">
        <v>192</v>
      </c>
      <c r="D165" s="39">
        <v>6849198</v>
      </c>
      <c r="E165" s="40">
        <f t="shared" si="4"/>
        <v>2.151230990840105</v>
      </c>
      <c r="F165" s="39">
        <f>D165-147342.07</f>
        <v>6701855.93</v>
      </c>
      <c r="G165" s="39">
        <v>100000</v>
      </c>
      <c r="H165" s="9"/>
      <c r="I165" s="10"/>
      <c r="J165" s="64"/>
      <c r="K165" s="9"/>
      <c r="L165" s="9"/>
      <c r="M165" s="9"/>
      <c r="N165" s="10"/>
      <c r="O165" s="11"/>
      <c r="P165" s="8"/>
    </row>
    <row r="166" spans="1:16" s="4" customFormat="1" ht="75.75" hidden="1">
      <c r="A166" s="37">
        <v>150101</v>
      </c>
      <c r="B166" s="38" t="s">
        <v>1</v>
      </c>
      <c r="C166" s="38" t="s">
        <v>101</v>
      </c>
      <c r="D166" s="39"/>
      <c r="E166" s="40" t="e">
        <f>100-(F166/D166)*100</f>
        <v>#DIV/0!</v>
      </c>
      <c r="F166" s="39"/>
      <c r="G166" s="39">
        <f>303000-303000</f>
        <v>0</v>
      </c>
      <c r="H166" s="9"/>
      <c r="I166" s="10"/>
      <c r="J166" s="64"/>
      <c r="K166" s="9"/>
      <c r="L166" s="9"/>
      <c r="M166" s="9"/>
      <c r="N166" s="10"/>
      <c r="O166" s="11"/>
      <c r="P166" s="8"/>
    </row>
    <row r="167" spans="1:15" s="4" customFormat="1" ht="60.75">
      <c r="A167" s="37">
        <v>150101</v>
      </c>
      <c r="B167" s="38" t="s">
        <v>1</v>
      </c>
      <c r="C167" s="38" t="s">
        <v>102</v>
      </c>
      <c r="D167" s="39">
        <v>330000</v>
      </c>
      <c r="E167" s="40">
        <f t="shared" si="4"/>
        <v>0</v>
      </c>
      <c r="F167" s="39">
        <f>D167-0</f>
        <v>330000</v>
      </c>
      <c r="G167" s="39">
        <v>330000</v>
      </c>
      <c r="H167" s="9"/>
      <c r="I167" s="9"/>
      <c r="J167" s="64"/>
      <c r="K167" s="9"/>
      <c r="L167" s="9"/>
      <c r="M167" s="10"/>
      <c r="N167" s="11"/>
      <c r="O167" s="8"/>
    </row>
    <row r="168" spans="1:15" s="4" customFormat="1" ht="30.75">
      <c r="A168" s="37">
        <v>150101</v>
      </c>
      <c r="B168" s="38" t="s">
        <v>1</v>
      </c>
      <c r="C168" s="38" t="s">
        <v>40</v>
      </c>
      <c r="D168" s="39">
        <v>3216012</v>
      </c>
      <c r="E168" s="40">
        <f t="shared" si="4"/>
        <v>0.10837148617605408</v>
      </c>
      <c r="F168" s="39">
        <f>D168-3485.24</f>
        <v>3212526.76</v>
      </c>
      <c r="G168" s="39">
        <v>3212527</v>
      </c>
      <c r="H168" s="9"/>
      <c r="I168" s="9"/>
      <c r="J168" s="64"/>
      <c r="K168" s="9"/>
      <c r="L168" s="9"/>
      <c r="M168" s="10"/>
      <c r="N168" s="11"/>
      <c r="O168" s="8"/>
    </row>
    <row r="169" spans="1:16" s="4" customFormat="1" ht="60.75" hidden="1">
      <c r="A169" s="37">
        <v>150101</v>
      </c>
      <c r="B169" s="38" t="s">
        <v>1</v>
      </c>
      <c r="C169" s="38" t="s">
        <v>68</v>
      </c>
      <c r="D169" s="39"/>
      <c r="E169" s="40"/>
      <c r="F169" s="39"/>
      <c r="G169" s="39">
        <f>150000-150000</f>
        <v>0</v>
      </c>
      <c r="H169" s="9"/>
      <c r="I169" s="10"/>
      <c r="J169" s="64"/>
      <c r="K169" s="9"/>
      <c r="L169" s="9"/>
      <c r="M169" s="9"/>
      <c r="N169" s="10"/>
      <c r="O169" s="11"/>
      <c r="P169" s="8"/>
    </row>
    <row r="170" spans="1:15" s="4" customFormat="1" ht="30.75">
      <c r="A170" s="37">
        <v>150101</v>
      </c>
      <c r="B170" s="38" t="s">
        <v>1</v>
      </c>
      <c r="C170" s="38" t="s">
        <v>69</v>
      </c>
      <c r="D170" s="39">
        <v>1600549</v>
      </c>
      <c r="E170" s="40">
        <f t="shared" si="4"/>
        <v>0.6112277724705706</v>
      </c>
      <c r="F170" s="39">
        <v>1590766</v>
      </c>
      <c r="G170" s="39">
        <v>1590766</v>
      </c>
      <c r="H170" s="9"/>
      <c r="I170" s="9"/>
      <c r="J170" s="64"/>
      <c r="K170" s="9"/>
      <c r="L170" s="9"/>
      <c r="M170" s="10"/>
      <c r="N170" s="11"/>
      <c r="O170" s="8"/>
    </row>
    <row r="171" spans="1:15" s="4" customFormat="1" ht="30.75" hidden="1">
      <c r="A171" s="37">
        <v>150101</v>
      </c>
      <c r="B171" s="38" t="s">
        <v>1</v>
      </c>
      <c r="C171" s="38" t="s">
        <v>41</v>
      </c>
      <c r="D171" s="39"/>
      <c r="E171" s="40"/>
      <c r="F171" s="39"/>
      <c r="G171" s="39"/>
      <c r="H171" s="9"/>
      <c r="I171" s="9"/>
      <c r="J171" s="64"/>
      <c r="K171" s="9"/>
      <c r="L171" s="9"/>
      <c r="M171" s="10"/>
      <c r="N171" s="11"/>
      <c r="O171" s="8"/>
    </row>
    <row r="172" spans="1:15" s="4" customFormat="1" ht="60.75" hidden="1">
      <c r="A172" s="37">
        <v>150101</v>
      </c>
      <c r="B172" s="38" t="s">
        <v>1</v>
      </c>
      <c r="C172" s="38" t="s">
        <v>70</v>
      </c>
      <c r="D172" s="39"/>
      <c r="E172" s="40"/>
      <c r="F172" s="39"/>
      <c r="G172" s="39"/>
      <c r="H172" s="9"/>
      <c r="I172" s="9"/>
      <c r="J172" s="64"/>
      <c r="K172" s="9"/>
      <c r="L172" s="9"/>
      <c r="M172" s="10"/>
      <c r="N172" s="11"/>
      <c r="O172" s="8"/>
    </row>
    <row r="173" spans="1:15" s="4" customFormat="1" ht="60.75">
      <c r="A173" s="37">
        <v>150101</v>
      </c>
      <c r="B173" s="38" t="s">
        <v>1</v>
      </c>
      <c r="C173" s="38" t="s">
        <v>71</v>
      </c>
      <c r="D173" s="39">
        <v>205170</v>
      </c>
      <c r="E173" s="40">
        <f>100-(F173/D173)*100</f>
        <v>0</v>
      </c>
      <c r="F173" s="39">
        <f>SUM(D173)</f>
        <v>205170</v>
      </c>
      <c r="G173" s="39">
        <v>33408</v>
      </c>
      <c r="H173" s="9"/>
      <c r="I173" s="9"/>
      <c r="J173" s="64"/>
      <c r="K173" s="9"/>
      <c r="L173" s="9"/>
      <c r="M173" s="10"/>
      <c r="N173" s="11"/>
      <c r="O173" s="8"/>
    </row>
    <row r="174" spans="1:15" s="4" customFormat="1" ht="60.75">
      <c r="A174" s="37">
        <v>150101</v>
      </c>
      <c r="B174" s="38" t="s">
        <v>1</v>
      </c>
      <c r="C174" s="38" t="s">
        <v>72</v>
      </c>
      <c r="D174" s="39">
        <v>169307</v>
      </c>
      <c r="E174" s="39">
        <f>100-(F174/D174)*100</f>
        <v>0</v>
      </c>
      <c r="F174" s="39">
        <f>SUM(D174)</f>
        <v>169307</v>
      </c>
      <c r="G174" s="39">
        <v>169215</v>
      </c>
      <c r="H174" s="9"/>
      <c r="I174" s="9"/>
      <c r="J174" s="64"/>
      <c r="K174" s="9"/>
      <c r="L174" s="9"/>
      <c r="M174" s="10"/>
      <c r="N174" s="11"/>
      <c r="O174" s="8"/>
    </row>
    <row r="175" spans="1:15" s="4" customFormat="1" ht="45.75" hidden="1">
      <c r="A175" s="37">
        <v>150101</v>
      </c>
      <c r="B175" s="38" t="s">
        <v>1</v>
      </c>
      <c r="C175" s="38" t="s">
        <v>177</v>
      </c>
      <c r="D175" s="39"/>
      <c r="E175" s="39"/>
      <c r="F175" s="39"/>
      <c r="G175" s="39"/>
      <c r="H175" s="9"/>
      <c r="I175" s="9"/>
      <c r="J175" s="64"/>
      <c r="K175" s="9"/>
      <c r="L175" s="9"/>
      <c r="M175" s="10"/>
      <c r="N175" s="11"/>
      <c r="O175" s="8"/>
    </row>
    <row r="176" spans="1:15" s="4" customFormat="1" ht="60.75">
      <c r="A176" s="37">
        <v>150101</v>
      </c>
      <c r="B176" s="38" t="s">
        <v>1</v>
      </c>
      <c r="C176" s="38" t="s">
        <v>178</v>
      </c>
      <c r="D176" s="39">
        <v>137018</v>
      </c>
      <c r="E176" s="39">
        <v>0</v>
      </c>
      <c r="F176" s="39">
        <v>137018</v>
      </c>
      <c r="G176" s="39">
        <f>2000</f>
        <v>2000</v>
      </c>
      <c r="H176" s="9"/>
      <c r="I176" s="9"/>
      <c r="J176" s="64"/>
      <c r="K176" s="9"/>
      <c r="L176" s="9"/>
      <c r="M176" s="10"/>
      <c r="N176" s="11"/>
      <c r="O176" s="8"/>
    </row>
    <row r="177" spans="1:15" s="4" customFormat="1" ht="75.75">
      <c r="A177" s="37">
        <v>150101</v>
      </c>
      <c r="B177" s="38" t="s">
        <v>1</v>
      </c>
      <c r="C177" s="38" t="s">
        <v>179</v>
      </c>
      <c r="D177" s="39">
        <v>51997</v>
      </c>
      <c r="E177" s="39">
        <v>0</v>
      </c>
      <c r="F177" s="39">
        <v>51997</v>
      </c>
      <c r="G177" s="39">
        <v>36000</v>
      </c>
      <c r="H177" s="9"/>
      <c r="I177" s="9"/>
      <c r="J177" s="64"/>
      <c r="K177" s="9"/>
      <c r="L177" s="9"/>
      <c r="M177" s="10"/>
      <c r="N177" s="11"/>
      <c r="O177" s="8"/>
    </row>
    <row r="178" spans="1:15" s="4" customFormat="1" ht="60.75">
      <c r="A178" s="37">
        <v>150101</v>
      </c>
      <c r="B178" s="38" t="s">
        <v>1</v>
      </c>
      <c r="C178" s="38" t="s">
        <v>180</v>
      </c>
      <c r="D178" s="39">
        <v>44962</v>
      </c>
      <c r="E178" s="39">
        <v>0</v>
      </c>
      <c r="F178" s="39">
        <v>44962</v>
      </c>
      <c r="G178" s="39">
        <v>12000</v>
      </c>
      <c r="H178" s="9"/>
      <c r="I178" s="9"/>
      <c r="J178" s="64"/>
      <c r="K178" s="9"/>
      <c r="L178" s="9"/>
      <c r="M178" s="10"/>
      <c r="N178" s="11"/>
      <c r="O178" s="8"/>
    </row>
    <row r="179" spans="1:15" s="4" customFormat="1" ht="135.75" hidden="1">
      <c r="A179" s="72">
        <v>150101</v>
      </c>
      <c r="B179" s="73" t="s">
        <v>1</v>
      </c>
      <c r="C179" s="73" t="s">
        <v>222</v>
      </c>
      <c r="D179" s="74">
        <f>90000-90000</f>
        <v>0</v>
      </c>
      <c r="E179" s="74"/>
      <c r="F179" s="74">
        <f>90000-90000</f>
        <v>0</v>
      </c>
      <c r="G179" s="74">
        <f>90000-90000</f>
        <v>0</v>
      </c>
      <c r="H179" s="9"/>
      <c r="I179" s="9"/>
      <c r="J179" s="75"/>
      <c r="K179" s="9"/>
      <c r="L179" s="9"/>
      <c r="M179" s="10"/>
      <c r="N179" s="11"/>
      <c r="O179" s="8"/>
    </row>
    <row r="180" spans="1:15" s="4" customFormat="1" ht="45.75">
      <c r="A180" s="72">
        <v>150101</v>
      </c>
      <c r="B180" s="73" t="s">
        <v>1</v>
      </c>
      <c r="C180" s="73" t="s">
        <v>292</v>
      </c>
      <c r="D180" s="74">
        <v>20278</v>
      </c>
      <c r="E180" s="74"/>
      <c r="F180" s="74">
        <v>20278</v>
      </c>
      <c r="G180" s="74">
        <v>15000</v>
      </c>
      <c r="H180" s="9"/>
      <c r="I180" s="9"/>
      <c r="J180" s="75"/>
      <c r="K180" s="9"/>
      <c r="L180" s="9"/>
      <c r="M180" s="10"/>
      <c r="N180" s="11"/>
      <c r="O180" s="8"/>
    </row>
    <row r="181" spans="1:15" s="4" customFormat="1" ht="45.75">
      <c r="A181" s="72">
        <v>150101</v>
      </c>
      <c r="B181" s="73" t="s">
        <v>1</v>
      </c>
      <c r="C181" s="73" t="s">
        <v>293</v>
      </c>
      <c r="D181" s="74">
        <v>21328</v>
      </c>
      <c r="E181" s="74"/>
      <c r="F181" s="74">
        <v>21328</v>
      </c>
      <c r="G181" s="74">
        <v>15000</v>
      </c>
      <c r="H181" s="9"/>
      <c r="I181" s="9"/>
      <c r="J181" s="75"/>
      <c r="K181" s="9"/>
      <c r="L181" s="9"/>
      <c r="M181" s="10"/>
      <c r="N181" s="11"/>
      <c r="O181" s="8"/>
    </row>
    <row r="182" spans="1:15" s="4" customFormat="1" ht="45.75">
      <c r="A182" s="72">
        <v>150101</v>
      </c>
      <c r="B182" s="73" t="s">
        <v>1</v>
      </c>
      <c r="C182" s="73" t="s">
        <v>294</v>
      </c>
      <c r="D182" s="74">
        <v>24608</v>
      </c>
      <c r="E182" s="74"/>
      <c r="F182" s="74">
        <v>24608</v>
      </c>
      <c r="G182" s="74">
        <v>15000</v>
      </c>
      <c r="H182" s="9"/>
      <c r="I182" s="9"/>
      <c r="J182" s="75"/>
      <c r="K182" s="9"/>
      <c r="L182" s="9"/>
      <c r="M182" s="10"/>
      <c r="N182" s="11"/>
      <c r="O182" s="8"/>
    </row>
    <row r="183" spans="1:15" s="4" customFormat="1" ht="45.75">
      <c r="A183" s="72">
        <v>150101</v>
      </c>
      <c r="B183" s="73" t="s">
        <v>1</v>
      </c>
      <c r="C183" s="73" t="s">
        <v>296</v>
      </c>
      <c r="D183" s="74">
        <v>27555</v>
      </c>
      <c r="E183" s="74"/>
      <c r="F183" s="74">
        <v>27555</v>
      </c>
      <c r="G183" s="74">
        <v>15000</v>
      </c>
      <c r="H183" s="9"/>
      <c r="I183" s="9"/>
      <c r="J183" s="75"/>
      <c r="K183" s="9"/>
      <c r="L183" s="9"/>
      <c r="M183" s="10"/>
      <c r="N183" s="11"/>
      <c r="O183" s="8"/>
    </row>
    <row r="184" spans="1:15" s="4" customFormat="1" ht="45.75">
      <c r="A184" s="72">
        <v>150101</v>
      </c>
      <c r="B184" s="73" t="s">
        <v>1</v>
      </c>
      <c r="C184" s="73" t="s">
        <v>295</v>
      </c>
      <c r="D184" s="74">
        <v>26655</v>
      </c>
      <c r="E184" s="74"/>
      <c r="F184" s="74">
        <v>26655</v>
      </c>
      <c r="G184" s="74">
        <v>15000</v>
      </c>
      <c r="H184" s="9"/>
      <c r="I184" s="9"/>
      <c r="J184" s="75"/>
      <c r="K184" s="9"/>
      <c r="L184" s="9"/>
      <c r="M184" s="10"/>
      <c r="N184" s="11"/>
      <c r="O184" s="8"/>
    </row>
    <row r="185" spans="1:15" s="4" customFormat="1" ht="45.75">
      <c r="A185" s="72">
        <v>150101</v>
      </c>
      <c r="B185" s="73" t="s">
        <v>1</v>
      </c>
      <c r="C185" s="73" t="s">
        <v>297</v>
      </c>
      <c r="D185" s="74">
        <v>16744</v>
      </c>
      <c r="E185" s="74"/>
      <c r="F185" s="74">
        <v>16744</v>
      </c>
      <c r="G185" s="74">
        <v>15000</v>
      </c>
      <c r="H185" s="9"/>
      <c r="I185" s="9"/>
      <c r="J185" s="75"/>
      <c r="K185" s="9"/>
      <c r="L185" s="9"/>
      <c r="M185" s="10"/>
      <c r="N185" s="11"/>
      <c r="O185" s="8"/>
    </row>
    <row r="186" spans="1:15" s="4" customFormat="1" ht="45.75">
      <c r="A186" s="72">
        <v>150101</v>
      </c>
      <c r="B186" s="73" t="s">
        <v>1</v>
      </c>
      <c r="C186" s="73" t="s">
        <v>214</v>
      </c>
      <c r="D186" s="74">
        <v>999986</v>
      </c>
      <c r="E186" s="74"/>
      <c r="F186" s="74">
        <v>999986</v>
      </c>
      <c r="G186" s="74">
        <f>970000+29486</f>
        <v>999486</v>
      </c>
      <c r="H186" s="9"/>
      <c r="I186" s="9"/>
      <c r="J186" s="75"/>
      <c r="K186" s="9"/>
      <c r="L186" s="9"/>
      <c r="M186" s="10"/>
      <c r="N186" s="11"/>
      <c r="O186" s="8"/>
    </row>
    <row r="187" spans="1:15" s="4" customFormat="1" ht="60.75">
      <c r="A187" s="72">
        <v>150101</v>
      </c>
      <c r="B187" s="73" t="s">
        <v>1</v>
      </c>
      <c r="C187" s="73" t="s">
        <v>215</v>
      </c>
      <c r="D187" s="74">
        <f>940000+47421</f>
        <v>987421</v>
      </c>
      <c r="E187" s="74"/>
      <c r="F187" s="74">
        <f>940000+47421</f>
        <v>987421</v>
      </c>
      <c r="G187" s="74">
        <f>940000+47421</f>
        <v>987421</v>
      </c>
      <c r="H187" s="9"/>
      <c r="I187" s="9"/>
      <c r="J187" s="75"/>
      <c r="K187" s="9"/>
      <c r="L187" s="9"/>
      <c r="M187" s="10"/>
      <c r="N187" s="11"/>
      <c r="O187" s="8"/>
    </row>
    <row r="188" spans="1:15" s="4" customFormat="1" ht="60.75">
      <c r="A188" s="72">
        <v>150101</v>
      </c>
      <c r="B188" s="73" t="s">
        <v>1</v>
      </c>
      <c r="C188" s="73" t="s">
        <v>216</v>
      </c>
      <c r="D188" s="74">
        <f>990000-107897</f>
        <v>882103</v>
      </c>
      <c r="E188" s="74"/>
      <c r="F188" s="74">
        <f>990000-107897</f>
        <v>882103</v>
      </c>
      <c r="G188" s="74">
        <f>990000-107897</f>
        <v>882103</v>
      </c>
      <c r="H188" s="9"/>
      <c r="I188" s="9"/>
      <c r="J188" s="75"/>
      <c r="K188" s="9"/>
      <c r="L188" s="9"/>
      <c r="M188" s="10"/>
      <c r="N188" s="11"/>
      <c r="O188" s="8"/>
    </row>
    <row r="189" spans="1:15" s="4" customFormat="1" ht="45.75">
      <c r="A189" s="72">
        <v>150101</v>
      </c>
      <c r="B189" s="73" t="s">
        <v>1</v>
      </c>
      <c r="C189" s="73" t="s">
        <v>217</v>
      </c>
      <c r="D189" s="74">
        <f>1050000-50006</f>
        <v>999994</v>
      </c>
      <c r="E189" s="74"/>
      <c r="F189" s="74">
        <f>1050000-50006</f>
        <v>999994</v>
      </c>
      <c r="G189" s="74">
        <f>1050000-50006</f>
        <v>999994</v>
      </c>
      <c r="H189" s="9"/>
      <c r="I189" s="9"/>
      <c r="J189" s="75"/>
      <c r="K189" s="9"/>
      <c r="L189" s="9"/>
      <c r="M189" s="10"/>
      <c r="N189" s="11"/>
      <c r="O189" s="8"/>
    </row>
    <row r="190" spans="1:15" s="4" customFormat="1" ht="60.75">
      <c r="A190" s="72">
        <v>150101</v>
      </c>
      <c r="B190" s="73" t="s">
        <v>1</v>
      </c>
      <c r="C190" s="73" t="s">
        <v>218</v>
      </c>
      <c r="D190" s="74">
        <f>1050000-50002</f>
        <v>999998</v>
      </c>
      <c r="E190" s="74"/>
      <c r="F190" s="74">
        <f>1050000-50002</f>
        <v>999998</v>
      </c>
      <c r="G190" s="74">
        <f>1050000-50002</f>
        <v>999998</v>
      </c>
      <c r="H190" s="9"/>
      <c r="I190" s="9"/>
      <c r="J190" s="75"/>
      <c r="K190" s="9"/>
      <c r="L190" s="9"/>
      <c r="M190" s="10"/>
      <c r="N190" s="11"/>
      <c r="O190" s="8"/>
    </row>
    <row r="191" spans="1:15" s="4" customFormat="1" ht="60.75" hidden="1">
      <c r="A191" s="72">
        <v>150101</v>
      </c>
      <c r="B191" s="73" t="s">
        <v>1</v>
      </c>
      <c r="C191" s="73" t="s">
        <v>219</v>
      </c>
      <c r="D191" s="74">
        <f>6500-6500</f>
        <v>0</v>
      </c>
      <c r="E191" s="74"/>
      <c r="F191" s="74">
        <f>6500-6500</f>
        <v>0</v>
      </c>
      <c r="G191" s="74">
        <f>6500-6500</f>
        <v>0</v>
      </c>
      <c r="H191" s="9"/>
      <c r="I191" s="9"/>
      <c r="J191" s="75"/>
      <c r="K191" s="9"/>
      <c r="L191" s="9"/>
      <c r="M191" s="10"/>
      <c r="N191" s="11"/>
      <c r="O191" s="8"/>
    </row>
    <row r="192" spans="1:15" s="4" customFormat="1" ht="45.75" hidden="1">
      <c r="A192" s="72">
        <v>150101</v>
      </c>
      <c r="B192" s="73" t="s">
        <v>1</v>
      </c>
      <c r="C192" s="73" t="s">
        <v>220</v>
      </c>
      <c r="D192" s="74"/>
      <c r="E192" s="74"/>
      <c r="F192" s="74"/>
      <c r="G192" s="74">
        <f>7000-7000</f>
        <v>0</v>
      </c>
      <c r="H192" s="9"/>
      <c r="I192" s="9"/>
      <c r="J192" s="75"/>
      <c r="K192" s="9"/>
      <c r="L192" s="9"/>
      <c r="M192" s="10"/>
      <c r="N192" s="11"/>
      <c r="O192" s="8"/>
    </row>
    <row r="193" spans="1:15" s="4" customFormat="1" ht="75.75" hidden="1">
      <c r="A193" s="72">
        <v>150101</v>
      </c>
      <c r="B193" s="73" t="s">
        <v>1</v>
      </c>
      <c r="C193" s="73" t="s">
        <v>221</v>
      </c>
      <c r="D193" s="74">
        <f>63000-63000</f>
        <v>0</v>
      </c>
      <c r="E193" s="74"/>
      <c r="F193" s="74">
        <f>63000-63000</f>
        <v>0</v>
      </c>
      <c r="G193" s="74">
        <f>63000-63000</f>
        <v>0</v>
      </c>
      <c r="H193" s="9"/>
      <c r="I193" s="9"/>
      <c r="J193" s="75"/>
      <c r="K193" s="9"/>
      <c r="L193" s="9"/>
      <c r="M193" s="10"/>
      <c r="N193" s="11"/>
      <c r="O193" s="8"/>
    </row>
    <row r="194" spans="1:15" s="4" customFormat="1" ht="45.75">
      <c r="A194" s="72">
        <v>150101</v>
      </c>
      <c r="B194" s="73" t="s">
        <v>1</v>
      </c>
      <c r="C194" s="73" t="s">
        <v>287</v>
      </c>
      <c r="D194" s="74">
        <v>16114</v>
      </c>
      <c r="E194" s="74"/>
      <c r="F194" s="74">
        <v>16114</v>
      </c>
      <c r="G194" s="74">
        <v>16000</v>
      </c>
      <c r="H194" s="9"/>
      <c r="I194" s="9"/>
      <c r="J194" s="75"/>
      <c r="K194" s="9"/>
      <c r="L194" s="9"/>
      <c r="M194" s="10"/>
      <c r="N194" s="11"/>
      <c r="O194" s="8"/>
    </row>
    <row r="195" spans="1:15" s="4" customFormat="1" ht="45.75">
      <c r="A195" s="72">
        <v>150101</v>
      </c>
      <c r="B195" s="73" t="s">
        <v>1</v>
      </c>
      <c r="C195" s="73" t="s">
        <v>288</v>
      </c>
      <c r="D195" s="74">
        <v>25955</v>
      </c>
      <c r="E195" s="74"/>
      <c r="F195" s="74">
        <v>25955</v>
      </c>
      <c r="G195" s="74">
        <v>17000</v>
      </c>
      <c r="H195" s="9"/>
      <c r="I195" s="9"/>
      <c r="J195" s="75"/>
      <c r="K195" s="9"/>
      <c r="L195" s="9"/>
      <c r="M195" s="10"/>
      <c r="N195" s="11"/>
      <c r="O195" s="8"/>
    </row>
    <row r="196" spans="1:15" s="4" customFormat="1" ht="45.75">
      <c r="A196" s="72">
        <v>150101</v>
      </c>
      <c r="B196" s="73" t="s">
        <v>1</v>
      </c>
      <c r="C196" s="73" t="s">
        <v>289</v>
      </c>
      <c r="D196" s="74">
        <v>23873</v>
      </c>
      <c r="E196" s="74"/>
      <c r="F196" s="74">
        <v>23873</v>
      </c>
      <c r="G196" s="74">
        <v>15000</v>
      </c>
      <c r="H196" s="9"/>
      <c r="I196" s="9"/>
      <c r="J196" s="75"/>
      <c r="K196" s="9"/>
      <c r="L196" s="9"/>
      <c r="M196" s="10"/>
      <c r="N196" s="11"/>
      <c r="O196" s="8"/>
    </row>
    <row r="197" spans="1:15" s="4" customFormat="1" ht="45.75">
      <c r="A197" s="72">
        <v>150101</v>
      </c>
      <c r="B197" s="73" t="s">
        <v>1</v>
      </c>
      <c r="C197" s="73" t="s">
        <v>290</v>
      </c>
      <c r="D197" s="74">
        <v>16014</v>
      </c>
      <c r="E197" s="74"/>
      <c r="F197" s="74">
        <v>16014</v>
      </c>
      <c r="G197" s="74">
        <v>15000</v>
      </c>
      <c r="H197" s="9"/>
      <c r="I197" s="9"/>
      <c r="J197" s="75"/>
      <c r="K197" s="9"/>
      <c r="L197" s="9"/>
      <c r="M197" s="10"/>
      <c r="N197" s="11"/>
      <c r="O197" s="8"/>
    </row>
    <row r="198" spans="1:15" s="4" customFormat="1" ht="105.75">
      <c r="A198" s="72">
        <v>150101</v>
      </c>
      <c r="B198" s="73" t="s">
        <v>1</v>
      </c>
      <c r="C198" s="73" t="s">
        <v>223</v>
      </c>
      <c r="D198" s="74">
        <v>398792</v>
      </c>
      <c r="E198" s="74"/>
      <c r="F198" s="74">
        <v>398792</v>
      </c>
      <c r="G198" s="74">
        <f>30000+6500</f>
        <v>36500</v>
      </c>
      <c r="H198" s="9"/>
      <c r="I198" s="9"/>
      <c r="J198" s="75"/>
      <c r="K198" s="9"/>
      <c r="L198" s="9"/>
      <c r="M198" s="10"/>
      <c r="N198" s="11"/>
      <c r="O198" s="8"/>
    </row>
    <row r="199" spans="1:15" s="4" customFormat="1" ht="105.75">
      <c r="A199" s="72">
        <v>150101</v>
      </c>
      <c r="B199" s="73" t="s">
        <v>1</v>
      </c>
      <c r="C199" s="73" t="s">
        <v>291</v>
      </c>
      <c r="D199" s="74">
        <v>18000</v>
      </c>
      <c r="E199" s="74"/>
      <c r="F199" s="74">
        <v>18000</v>
      </c>
      <c r="G199" s="74">
        <v>18000</v>
      </c>
      <c r="H199" s="9"/>
      <c r="I199" s="9"/>
      <c r="J199" s="75"/>
      <c r="K199" s="9"/>
      <c r="L199" s="9"/>
      <c r="M199" s="10"/>
      <c r="N199" s="11"/>
      <c r="O199" s="8"/>
    </row>
    <row r="200" spans="1:15" s="4" customFormat="1" ht="45.75">
      <c r="A200" s="72">
        <v>150101</v>
      </c>
      <c r="B200" s="73" t="s">
        <v>1</v>
      </c>
      <c r="C200" s="73" t="s">
        <v>275</v>
      </c>
      <c r="D200" s="74">
        <v>150000</v>
      </c>
      <c r="E200" s="74"/>
      <c r="F200" s="74">
        <v>150000</v>
      </c>
      <c r="G200" s="74">
        <v>150000</v>
      </c>
      <c r="H200" s="9"/>
      <c r="I200" s="9"/>
      <c r="J200" s="80"/>
      <c r="K200" s="9"/>
      <c r="L200" s="9"/>
      <c r="M200" s="10"/>
      <c r="N200" s="11"/>
      <c r="O200" s="8"/>
    </row>
    <row r="201" spans="1:15" s="4" customFormat="1" ht="30.75">
      <c r="A201" s="72">
        <v>150101</v>
      </c>
      <c r="B201" s="73" t="s">
        <v>1</v>
      </c>
      <c r="C201" s="73" t="s">
        <v>276</v>
      </c>
      <c r="D201" s="74">
        <v>200000</v>
      </c>
      <c r="E201" s="74"/>
      <c r="F201" s="74">
        <v>200000</v>
      </c>
      <c r="G201" s="74">
        <v>200000</v>
      </c>
      <c r="H201" s="9"/>
      <c r="I201" s="9"/>
      <c r="J201" s="80"/>
      <c r="K201" s="9"/>
      <c r="L201" s="9"/>
      <c r="M201" s="10"/>
      <c r="N201" s="11"/>
      <c r="O201" s="8"/>
    </row>
    <row r="202" spans="1:15" s="4" customFormat="1" ht="45.75">
      <c r="A202" s="72">
        <v>150101</v>
      </c>
      <c r="B202" s="73" t="s">
        <v>1</v>
      </c>
      <c r="C202" s="73" t="s">
        <v>283</v>
      </c>
      <c r="D202" s="74">
        <v>300000</v>
      </c>
      <c r="E202" s="74"/>
      <c r="F202" s="74">
        <v>300000</v>
      </c>
      <c r="G202" s="74">
        <v>300000</v>
      </c>
      <c r="H202" s="9"/>
      <c r="I202" s="9"/>
      <c r="J202" s="80"/>
      <c r="K202" s="9"/>
      <c r="L202" s="9"/>
      <c r="M202" s="10"/>
      <c r="N202" s="11"/>
      <c r="O202" s="8"/>
    </row>
    <row r="203" spans="1:15" s="4" customFormat="1" ht="45.75">
      <c r="A203" s="72">
        <v>150101</v>
      </c>
      <c r="B203" s="73" t="s">
        <v>1</v>
      </c>
      <c r="C203" s="73" t="s">
        <v>277</v>
      </c>
      <c r="D203" s="74">
        <v>100000</v>
      </c>
      <c r="E203" s="74"/>
      <c r="F203" s="74">
        <v>100000</v>
      </c>
      <c r="G203" s="74">
        <v>100000</v>
      </c>
      <c r="H203" s="9"/>
      <c r="I203" s="9"/>
      <c r="J203" s="80"/>
      <c r="K203" s="9"/>
      <c r="L203" s="9"/>
      <c r="M203" s="10"/>
      <c r="N203" s="11"/>
      <c r="O203" s="8"/>
    </row>
    <row r="204" spans="1:15" s="4" customFormat="1" ht="75.75">
      <c r="A204" s="72">
        <v>150101</v>
      </c>
      <c r="B204" s="73" t="s">
        <v>1</v>
      </c>
      <c r="C204" s="73" t="s">
        <v>284</v>
      </c>
      <c r="D204" s="74">
        <v>39888</v>
      </c>
      <c r="E204" s="74"/>
      <c r="F204" s="74">
        <v>39888</v>
      </c>
      <c r="G204" s="74">
        <v>20184</v>
      </c>
      <c r="H204" s="9"/>
      <c r="I204" s="9"/>
      <c r="J204" s="80"/>
      <c r="K204" s="9"/>
      <c r="L204" s="9"/>
      <c r="M204" s="10"/>
      <c r="N204" s="11"/>
      <c r="O204" s="8"/>
    </row>
    <row r="205" spans="1:15" s="4" customFormat="1" ht="90" customHeight="1">
      <c r="A205" s="72">
        <v>150101</v>
      </c>
      <c r="B205" s="73" t="s">
        <v>1</v>
      </c>
      <c r="C205" s="73" t="s">
        <v>278</v>
      </c>
      <c r="D205" s="74">
        <v>222588</v>
      </c>
      <c r="E205" s="74"/>
      <c r="F205" s="74">
        <v>222588</v>
      </c>
      <c r="G205" s="74">
        <v>222588</v>
      </c>
      <c r="H205" s="9"/>
      <c r="I205" s="9"/>
      <c r="J205" s="80"/>
      <c r="K205" s="9"/>
      <c r="L205" s="9"/>
      <c r="M205" s="10"/>
      <c r="N205" s="11"/>
      <c r="O205" s="8"/>
    </row>
    <row r="206" spans="1:15" s="4" customFormat="1" ht="45.75">
      <c r="A206" s="72">
        <v>150101</v>
      </c>
      <c r="B206" s="73" t="s">
        <v>1</v>
      </c>
      <c r="C206" s="73" t="s">
        <v>279</v>
      </c>
      <c r="D206" s="74">
        <v>173866</v>
      </c>
      <c r="E206" s="74"/>
      <c r="F206" s="74">
        <v>173866</v>
      </c>
      <c r="G206" s="74">
        <v>24900</v>
      </c>
      <c r="H206" s="9"/>
      <c r="I206" s="9"/>
      <c r="J206" s="80"/>
      <c r="K206" s="9"/>
      <c r="L206" s="9"/>
      <c r="M206" s="10"/>
      <c r="N206" s="11"/>
      <c r="O206" s="8"/>
    </row>
    <row r="207" spans="1:15" s="4" customFormat="1" ht="45.75">
      <c r="A207" s="72">
        <v>150101</v>
      </c>
      <c r="B207" s="73" t="s">
        <v>1</v>
      </c>
      <c r="C207" s="73" t="s">
        <v>285</v>
      </c>
      <c r="D207" s="74">
        <v>206191</v>
      </c>
      <c r="E207" s="74"/>
      <c r="F207" s="74">
        <v>206191</v>
      </c>
      <c r="G207" s="74">
        <v>27180</v>
      </c>
      <c r="H207" s="9"/>
      <c r="I207" s="9"/>
      <c r="J207" s="80"/>
      <c r="K207" s="9"/>
      <c r="L207" s="9"/>
      <c r="M207" s="10"/>
      <c r="N207" s="11"/>
      <c r="O207" s="8"/>
    </row>
    <row r="208" spans="1:15" s="4" customFormat="1" ht="45.75">
      <c r="A208" s="72">
        <v>150101</v>
      </c>
      <c r="B208" s="73" t="s">
        <v>1</v>
      </c>
      <c r="C208" s="73" t="s">
        <v>286</v>
      </c>
      <c r="D208" s="74">
        <v>224328</v>
      </c>
      <c r="E208" s="74"/>
      <c r="F208" s="74">
        <v>224328</v>
      </c>
      <c r="G208" s="74">
        <v>27540</v>
      </c>
      <c r="H208" s="9"/>
      <c r="I208" s="9"/>
      <c r="J208" s="80"/>
      <c r="K208" s="9"/>
      <c r="L208" s="9"/>
      <c r="M208" s="10"/>
      <c r="N208" s="11"/>
      <c r="O208" s="8"/>
    </row>
    <row r="209" spans="1:15" s="4" customFormat="1" ht="45.75">
      <c r="A209" s="72">
        <v>150101</v>
      </c>
      <c r="B209" s="73" t="s">
        <v>1</v>
      </c>
      <c r="C209" s="73" t="s">
        <v>280</v>
      </c>
      <c r="D209" s="74">
        <v>8169181</v>
      </c>
      <c r="E209" s="40">
        <f>100-(F209/D209)*100</f>
        <v>2.100785868252885</v>
      </c>
      <c r="F209" s="74">
        <f>8169181-171617</f>
        <v>7997564</v>
      </c>
      <c r="G209" s="74">
        <v>120000</v>
      </c>
      <c r="H209" s="9"/>
      <c r="I209" s="9"/>
      <c r="J209" s="80"/>
      <c r="K209" s="9"/>
      <c r="L209" s="9"/>
      <c r="M209" s="10"/>
      <c r="N209" s="11"/>
      <c r="O209" s="8"/>
    </row>
    <row r="210" spans="1:15" s="4" customFormat="1" ht="60.75">
      <c r="A210" s="72">
        <v>150101</v>
      </c>
      <c r="B210" s="73" t="s">
        <v>1</v>
      </c>
      <c r="C210" s="73" t="s">
        <v>281</v>
      </c>
      <c r="D210" s="74">
        <v>300000</v>
      </c>
      <c r="E210" s="40"/>
      <c r="F210" s="74">
        <v>300000</v>
      </c>
      <c r="G210" s="74">
        <v>300000</v>
      </c>
      <c r="H210" s="9"/>
      <c r="I210" s="9"/>
      <c r="J210" s="80"/>
      <c r="K210" s="9"/>
      <c r="L210" s="9"/>
      <c r="M210" s="10"/>
      <c r="N210" s="11"/>
      <c r="O210" s="8"/>
    </row>
    <row r="211" spans="1:15" s="4" customFormat="1" ht="45.75">
      <c r="A211" s="72">
        <v>150101</v>
      </c>
      <c r="B211" s="73" t="s">
        <v>1</v>
      </c>
      <c r="C211" s="73" t="s">
        <v>282</v>
      </c>
      <c r="D211" s="74">
        <v>85000</v>
      </c>
      <c r="E211" s="40"/>
      <c r="F211" s="74">
        <v>85000</v>
      </c>
      <c r="G211" s="74">
        <v>85000</v>
      </c>
      <c r="H211" s="9"/>
      <c r="I211" s="9"/>
      <c r="J211" s="80"/>
      <c r="K211" s="9"/>
      <c r="L211" s="9"/>
      <c r="M211" s="10"/>
      <c r="N211" s="11"/>
      <c r="O211" s="8"/>
    </row>
    <row r="212" spans="1:15" s="4" customFormat="1" ht="60.75">
      <c r="A212" s="72">
        <v>150101</v>
      </c>
      <c r="B212" s="73" t="s">
        <v>1</v>
      </c>
      <c r="C212" s="73" t="s">
        <v>298</v>
      </c>
      <c r="D212" s="74">
        <v>1000000</v>
      </c>
      <c r="E212" s="40"/>
      <c r="F212" s="74">
        <v>1000000</v>
      </c>
      <c r="G212" s="74">
        <v>400000</v>
      </c>
      <c r="H212" s="9"/>
      <c r="I212" s="9"/>
      <c r="J212" s="80"/>
      <c r="K212" s="9"/>
      <c r="L212" s="9"/>
      <c r="M212" s="10"/>
      <c r="N212" s="11"/>
      <c r="O212" s="8"/>
    </row>
    <row r="213" spans="1:15" s="4" customFormat="1" ht="84" customHeight="1">
      <c r="A213" s="37">
        <v>180409</v>
      </c>
      <c r="B213" s="38" t="s">
        <v>16</v>
      </c>
      <c r="C213" s="38" t="s">
        <v>117</v>
      </c>
      <c r="D213" s="39"/>
      <c r="E213" s="40"/>
      <c r="F213" s="39"/>
      <c r="G213" s="39">
        <f>6200000+2999604+990000+2400000-2400000-84322</f>
        <v>10105282</v>
      </c>
      <c r="H213" s="9"/>
      <c r="I213" s="9"/>
      <c r="J213" s="64"/>
      <c r="K213" s="9"/>
      <c r="L213" s="9"/>
      <c r="M213" s="10"/>
      <c r="N213" s="11"/>
      <c r="O213" s="8"/>
    </row>
    <row r="214" spans="1:15" s="4" customFormat="1" ht="18.75">
      <c r="A214" s="37"/>
      <c r="B214" s="38" t="s">
        <v>198</v>
      </c>
      <c r="C214" s="38"/>
      <c r="D214" s="39"/>
      <c r="E214" s="40"/>
      <c r="F214" s="39"/>
      <c r="G214" s="39"/>
      <c r="H214" s="9"/>
      <c r="I214" s="9"/>
      <c r="J214" s="64"/>
      <c r="K214" s="9"/>
      <c r="L214" s="9"/>
      <c r="M214" s="10"/>
      <c r="N214" s="11"/>
      <c r="O214" s="8"/>
    </row>
    <row r="215" spans="1:15" s="4" customFormat="1" ht="135">
      <c r="A215" s="37"/>
      <c r="B215" s="38"/>
      <c r="C215" s="38" t="s">
        <v>268</v>
      </c>
      <c r="D215" s="39"/>
      <c r="E215" s="40"/>
      <c r="F215" s="39"/>
      <c r="G215" s="39">
        <v>8399604</v>
      </c>
      <c r="H215" s="9"/>
      <c r="I215" s="9"/>
      <c r="J215" s="64"/>
      <c r="K215" s="9"/>
      <c r="L215" s="9"/>
      <c r="M215" s="10"/>
      <c r="N215" s="11"/>
      <c r="O215" s="8"/>
    </row>
    <row r="216" spans="1:15" s="4" customFormat="1" ht="41.25">
      <c r="A216" s="37"/>
      <c r="B216" s="38"/>
      <c r="C216" s="38" t="s">
        <v>270</v>
      </c>
      <c r="D216" s="39"/>
      <c r="E216" s="40"/>
      <c r="F216" s="39"/>
      <c r="G216" s="39">
        <f>800000-84322</f>
        <v>715678</v>
      </c>
      <c r="H216" s="9"/>
      <c r="I216" s="9"/>
      <c r="J216" s="64"/>
      <c r="K216" s="9"/>
      <c r="L216" s="9"/>
      <c r="M216" s="10"/>
      <c r="N216" s="11"/>
      <c r="O216" s="8"/>
    </row>
    <row r="217" spans="1:15" s="4" customFormat="1" ht="43.5">
      <c r="A217" s="37"/>
      <c r="B217" s="38"/>
      <c r="C217" s="38" t="s">
        <v>269</v>
      </c>
      <c r="D217" s="39"/>
      <c r="E217" s="40"/>
      <c r="F217" s="39"/>
      <c r="G217" s="39">
        <v>990000</v>
      </c>
      <c r="H217" s="9"/>
      <c r="I217" s="9"/>
      <c r="J217" s="64"/>
      <c r="K217" s="9"/>
      <c r="L217" s="9"/>
      <c r="M217" s="10"/>
      <c r="N217" s="11"/>
      <c r="O217" s="8"/>
    </row>
    <row r="218" spans="1:15" s="4" customFormat="1" ht="30.75" hidden="1">
      <c r="A218" s="37"/>
      <c r="B218" s="38"/>
      <c r="C218" s="38" t="s">
        <v>234</v>
      </c>
      <c r="D218" s="39"/>
      <c r="E218" s="40"/>
      <c r="F218" s="39"/>
      <c r="G218" s="39"/>
      <c r="H218" s="9"/>
      <c r="I218" s="9"/>
      <c r="J218" s="64"/>
      <c r="K218" s="9"/>
      <c r="L218" s="9"/>
      <c r="M218" s="10"/>
      <c r="N218" s="11"/>
      <c r="O218" s="8"/>
    </row>
    <row r="219" spans="1:15" s="4" customFormat="1" ht="79.5" customHeight="1">
      <c r="A219" s="37">
        <v>180409</v>
      </c>
      <c r="B219" s="38" t="s">
        <v>16</v>
      </c>
      <c r="C219" s="73" t="s">
        <v>73</v>
      </c>
      <c r="D219" s="39"/>
      <c r="E219" s="40"/>
      <c r="F219" s="39"/>
      <c r="G219" s="39">
        <f>4647544-2999604</f>
        <v>1647940</v>
      </c>
      <c r="H219" s="9"/>
      <c r="I219" s="9"/>
      <c r="J219" s="64"/>
      <c r="K219" s="9"/>
      <c r="L219" s="9"/>
      <c r="M219" s="10"/>
      <c r="N219" s="11"/>
      <c r="O219" s="8"/>
    </row>
    <row r="220" spans="1:15" s="4" customFormat="1" ht="18.75">
      <c r="A220" s="37"/>
      <c r="B220" s="38" t="s">
        <v>198</v>
      </c>
      <c r="C220" s="38"/>
      <c r="D220" s="39"/>
      <c r="E220" s="40"/>
      <c r="F220" s="39"/>
      <c r="G220" s="39"/>
      <c r="H220" s="9"/>
      <c r="I220" s="9"/>
      <c r="J220" s="64"/>
      <c r="K220" s="9"/>
      <c r="L220" s="9"/>
      <c r="M220" s="10"/>
      <c r="N220" s="11"/>
      <c r="O220" s="8"/>
    </row>
    <row r="221" spans="1:15" s="4" customFormat="1" ht="84">
      <c r="A221" s="37"/>
      <c r="B221" s="38"/>
      <c r="C221" s="38" t="s">
        <v>273</v>
      </c>
      <c r="D221" s="39"/>
      <c r="E221" s="40"/>
      <c r="F221" s="39"/>
      <c r="G221" s="39">
        <v>1125140</v>
      </c>
      <c r="H221" s="9"/>
      <c r="I221" s="9"/>
      <c r="J221" s="64"/>
      <c r="K221" s="9"/>
      <c r="L221" s="9"/>
      <c r="M221" s="10"/>
      <c r="N221" s="11"/>
      <c r="O221" s="8"/>
    </row>
    <row r="222" spans="1:15" s="4" customFormat="1" ht="58.5">
      <c r="A222" s="37"/>
      <c r="B222" s="38"/>
      <c r="C222" s="38" t="s">
        <v>271</v>
      </c>
      <c r="D222" s="39"/>
      <c r="E222" s="40"/>
      <c r="F222" s="39"/>
      <c r="G222" s="39">
        <v>382800</v>
      </c>
      <c r="H222" s="9"/>
      <c r="I222" s="9"/>
      <c r="J222" s="64"/>
      <c r="K222" s="9"/>
      <c r="L222" s="9"/>
      <c r="M222" s="10"/>
      <c r="N222" s="11"/>
      <c r="O222" s="8"/>
    </row>
    <row r="223" spans="1:15" s="4" customFormat="1" ht="41.25">
      <c r="A223" s="37"/>
      <c r="B223" s="38"/>
      <c r="C223" s="38" t="s">
        <v>272</v>
      </c>
      <c r="D223" s="39"/>
      <c r="E223" s="40"/>
      <c r="F223" s="39"/>
      <c r="G223" s="39">
        <v>140000</v>
      </c>
      <c r="H223" s="9"/>
      <c r="I223" s="9"/>
      <c r="J223" s="64"/>
      <c r="K223" s="9"/>
      <c r="L223" s="9"/>
      <c r="M223" s="10"/>
      <c r="N223" s="11"/>
      <c r="O223" s="8"/>
    </row>
    <row r="224" spans="1:15" s="4" customFormat="1" ht="47.25">
      <c r="A224" s="41" t="s">
        <v>243</v>
      </c>
      <c r="B224" s="34" t="s">
        <v>244</v>
      </c>
      <c r="C224" s="38"/>
      <c r="D224" s="39"/>
      <c r="E224" s="40"/>
      <c r="F224" s="39"/>
      <c r="G224" s="35">
        <f>G225</f>
        <v>10423</v>
      </c>
      <c r="H224" s="9"/>
      <c r="I224" s="9"/>
      <c r="J224" s="64"/>
      <c r="K224" s="9"/>
      <c r="L224" s="9"/>
      <c r="M224" s="10"/>
      <c r="N224" s="11"/>
      <c r="O224" s="8"/>
    </row>
    <row r="225" spans="1:15" s="4" customFormat="1" ht="30.75">
      <c r="A225" s="50" t="s">
        <v>121</v>
      </c>
      <c r="B225" s="38" t="s">
        <v>148</v>
      </c>
      <c r="C225" s="38" t="s">
        <v>122</v>
      </c>
      <c r="D225" s="39"/>
      <c r="E225" s="40"/>
      <c r="F225" s="39"/>
      <c r="G225" s="39">
        <f>'[1]Місто'!$K$292</f>
        <v>10423</v>
      </c>
      <c r="H225" s="9"/>
      <c r="I225" s="9"/>
      <c r="J225" s="64"/>
      <c r="K225" s="9"/>
      <c r="L225" s="9"/>
      <c r="M225" s="10"/>
      <c r="N225" s="11"/>
      <c r="O225" s="8"/>
    </row>
    <row r="226" spans="1:10" s="19" customFormat="1" ht="63">
      <c r="A226" s="41">
        <v>65</v>
      </c>
      <c r="B226" s="34" t="s">
        <v>24</v>
      </c>
      <c r="C226" s="34"/>
      <c r="D226" s="35"/>
      <c r="E226" s="36"/>
      <c r="F226" s="35"/>
      <c r="G226" s="35">
        <f>SUM(G227:G228)</f>
        <v>3736646</v>
      </c>
      <c r="H226" s="24"/>
      <c r="I226" s="6"/>
      <c r="J226" s="64">
        <f>I226-H226</f>
        <v>0</v>
      </c>
    </row>
    <row r="227" spans="1:10" s="19" customFormat="1" ht="30.75">
      <c r="A227" s="37">
        <v>120100</v>
      </c>
      <c r="B227" s="38" t="s">
        <v>157</v>
      </c>
      <c r="C227" s="38" t="s">
        <v>122</v>
      </c>
      <c r="D227" s="39"/>
      <c r="E227" s="40"/>
      <c r="F227" s="39"/>
      <c r="G227" s="39">
        <f>'[1]Місто'!$K$331</f>
        <v>261218</v>
      </c>
      <c r="H227" s="24"/>
      <c r="I227" s="6"/>
      <c r="J227" s="64"/>
    </row>
    <row r="228" spans="1:10" s="4" customFormat="1" ht="75.75">
      <c r="A228" s="37">
        <v>180409</v>
      </c>
      <c r="B228" s="38" t="s">
        <v>16</v>
      </c>
      <c r="C228" s="38" t="s">
        <v>225</v>
      </c>
      <c r="D228" s="39"/>
      <c r="E228" s="40"/>
      <c r="F228" s="39"/>
      <c r="G228" s="39">
        <f>SUM(G230:G231)</f>
        <v>3475428</v>
      </c>
      <c r="H228" s="12"/>
      <c r="I228" s="10"/>
      <c r="J228" s="64"/>
    </row>
    <row r="229" spans="1:10" s="4" customFormat="1" ht="18.75">
      <c r="A229" s="37"/>
      <c r="B229" s="38" t="s">
        <v>198</v>
      </c>
      <c r="C229" s="38"/>
      <c r="D229" s="39"/>
      <c r="E229" s="40"/>
      <c r="F229" s="39"/>
      <c r="G229" s="39"/>
      <c r="H229" s="12"/>
      <c r="I229" s="10"/>
      <c r="J229" s="64"/>
    </row>
    <row r="230" spans="1:10" s="4" customFormat="1" ht="30.75">
      <c r="A230" s="37"/>
      <c r="B230" s="38"/>
      <c r="C230" s="38" t="s">
        <v>226</v>
      </c>
      <c r="D230" s="39"/>
      <c r="E230" s="40"/>
      <c r="F230" s="39"/>
      <c r="G230" s="39">
        <f>665462-115928</f>
        <v>549534</v>
      </c>
      <c r="H230" s="12"/>
      <c r="I230" s="10"/>
      <c r="J230" s="64"/>
    </row>
    <row r="231" spans="1:10" s="4" customFormat="1" ht="75.75">
      <c r="A231" s="37"/>
      <c r="B231" s="38"/>
      <c r="C231" s="38" t="s">
        <v>300</v>
      </c>
      <c r="D231" s="39"/>
      <c r="E231" s="40"/>
      <c r="F231" s="39"/>
      <c r="G231" s="39">
        <v>2925894</v>
      </c>
      <c r="H231" s="12"/>
      <c r="I231" s="10"/>
      <c r="J231" s="64"/>
    </row>
    <row r="232" spans="1:10" s="19" customFormat="1" ht="99" customHeight="1">
      <c r="A232" s="41">
        <v>67</v>
      </c>
      <c r="B232" s="34" t="s">
        <v>235</v>
      </c>
      <c r="C232" s="34"/>
      <c r="D232" s="35"/>
      <c r="E232" s="36"/>
      <c r="F232" s="35"/>
      <c r="G232" s="35">
        <f>G233</f>
        <v>6350000</v>
      </c>
      <c r="H232" s="24"/>
      <c r="I232" s="6"/>
      <c r="J232" s="64"/>
    </row>
    <row r="233" spans="1:10" s="4" customFormat="1" ht="71.25" customHeight="1">
      <c r="A233" s="37">
        <v>210105</v>
      </c>
      <c r="B233" s="38" t="s">
        <v>239</v>
      </c>
      <c r="C233" s="38" t="s">
        <v>122</v>
      </c>
      <c r="D233" s="39"/>
      <c r="E233" s="40"/>
      <c r="F233" s="39"/>
      <c r="G233" s="39">
        <f>'[1]Місто'!$K$345</f>
        <v>6350000</v>
      </c>
      <c r="H233" s="12"/>
      <c r="I233" s="10"/>
      <c r="J233" s="64"/>
    </row>
    <row r="234" spans="1:15" s="19" customFormat="1" ht="47.25">
      <c r="A234" s="33">
        <v>73</v>
      </c>
      <c r="B234" s="34" t="s">
        <v>25</v>
      </c>
      <c r="C234" s="34"/>
      <c r="D234" s="35">
        <f>SUM(D236:D249)</f>
        <v>125563787</v>
      </c>
      <c r="E234" s="36"/>
      <c r="F234" s="35">
        <f>SUM(F236:F249)</f>
        <v>109685650.98</v>
      </c>
      <c r="G234" s="35">
        <f>SUM(G235:G249)</f>
        <v>10190494</v>
      </c>
      <c r="H234" s="59">
        <f>G236+G237+G238+G239+G240+G241+G242+G243+G244+G248+G249+G245+G247+G246</f>
        <v>10183994</v>
      </c>
      <c r="I234" s="59">
        <f>'[1]Місто'!$K$355</f>
        <v>10183994</v>
      </c>
      <c r="J234" s="64">
        <f>I234-H234</f>
        <v>0</v>
      </c>
      <c r="K234" s="5"/>
      <c r="L234" s="5"/>
      <c r="M234" s="6"/>
      <c r="N234" s="7"/>
      <c r="O234" s="18"/>
    </row>
    <row r="235" spans="1:15" s="19" customFormat="1" ht="30.75">
      <c r="A235" s="50" t="s">
        <v>121</v>
      </c>
      <c r="B235" s="38" t="s">
        <v>148</v>
      </c>
      <c r="C235" s="38" t="s">
        <v>122</v>
      </c>
      <c r="D235" s="39"/>
      <c r="E235" s="40"/>
      <c r="F235" s="39"/>
      <c r="G235" s="39">
        <f>'[1]Місто'!$K$351</f>
        <v>6500</v>
      </c>
      <c r="H235" s="5"/>
      <c r="I235" s="5"/>
      <c r="J235" s="64"/>
      <c r="K235" s="5"/>
      <c r="L235" s="5"/>
      <c r="M235" s="6"/>
      <c r="N235" s="7"/>
      <c r="O235" s="18"/>
    </row>
    <row r="236" spans="1:15" s="4" customFormat="1" ht="60.75">
      <c r="A236" s="37">
        <v>150101</v>
      </c>
      <c r="B236" s="38" t="s">
        <v>1</v>
      </c>
      <c r="C236" s="38" t="s">
        <v>59</v>
      </c>
      <c r="D236" s="39"/>
      <c r="E236" s="40"/>
      <c r="F236" s="39"/>
      <c r="G236" s="39">
        <v>200404</v>
      </c>
      <c r="H236" s="9"/>
      <c r="I236" s="9"/>
      <c r="J236" s="64"/>
      <c r="K236" s="9"/>
      <c r="L236" s="9"/>
      <c r="M236" s="10"/>
      <c r="N236" s="11"/>
      <c r="O236" s="8"/>
    </row>
    <row r="237" spans="1:15" s="4" customFormat="1" ht="45.75">
      <c r="A237" s="37">
        <v>150101</v>
      </c>
      <c r="B237" s="38" t="s">
        <v>1</v>
      </c>
      <c r="C237" s="38" t="s">
        <v>29</v>
      </c>
      <c r="D237" s="39">
        <v>8428076</v>
      </c>
      <c r="E237" s="40">
        <f aca="true" t="shared" si="5" ref="E237:E244">100-(F237/D237)*100</f>
        <v>17.300442473466063</v>
      </c>
      <c r="F237" s="39">
        <f>D237-(2652.28+224049.34+1231392.82)</f>
        <v>6969981.5600000005</v>
      </c>
      <c r="G237" s="39">
        <f>532674+1342837+624489+1464263</f>
        <v>3964263</v>
      </c>
      <c r="H237" s="12"/>
      <c r="I237" s="12"/>
      <c r="J237" s="64"/>
      <c r="K237" s="12"/>
      <c r="L237" s="12"/>
      <c r="M237" s="13"/>
      <c r="N237" s="14"/>
      <c r="O237" s="8"/>
    </row>
    <row r="238" spans="1:15" s="4" customFormat="1" ht="75.75">
      <c r="A238" s="37">
        <v>150101</v>
      </c>
      <c r="B238" s="38" t="s">
        <v>1</v>
      </c>
      <c r="C238" s="38" t="s">
        <v>12</v>
      </c>
      <c r="D238" s="39">
        <v>3836200</v>
      </c>
      <c r="E238" s="40">
        <f>100-(F238/D238)*100</f>
        <v>0.7438871800219005</v>
      </c>
      <c r="F238" s="39">
        <f>D238-(28537)</f>
        <v>3807663</v>
      </c>
      <c r="G238" s="39">
        <v>200000</v>
      </c>
      <c r="H238" s="12"/>
      <c r="I238" s="12"/>
      <c r="J238" s="64"/>
      <c r="K238" s="12"/>
      <c r="L238" s="12"/>
      <c r="M238" s="10"/>
      <c r="N238" s="11"/>
      <c r="O238" s="15"/>
    </row>
    <row r="239" spans="1:15" s="4" customFormat="1" ht="60.75">
      <c r="A239" s="37">
        <v>150101</v>
      </c>
      <c r="B239" s="38" t="s">
        <v>1</v>
      </c>
      <c r="C239" s="38" t="s">
        <v>96</v>
      </c>
      <c r="D239" s="39">
        <v>4848886</v>
      </c>
      <c r="E239" s="40">
        <f t="shared" si="5"/>
        <v>87.38717985945638</v>
      </c>
      <c r="F239" s="39">
        <f>SUM(D239-1337304.73-2900000)</f>
        <v>611581.27</v>
      </c>
      <c r="G239" s="39">
        <f>22235+186656</f>
        <v>208891</v>
      </c>
      <c r="H239" s="12"/>
      <c r="I239" s="12"/>
      <c r="J239" s="64"/>
      <c r="K239" s="12"/>
      <c r="L239" s="12"/>
      <c r="M239" s="13"/>
      <c r="N239" s="14"/>
      <c r="O239" s="8"/>
    </row>
    <row r="240" spans="1:15" s="4" customFormat="1" ht="60.75">
      <c r="A240" s="37">
        <v>150101</v>
      </c>
      <c r="B240" s="38" t="s">
        <v>1</v>
      </c>
      <c r="C240" s="38" t="s">
        <v>61</v>
      </c>
      <c r="D240" s="39">
        <v>8469431</v>
      </c>
      <c r="E240" s="40">
        <f t="shared" si="5"/>
        <v>80.20124634110603</v>
      </c>
      <c r="F240" s="39">
        <f>SUM(D240-1500000-1125399-428348.3-479307-3259534.92)</f>
        <v>1676841.7800000003</v>
      </c>
      <c r="G240" s="39">
        <v>311886</v>
      </c>
      <c r="H240" s="12"/>
      <c r="I240" s="9"/>
      <c r="J240" s="64"/>
      <c r="K240" s="12"/>
      <c r="L240" s="12"/>
      <c r="M240" s="10"/>
      <c r="N240" s="11"/>
      <c r="O240" s="8"/>
    </row>
    <row r="241" spans="1:15" s="4" customFormat="1" ht="60.75">
      <c r="A241" s="37">
        <v>150101</v>
      </c>
      <c r="B241" s="38" t="s">
        <v>1</v>
      </c>
      <c r="C241" s="38" t="s">
        <v>31</v>
      </c>
      <c r="D241" s="39">
        <v>40486207</v>
      </c>
      <c r="E241" s="40">
        <f>100-(F241/D241)*100</f>
        <v>1.1065443102634873</v>
      </c>
      <c r="F241" s="39">
        <f>D241-(160000+149353.61+138644.21)</f>
        <v>40038209.18</v>
      </c>
      <c r="G241" s="39">
        <f>4000000-3940000</f>
        <v>60000</v>
      </c>
      <c r="H241" s="9"/>
      <c r="I241" s="9"/>
      <c r="J241" s="64"/>
      <c r="K241" s="9"/>
      <c r="L241" s="9"/>
      <c r="M241" s="10"/>
      <c r="N241" s="16"/>
      <c r="O241" s="15"/>
    </row>
    <row r="242" spans="1:15" s="4" customFormat="1" ht="60.75">
      <c r="A242" s="37">
        <v>150101</v>
      </c>
      <c r="B242" s="38" t="s">
        <v>1</v>
      </c>
      <c r="C242" s="38" t="s">
        <v>97</v>
      </c>
      <c r="D242" s="39">
        <v>41973922</v>
      </c>
      <c r="E242" s="40">
        <f t="shared" si="5"/>
        <v>0.7238618063854005</v>
      </c>
      <c r="F242" s="39">
        <f>SUM(D242-249768-46620-7445.19)</f>
        <v>41670088.81</v>
      </c>
      <c r="G242" s="39">
        <f>300000+18644922-1403400-78400-2533338-500000-624489-644430-186656-1464263-1906393-261296-545026-55046-180000+290000+5157404-3782-194410+117000+126000-13590-95000-990000-600000+39080-150681-11570-50970-4602770-4599933-1089214-34759-299843+2000-733147-300000-150000</f>
        <v>374000</v>
      </c>
      <c r="H242" s="39"/>
      <c r="I242" s="9"/>
      <c r="J242" s="64"/>
      <c r="K242" s="9"/>
      <c r="L242" s="9"/>
      <c r="M242" s="10"/>
      <c r="N242" s="16"/>
      <c r="O242" s="15"/>
    </row>
    <row r="243" spans="1:15" s="4" customFormat="1" ht="45.75">
      <c r="A243" s="37">
        <v>150101</v>
      </c>
      <c r="B243" s="38" t="s">
        <v>1</v>
      </c>
      <c r="C243" s="38" t="s">
        <v>32</v>
      </c>
      <c r="D243" s="39">
        <v>1222082</v>
      </c>
      <c r="E243" s="40">
        <f t="shared" si="5"/>
        <v>8.118355396773708</v>
      </c>
      <c r="F243" s="39">
        <f>D243-99212.96</f>
        <v>1122869.04</v>
      </c>
      <c r="G243" s="39">
        <f>1122869-1057869</f>
        <v>65000</v>
      </c>
      <c r="H243" s="9"/>
      <c r="I243" s="9"/>
      <c r="J243" s="64"/>
      <c r="K243" s="9"/>
      <c r="L243" s="9"/>
      <c r="M243" s="10"/>
      <c r="N243" s="11"/>
      <c r="O243" s="8"/>
    </row>
    <row r="244" spans="1:15" s="4" customFormat="1" ht="60.75" hidden="1">
      <c r="A244" s="37">
        <v>150101</v>
      </c>
      <c r="B244" s="38" t="s">
        <v>1</v>
      </c>
      <c r="C244" s="38" t="s">
        <v>98</v>
      </c>
      <c r="D244" s="39"/>
      <c r="E244" s="40" t="e">
        <f t="shared" si="5"/>
        <v>#DIV/0!</v>
      </c>
      <c r="F244" s="39"/>
      <c r="G244" s="39">
        <f>325000-325000</f>
        <v>0</v>
      </c>
      <c r="H244" s="9"/>
      <c r="I244" s="9"/>
      <c r="J244" s="64"/>
      <c r="K244" s="9"/>
      <c r="L244" s="9"/>
      <c r="M244" s="10"/>
      <c r="N244" s="11"/>
      <c r="O244" s="8"/>
    </row>
    <row r="245" spans="1:15" s="4" customFormat="1" ht="60.75">
      <c r="A245" s="37">
        <v>150101</v>
      </c>
      <c r="B245" s="38" t="s">
        <v>1</v>
      </c>
      <c r="C245" s="38" t="s">
        <v>194</v>
      </c>
      <c r="D245" s="39">
        <v>286653</v>
      </c>
      <c r="E245" s="40">
        <v>95.3</v>
      </c>
      <c r="F245" s="39">
        <v>13517</v>
      </c>
      <c r="G245" s="39">
        <v>13517</v>
      </c>
      <c r="H245" s="9"/>
      <c r="I245" s="9"/>
      <c r="J245" s="64"/>
      <c r="K245" s="9"/>
      <c r="L245" s="9"/>
      <c r="M245" s="10"/>
      <c r="N245" s="11"/>
      <c r="O245" s="8"/>
    </row>
    <row r="246" spans="1:15" s="4" customFormat="1" ht="45.75">
      <c r="A246" s="37">
        <v>150101</v>
      </c>
      <c r="B246" s="38" t="s">
        <v>1</v>
      </c>
      <c r="C246" s="38" t="s">
        <v>274</v>
      </c>
      <c r="D246" s="39">
        <f>3589800-1824691</f>
        <v>1765109</v>
      </c>
      <c r="E246" s="40"/>
      <c r="F246" s="39">
        <f>3589800-1824691</f>
        <v>1765109</v>
      </c>
      <c r="G246" s="39">
        <f>3589800-1824691</f>
        <v>1765109</v>
      </c>
      <c r="H246" s="9"/>
      <c r="I246" s="9"/>
      <c r="J246" s="64"/>
      <c r="K246" s="9"/>
      <c r="L246" s="9"/>
      <c r="M246" s="10"/>
      <c r="N246" s="11"/>
      <c r="O246" s="8"/>
    </row>
    <row r="247" spans="1:15" s="4" customFormat="1" ht="30.75">
      <c r="A247" s="37">
        <v>150101</v>
      </c>
      <c r="B247" s="38" t="s">
        <v>1</v>
      </c>
      <c r="C247" s="38" t="s">
        <v>193</v>
      </c>
      <c r="D247" s="39">
        <f>137164</f>
        <v>137164</v>
      </c>
      <c r="E247" s="40">
        <v>0</v>
      </c>
      <c r="F247" s="39">
        <f>137164</f>
        <v>137164</v>
      </c>
      <c r="G247" s="39">
        <f>137164</f>
        <v>137164</v>
      </c>
      <c r="H247" s="9"/>
      <c r="I247" s="9"/>
      <c r="J247" s="81"/>
      <c r="K247" s="9"/>
      <c r="L247" s="9"/>
      <c r="M247" s="10"/>
      <c r="N247" s="11"/>
      <c r="O247" s="8"/>
    </row>
    <row r="248" spans="1:15" s="4" customFormat="1" ht="90.75">
      <c r="A248" s="37">
        <v>150121</v>
      </c>
      <c r="B248" s="38" t="s">
        <v>19</v>
      </c>
      <c r="C248" s="38" t="s">
        <v>30</v>
      </c>
      <c r="D248" s="39">
        <f>13422629+687428</f>
        <v>14110057</v>
      </c>
      <c r="E248" s="40">
        <f>100-(F248/D248)*100</f>
        <v>15.856992356586503</v>
      </c>
      <c r="F248" s="39">
        <f>D248-(56356.56+1000000+570604+271527.7+338942.4)</f>
        <v>11872626.34</v>
      </c>
      <c r="G248" s="39">
        <f>1677780+1205980</f>
        <v>2883760</v>
      </c>
      <c r="H248" s="12"/>
      <c r="I248" s="12"/>
      <c r="J248" s="64"/>
      <c r="K248" s="12"/>
      <c r="L248" s="12"/>
      <c r="M248" s="10"/>
      <c r="N248" s="11"/>
      <c r="O248" s="8"/>
    </row>
    <row r="249" spans="1:16" s="4" customFormat="1" ht="90.75" hidden="1">
      <c r="A249" s="37" t="s">
        <v>18</v>
      </c>
      <c r="B249" s="38" t="s">
        <v>19</v>
      </c>
      <c r="C249" s="38" t="s">
        <v>60</v>
      </c>
      <c r="D249" s="39"/>
      <c r="E249" s="40"/>
      <c r="F249" s="39"/>
      <c r="G249" s="39">
        <f>1205980-1205980</f>
        <v>0</v>
      </c>
      <c r="H249" s="9"/>
      <c r="I249" s="10"/>
      <c r="J249" s="64"/>
      <c r="K249" s="12"/>
      <c r="L249" s="12"/>
      <c r="M249" s="12"/>
      <c r="N249" s="10"/>
      <c r="O249" s="11"/>
      <c r="P249" s="8"/>
    </row>
    <row r="250" spans="1:16" s="4" customFormat="1" ht="47.25">
      <c r="A250" s="33" t="s">
        <v>249</v>
      </c>
      <c r="B250" s="34" t="s">
        <v>145</v>
      </c>
      <c r="C250" s="38"/>
      <c r="D250" s="39"/>
      <c r="E250" s="40"/>
      <c r="F250" s="39"/>
      <c r="G250" s="35">
        <f>G251</f>
        <v>7500</v>
      </c>
      <c r="H250" s="9"/>
      <c r="I250" s="10"/>
      <c r="J250" s="64"/>
      <c r="K250" s="12"/>
      <c r="L250" s="12"/>
      <c r="M250" s="12"/>
      <c r="N250" s="10"/>
      <c r="O250" s="11"/>
      <c r="P250" s="8"/>
    </row>
    <row r="251" spans="1:16" s="4" customFormat="1" ht="30.75">
      <c r="A251" s="50" t="s">
        <v>121</v>
      </c>
      <c r="B251" s="38" t="s">
        <v>148</v>
      </c>
      <c r="C251" s="38" t="s">
        <v>122</v>
      </c>
      <c r="D251" s="39"/>
      <c r="E251" s="40"/>
      <c r="F251" s="39"/>
      <c r="G251" s="39">
        <f>'[1]Місто'!$K$367</f>
        <v>7500</v>
      </c>
      <c r="H251" s="9"/>
      <c r="I251" s="10"/>
      <c r="J251" s="64"/>
      <c r="K251" s="12"/>
      <c r="L251" s="12"/>
      <c r="M251" s="12"/>
      <c r="N251" s="10"/>
      <c r="O251" s="11"/>
      <c r="P251" s="8"/>
    </row>
    <row r="252" spans="1:16" s="4" customFormat="1" ht="47.25">
      <c r="A252" s="33" t="s">
        <v>146</v>
      </c>
      <c r="B252" s="34" t="s">
        <v>145</v>
      </c>
      <c r="C252" s="34"/>
      <c r="D252" s="35"/>
      <c r="E252" s="36"/>
      <c r="F252" s="35"/>
      <c r="G252" s="35">
        <f>G253</f>
        <v>198704</v>
      </c>
      <c r="H252" s="9"/>
      <c r="I252" s="10"/>
      <c r="J252" s="64"/>
      <c r="K252" s="12"/>
      <c r="L252" s="12"/>
      <c r="M252" s="12"/>
      <c r="N252" s="10"/>
      <c r="O252" s="11"/>
      <c r="P252" s="8"/>
    </row>
    <row r="253" spans="1:16" s="4" customFormat="1" ht="90.75">
      <c r="A253" s="37">
        <v>250344</v>
      </c>
      <c r="B253" s="38" t="s">
        <v>158</v>
      </c>
      <c r="C253" s="38" t="s">
        <v>122</v>
      </c>
      <c r="D253" s="39"/>
      <c r="E253" s="40"/>
      <c r="F253" s="39"/>
      <c r="G253" s="39">
        <f>'[1]Місто'!$K$380</f>
        <v>198704</v>
      </c>
      <c r="H253" s="9"/>
      <c r="I253" s="10"/>
      <c r="J253" s="64"/>
      <c r="K253" s="12"/>
      <c r="L253" s="12"/>
      <c r="M253" s="12"/>
      <c r="N253" s="10"/>
      <c r="O253" s="11"/>
      <c r="P253" s="8"/>
    </row>
    <row r="254" spans="1:10" s="4" customFormat="1" ht="47.25">
      <c r="A254" s="41">
        <v>90</v>
      </c>
      <c r="B254" s="34" t="s">
        <v>175</v>
      </c>
      <c r="C254" s="34"/>
      <c r="D254" s="35"/>
      <c r="E254" s="36"/>
      <c r="F254" s="35"/>
      <c r="G254" s="35">
        <f>SUM(G255:G257)</f>
        <v>95253</v>
      </c>
      <c r="H254" s="61">
        <f>G257</f>
        <v>0</v>
      </c>
      <c r="I254" s="10">
        <f>'[1]Місто'!$K$386</f>
        <v>0</v>
      </c>
      <c r="J254" s="64">
        <f>I254-H254</f>
        <v>0</v>
      </c>
    </row>
    <row r="255" spans="1:10" s="4" customFormat="1" ht="30.75">
      <c r="A255" s="50" t="s">
        <v>121</v>
      </c>
      <c r="B255" s="38" t="s">
        <v>148</v>
      </c>
      <c r="C255" s="38" t="s">
        <v>122</v>
      </c>
      <c r="D255" s="39"/>
      <c r="E255" s="40"/>
      <c r="F255" s="39"/>
      <c r="G255" s="39">
        <f>'[1]Місто'!$K$383</f>
        <v>35253</v>
      </c>
      <c r="H255" s="61"/>
      <c r="I255" s="10"/>
      <c r="J255" s="64"/>
    </row>
    <row r="256" spans="1:10" s="4" customFormat="1" ht="18.75">
      <c r="A256" s="50" t="s">
        <v>143</v>
      </c>
      <c r="B256" s="51" t="s">
        <v>156</v>
      </c>
      <c r="C256" s="51" t="s">
        <v>122</v>
      </c>
      <c r="D256" s="39"/>
      <c r="E256" s="40"/>
      <c r="F256" s="39"/>
      <c r="G256" s="39">
        <f>'[1]Місто'!$K$385</f>
        <v>60000</v>
      </c>
      <c r="H256" s="12"/>
      <c r="I256" s="10"/>
      <c r="J256" s="64"/>
    </row>
    <row r="257" spans="1:10" s="4" customFormat="1" ht="45.75" hidden="1">
      <c r="A257" s="50" t="s">
        <v>183</v>
      </c>
      <c r="B257" s="51" t="s">
        <v>1</v>
      </c>
      <c r="C257" s="51" t="s">
        <v>195</v>
      </c>
      <c r="D257" s="39"/>
      <c r="E257" s="40"/>
      <c r="F257" s="39"/>
      <c r="G257" s="39">
        <f>95000-95000</f>
        <v>0</v>
      </c>
      <c r="H257" s="12"/>
      <c r="I257" s="10"/>
      <c r="J257" s="64"/>
    </row>
    <row r="258" spans="1:10" s="4" customFormat="1" ht="47.25" hidden="1">
      <c r="A258" s="41">
        <v>91</v>
      </c>
      <c r="B258" s="34" t="s">
        <v>200</v>
      </c>
      <c r="C258" s="66"/>
      <c r="D258" s="35"/>
      <c r="E258" s="36"/>
      <c r="F258" s="35"/>
      <c r="G258" s="35">
        <f>G259</f>
        <v>0</v>
      </c>
      <c r="H258" s="12"/>
      <c r="I258" s="10"/>
      <c r="J258" s="64"/>
    </row>
    <row r="259" spans="1:10" s="4" customFormat="1" ht="30.75" hidden="1">
      <c r="A259" s="37">
        <v>10116</v>
      </c>
      <c r="B259" s="38" t="s">
        <v>148</v>
      </c>
      <c r="C259" s="38" t="s">
        <v>122</v>
      </c>
      <c r="D259" s="39"/>
      <c r="E259" s="40"/>
      <c r="F259" s="39"/>
      <c r="G259" s="39">
        <f>'[1]Місто'!$K$396</f>
        <v>0</v>
      </c>
      <c r="H259" s="12"/>
      <c r="I259" s="10"/>
      <c r="J259" s="64"/>
    </row>
    <row r="260" spans="1:10" s="19" customFormat="1" ht="63">
      <c r="A260" s="41">
        <v>92</v>
      </c>
      <c r="B260" s="34" t="s">
        <v>95</v>
      </c>
      <c r="C260" s="34"/>
      <c r="D260" s="35">
        <f>SUM(D263:D268)</f>
        <v>4212384</v>
      </c>
      <c r="E260" s="36"/>
      <c r="F260" s="35">
        <f>SUM(F263:F268)</f>
        <v>4212384</v>
      </c>
      <c r="G260" s="35">
        <f>SUM(G261:G268)</f>
        <v>4291074</v>
      </c>
      <c r="H260" s="60">
        <f>G263+G268+G264+G265+G266+G267</f>
        <v>4212384</v>
      </c>
      <c r="I260" s="63">
        <f>'[1]Місто'!$K$410</f>
        <v>4212384</v>
      </c>
      <c r="J260" s="64">
        <f>I260-H260</f>
        <v>0</v>
      </c>
    </row>
    <row r="261" spans="1:10" s="19" customFormat="1" ht="30.75">
      <c r="A261" s="50" t="s">
        <v>121</v>
      </c>
      <c r="B261" s="38" t="s">
        <v>148</v>
      </c>
      <c r="C261" s="38" t="s">
        <v>122</v>
      </c>
      <c r="D261" s="39"/>
      <c r="E261" s="40"/>
      <c r="F261" s="39"/>
      <c r="G261" s="39">
        <f>'[1]Місто'!$K$407</f>
        <v>39690</v>
      </c>
      <c r="H261" s="60"/>
      <c r="I261" s="63"/>
      <c r="J261" s="64"/>
    </row>
    <row r="262" spans="1:10" s="19" customFormat="1" ht="18.75">
      <c r="A262" s="50" t="s">
        <v>143</v>
      </c>
      <c r="B262" s="51" t="s">
        <v>156</v>
      </c>
      <c r="C262" s="51" t="s">
        <v>122</v>
      </c>
      <c r="D262" s="51"/>
      <c r="E262" s="51"/>
      <c r="F262" s="51"/>
      <c r="G262" s="39">
        <f>'[1]Місто'!$K$409</f>
        <v>39000</v>
      </c>
      <c r="H262" s="24"/>
      <c r="I262" s="7"/>
      <c r="J262" s="64"/>
    </row>
    <row r="263" spans="1:10" s="4" customFormat="1" ht="45.75">
      <c r="A263" s="37">
        <v>150101</v>
      </c>
      <c r="B263" s="38" t="s">
        <v>1</v>
      </c>
      <c r="C263" s="38" t="s">
        <v>115</v>
      </c>
      <c r="D263" s="39">
        <v>336698</v>
      </c>
      <c r="E263" s="40">
        <f aca="true" t="shared" si="6" ref="E263:E268">100-(F263/D263)*100</f>
        <v>0</v>
      </c>
      <c r="F263" s="39">
        <f>D263-0</f>
        <v>336698</v>
      </c>
      <c r="G263" s="39">
        <v>336698</v>
      </c>
      <c r="H263" s="12"/>
      <c r="I263" s="11"/>
      <c r="J263" s="64"/>
    </row>
    <row r="264" spans="1:10" s="4" customFormat="1" ht="75.75">
      <c r="A264" s="37">
        <v>150101</v>
      </c>
      <c r="B264" s="38" t="s">
        <v>1</v>
      </c>
      <c r="C264" s="38" t="s">
        <v>238</v>
      </c>
      <c r="D264" s="39">
        <v>1000000</v>
      </c>
      <c r="E264" s="40">
        <f t="shared" si="6"/>
        <v>0</v>
      </c>
      <c r="F264" s="39">
        <v>1000000</v>
      </c>
      <c r="G264" s="39">
        <v>1000000</v>
      </c>
      <c r="H264" s="12"/>
      <c r="I264" s="11"/>
      <c r="J264" s="64"/>
    </row>
    <row r="265" spans="1:10" s="4" customFormat="1" ht="60.75">
      <c r="A265" s="37">
        <v>150101</v>
      </c>
      <c r="B265" s="38" t="s">
        <v>1</v>
      </c>
      <c r="C265" s="38" t="s">
        <v>232</v>
      </c>
      <c r="D265" s="39">
        <v>1000000</v>
      </c>
      <c r="E265" s="40">
        <f t="shared" si="6"/>
        <v>0</v>
      </c>
      <c r="F265" s="39">
        <v>1000000</v>
      </c>
      <c r="G265" s="39">
        <v>1000000</v>
      </c>
      <c r="H265" s="12"/>
      <c r="I265" s="11"/>
      <c r="J265" s="64"/>
    </row>
    <row r="266" spans="1:10" s="4" customFormat="1" ht="60.75">
      <c r="A266" s="37">
        <v>150101</v>
      </c>
      <c r="B266" s="38" t="s">
        <v>1</v>
      </c>
      <c r="C266" s="38" t="s">
        <v>233</v>
      </c>
      <c r="D266" s="39">
        <f>1000000-264</f>
        <v>999736</v>
      </c>
      <c r="E266" s="40">
        <f t="shared" si="6"/>
        <v>0</v>
      </c>
      <c r="F266" s="39">
        <f>1000000-264</f>
        <v>999736</v>
      </c>
      <c r="G266" s="39">
        <f>1000000-264</f>
        <v>999736</v>
      </c>
      <c r="H266" s="12"/>
      <c r="I266" s="11"/>
      <c r="J266" s="64"/>
    </row>
    <row r="267" spans="1:10" s="4" customFormat="1" ht="60.75">
      <c r="A267" s="37">
        <v>150101</v>
      </c>
      <c r="B267" s="38" t="s">
        <v>1</v>
      </c>
      <c r="C267" s="38" t="s">
        <v>237</v>
      </c>
      <c r="D267" s="39">
        <f>1000000-124050</f>
        <v>875950</v>
      </c>
      <c r="E267" s="40">
        <f t="shared" si="6"/>
        <v>0</v>
      </c>
      <c r="F267" s="39">
        <f>1000000-124050</f>
        <v>875950</v>
      </c>
      <c r="G267" s="39">
        <f>1000000-124050</f>
        <v>875950</v>
      </c>
      <c r="H267" s="12"/>
      <c r="I267" s="11"/>
      <c r="J267" s="64"/>
    </row>
    <row r="268" spans="1:10" s="4" customFormat="1" ht="30.75" hidden="1">
      <c r="A268" s="37">
        <v>150101</v>
      </c>
      <c r="B268" s="38" t="s">
        <v>1</v>
      </c>
      <c r="C268" s="38" t="s">
        <v>173</v>
      </c>
      <c r="D268" s="39"/>
      <c r="E268" s="40" t="e">
        <f t="shared" si="6"/>
        <v>#DIV/0!</v>
      </c>
      <c r="F268" s="39">
        <f>D268-0</f>
        <v>0</v>
      </c>
      <c r="G268" s="39">
        <f>6375769-6375769</f>
        <v>0</v>
      </c>
      <c r="H268" s="12"/>
      <c r="I268" s="10"/>
      <c r="J268" s="64"/>
    </row>
    <row r="269" spans="1:10" s="19" customFormat="1" ht="47.25">
      <c r="A269" s="41">
        <v>93</v>
      </c>
      <c r="B269" s="34" t="s">
        <v>94</v>
      </c>
      <c r="C269" s="34"/>
      <c r="D269" s="35">
        <f>SUM(D272:D274)</f>
        <v>4408734</v>
      </c>
      <c r="E269" s="36"/>
      <c r="F269" s="35">
        <f>SUM(F272:F274)</f>
        <v>4408734</v>
      </c>
      <c r="G269" s="35">
        <f>SUM(G270:G274)</f>
        <v>1294945</v>
      </c>
      <c r="H269" s="60">
        <f>G272+G274+G273</f>
        <v>1272945</v>
      </c>
      <c r="I269" s="63">
        <f>'[1]Місто'!$K$423</f>
        <v>1272945</v>
      </c>
      <c r="J269" s="64">
        <f>I269-H269</f>
        <v>0</v>
      </c>
    </row>
    <row r="270" spans="1:10" s="19" customFormat="1" ht="30.75">
      <c r="A270" s="50" t="s">
        <v>121</v>
      </c>
      <c r="B270" s="38" t="s">
        <v>148</v>
      </c>
      <c r="C270" s="38" t="s">
        <v>122</v>
      </c>
      <c r="D270" s="39"/>
      <c r="E270" s="40"/>
      <c r="F270" s="39"/>
      <c r="G270" s="39">
        <f>'[1]Місто'!$K$420</f>
        <v>9000</v>
      </c>
      <c r="H270" s="60"/>
      <c r="I270" s="63"/>
      <c r="J270" s="64"/>
    </row>
    <row r="271" spans="1:10" s="19" customFormat="1" ht="18.75">
      <c r="A271" s="50" t="s">
        <v>143</v>
      </c>
      <c r="B271" s="51" t="s">
        <v>156</v>
      </c>
      <c r="C271" s="51" t="s">
        <v>122</v>
      </c>
      <c r="D271" s="51"/>
      <c r="E271" s="51"/>
      <c r="F271" s="51"/>
      <c r="G271" s="39">
        <f>'[1]Місто'!$K$422</f>
        <v>13000</v>
      </c>
      <c r="H271" s="24"/>
      <c r="I271" s="7"/>
      <c r="J271" s="64"/>
    </row>
    <row r="272" spans="1:10" s="4" customFormat="1" ht="37.5" customHeight="1">
      <c r="A272" s="37">
        <v>150101</v>
      </c>
      <c r="B272" s="38" t="s">
        <v>1</v>
      </c>
      <c r="C272" s="38" t="s">
        <v>113</v>
      </c>
      <c r="D272" s="39">
        <v>3333606</v>
      </c>
      <c r="E272" s="40">
        <f>100-(F272/D272)*100</f>
        <v>0</v>
      </c>
      <c r="F272" s="39">
        <f>D272-0</f>
        <v>3333606</v>
      </c>
      <c r="G272" s="39">
        <f>7428098-78810-5349288-1802183</f>
        <v>197817</v>
      </c>
      <c r="H272" s="12"/>
      <c r="I272" s="10"/>
      <c r="J272" s="64"/>
    </row>
    <row r="273" spans="1:10" s="4" customFormat="1" ht="37.5" customHeight="1">
      <c r="A273" s="37">
        <v>150101</v>
      </c>
      <c r="B273" s="38" t="s">
        <v>1</v>
      </c>
      <c r="C273" s="38" t="s">
        <v>211</v>
      </c>
      <c r="D273" s="39">
        <v>78810</v>
      </c>
      <c r="E273" s="40"/>
      <c r="F273" s="39">
        <v>78810</v>
      </c>
      <c r="G273" s="39">
        <v>78810</v>
      </c>
      <c r="H273" s="12"/>
      <c r="I273" s="10"/>
      <c r="J273" s="64"/>
    </row>
    <row r="274" spans="1:10" s="4" customFormat="1" ht="45.75">
      <c r="A274" s="37">
        <v>150101</v>
      </c>
      <c r="B274" s="38" t="s">
        <v>1</v>
      </c>
      <c r="C274" s="38" t="s">
        <v>174</v>
      </c>
      <c r="D274" s="39">
        <v>996318</v>
      </c>
      <c r="E274" s="40">
        <f>100-(F274/D274)*100</f>
        <v>0</v>
      </c>
      <c r="F274" s="39">
        <v>996318</v>
      </c>
      <c r="G274" s="39">
        <f>996660-342</f>
        <v>996318</v>
      </c>
      <c r="H274" s="12"/>
      <c r="I274" s="10"/>
      <c r="J274" s="64"/>
    </row>
    <row r="275" spans="1:10" s="4" customFormat="1" ht="47.25">
      <c r="A275" s="41">
        <v>94</v>
      </c>
      <c r="B275" s="34" t="s">
        <v>199</v>
      </c>
      <c r="C275" s="34"/>
      <c r="D275" s="35"/>
      <c r="E275" s="36"/>
      <c r="F275" s="35"/>
      <c r="G275" s="35">
        <f>G276</f>
        <v>30915</v>
      </c>
      <c r="H275" s="12"/>
      <c r="I275" s="10"/>
      <c r="J275" s="64"/>
    </row>
    <row r="276" spans="1:10" s="4" customFormat="1" ht="30.75">
      <c r="A276" s="50" t="s">
        <v>121</v>
      </c>
      <c r="B276" s="38" t="s">
        <v>148</v>
      </c>
      <c r="C276" s="38" t="s">
        <v>122</v>
      </c>
      <c r="D276" s="39"/>
      <c r="E276" s="40"/>
      <c r="F276" s="39"/>
      <c r="G276" s="39">
        <f>'[1]Місто'!$K$433</f>
        <v>30915</v>
      </c>
      <c r="H276" s="12"/>
      <c r="I276" s="10"/>
      <c r="J276" s="64"/>
    </row>
    <row r="277" spans="1:10" s="4" customFormat="1" ht="47.25">
      <c r="A277" s="41">
        <v>95</v>
      </c>
      <c r="B277" s="34" t="s">
        <v>144</v>
      </c>
      <c r="C277" s="34"/>
      <c r="D277" s="35">
        <f>D278+D279+D280</f>
        <v>552000</v>
      </c>
      <c r="E277" s="35">
        <f>E278+E279+E280</f>
        <v>0</v>
      </c>
      <c r="F277" s="35">
        <f>F278+F279+F280</f>
        <v>552000</v>
      </c>
      <c r="G277" s="35">
        <f>G278+G279+G280</f>
        <v>602896</v>
      </c>
      <c r="H277" s="12"/>
      <c r="I277" s="10"/>
      <c r="J277" s="64"/>
    </row>
    <row r="278" spans="1:10" s="4" customFormat="1" ht="30.75">
      <c r="A278" s="50" t="s">
        <v>121</v>
      </c>
      <c r="B278" s="38" t="s">
        <v>148</v>
      </c>
      <c r="C278" s="38" t="s">
        <v>122</v>
      </c>
      <c r="D278" s="39"/>
      <c r="E278" s="40"/>
      <c r="F278" s="39"/>
      <c r="G278" s="39">
        <f>'[1]Місто'!$K$445</f>
        <v>7896</v>
      </c>
      <c r="H278" s="12"/>
      <c r="I278" s="10"/>
      <c r="J278" s="64"/>
    </row>
    <row r="279" spans="1:10" s="4" customFormat="1" ht="18.75">
      <c r="A279" s="50" t="s">
        <v>143</v>
      </c>
      <c r="B279" s="51" t="s">
        <v>156</v>
      </c>
      <c r="C279" s="51" t="s">
        <v>122</v>
      </c>
      <c r="D279" s="51"/>
      <c r="E279" s="51"/>
      <c r="F279" s="51"/>
      <c r="G279" s="39">
        <f>'[1]Місто'!$K$447</f>
        <v>43000</v>
      </c>
      <c r="H279" s="12"/>
      <c r="I279" s="10"/>
      <c r="J279" s="64"/>
    </row>
    <row r="280" spans="1:10" s="4" customFormat="1" ht="60.75">
      <c r="A280" s="50" t="s">
        <v>183</v>
      </c>
      <c r="B280" s="51" t="s">
        <v>1</v>
      </c>
      <c r="C280" s="51" t="s">
        <v>245</v>
      </c>
      <c r="D280" s="71">
        <f>92000+460000</f>
        <v>552000</v>
      </c>
      <c r="E280" s="67"/>
      <c r="F280" s="71">
        <f>92000+460000</f>
        <v>552000</v>
      </c>
      <c r="G280" s="39">
        <f>92000+460000</f>
        <v>552000</v>
      </c>
      <c r="H280" s="12"/>
      <c r="I280" s="10"/>
      <c r="J280" s="64"/>
    </row>
    <row r="281" spans="1:10" s="4" customFormat="1" ht="47.25">
      <c r="A281" s="41">
        <v>96</v>
      </c>
      <c r="B281" s="34" t="s">
        <v>181</v>
      </c>
      <c r="C281" s="34"/>
      <c r="D281" s="35">
        <f>SUM(D286:D287)</f>
        <v>0</v>
      </c>
      <c r="E281" s="36"/>
      <c r="F281" s="35">
        <f>SUM(F286:F287)</f>
        <v>0</v>
      </c>
      <c r="G281" s="35">
        <f>SUM(G282:G283)</f>
        <v>223187</v>
      </c>
      <c r="H281" s="12"/>
      <c r="I281" s="10"/>
      <c r="J281" s="64"/>
    </row>
    <row r="282" spans="1:10" s="4" customFormat="1" ht="28.5" customHeight="1">
      <c r="A282" s="50" t="s">
        <v>121</v>
      </c>
      <c r="B282" s="38" t="s">
        <v>148</v>
      </c>
      <c r="C282" s="38" t="s">
        <v>122</v>
      </c>
      <c r="D282" s="39"/>
      <c r="E282" s="40"/>
      <c r="F282" s="39"/>
      <c r="G282" s="39">
        <f>'[1]Місто'!$K$459</f>
        <v>183187</v>
      </c>
      <c r="H282" s="12"/>
      <c r="I282" s="10"/>
      <c r="J282" s="64"/>
    </row>
    <row r="283" spans="1:10" s="4" customFormat="1" ht="21" customHeight="1">
      <c r="A283" s="50" t="s">
        <v>142</v>
      </c>
      <c r="B283" s="51" t="s">
        <v>155</v>
      </c>
      <c r="C283" s="51" t="s">
        <v>122</v>
      </c>
      <c r="D283" s="51"/>
      <c r="E283" s="51"/>
      <c r="F283" s="51"/>
      <c r="G283" s="39">
        <f>'[1]Місто'!$K$468</f>
        <v>40000</v>
      </c>
      <c r="H283" s="12"/>
      <c r="I283" s="10"/>
      <c r="J283" s="64"/>
    </row>
    <row r="284" spans="1:10" s="19" customFormat="1" ht="18.75">
      <c r="A284" s="41"/>
      <c r="B284" s="34" t="s">
        <v>120</v>
      </c>
      <c r="C284" s="34"/>
      <c r="D284" s="35">
        <f>D234+D141+D96+D17+D46+D73+D85+D12+D269+D260+D226+D277+D281</f>
        <v>447499122</v>
      </c>
      <c r="E284" s="35">
        <f>E234+E141+E96+E17+E46+E73+E85+E12+E269+E260+E226+E277+E281</f>
        <v>0</v>
      </c>
      <c r="F284" s="35">
        <f>F234+F141+F96+F17+F46+F73+F85+F12+F269+F260+F226+F277+F281</f>
        <v>358936695.77000004</v>
      </c>
      <c r="G284" s="35">
        <f>G234+G141+G96+G17+G46+G73+G85+G12+G269+G260+G226+G277+G281+G81+G83+G92+G252+G254+G258+G275+G232+G224+G94+G250</f>
        <v>176489660</v>
      </c>
      <c r="H284" s="52">
        <f>'[1]Місто'!$K$469</f>
        <v>176489660</v>
      </c>
      <c r="I284" s="53">
        <f>H284-G284</f>
        <v>0</v>
      </c>
      <c r="J284" s="64"/>
    </row>
    <row r="285" spans="1:10" s="4" customFormat="1" ht="12" customHeight="1">
      <c r="A285" s="42"/>
      <c r="B285" s="43"/>
      <c r="C285" s="43"/>
      <c r="D285" s="44"/>
      <c r="E285" s="45"/>
      <c r="F285" s="44"/>
      <c r="G285" s="44"/>
      <c r="I285" s="21"/>
      <c r="J285" s="64"/>
    </row>
    <row r="286" spans="2:10" s="26" customFormat="1" ht="22.5" customHeight="1">
      <c r="B286" s="82" t="s">
        <v>212</v>
      </c>
      <c r="C286" s="82"/>
      <c r="D286" s="68"/>
      <c r="E286" s="69"/>
      <c r="F286" s="70" t="s">
        <v>213</v>
      </c>
      <c r="H286" s="25"/>
      <c r="I286" s="25"/>
      <c r="J286" s="64"/>
    </row>
    <row r="287" spans="1:10" ht="15.75">
      <c r="A287" s="46"/>
      <c r="B287" s="47"/>
      <c r="C287" s="47"/>
      <c r="D287" s="48"/>
      <c r="E287" s="49"/>
      <c r="F287" s="48"/>
      <c r="G287" s="48"/>
      <c r="J287" s="64"/>
    </row>
    <row r="288" spans="8:10" ht="15">
      <c r="H288" s="62">
        <f>H12+H17+H46+H73+H85+H96+H141+H234+H260+H269+H254</f>
        <v>91091118</v>
      </c>
      <c r="I288" s="64">
        <f>I12+I17+I46+I73+I85+I96+I141+I234+I260+I254+I269</f>
        <v>91091118</v>
      </c>
      <c r="J288" s="64">
        <f>I288-H288</f>
        <v>0</v>
      </c>
    </row>
    <row r="290" ht="15">
      <c r="G290" s="30"/>
    </row>
  </sheetData>
  <sheetProtection/>
  <mergeCells count="7">
    <mergeCell ref="B286:C286"/>
    <mergeCell ref="A6:G6"/>
    <mergeCell ref="C9:C10"/>
    <mergeCell ref="D9:D10"/>
    <mergeCell ref="E9:E10"/>
    <mergeCell ref="F9:F10"/>
    <mergeCell ref="G9:G10"/>
  </mergeCells>
  <printOptions/>
  <pageMargins left="0.7086614173228347" right="0.6" top="0.7480314960629921" bottom="0.48" header="0.31496062992125984" footer="0.44"/>
  <pageSetup fitToHeight="35" fitToWidth="1" horizontalDpi="600" verticalDpi="600" orientation="landscape" paperSize="9" scale="7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2012-10-31T09:51:36Z</cp:lastPrinted>
  <dcterms:created xsi:type="dcterms:W3CDTF">2006-09-28T05:33:49Z</dcterms:created>
  <dcterms:modified xsi:type="dcterms:W3CDTF">2012-11-08T12:04:00Z</dcterms:modified>
  <cp:category/>
  <cp:version/>
  <cp:contentType/>
  <cp:contentStatus/>
</cp:coreProperties>
</file>