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'Місто'!$A$1:$M$474</definedName>
  </definedNames>
  <calcPr fullCalcOnLoad="1"/>
</workbook>
</file>

<file path=xl/sharedStrings.xml><?xml version="1.0" encoding="utf-8"?>
<sst xmlns="http://schemas.openxmlformats.org/spreadsheetml/2006/main" count="821" uniqueCount="370">
  <si>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</si>
  <si>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</si>
  <si>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</si>
  <si>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</si>
  <si>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</si>
  <si>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</si>
  <si>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</si>
  <si>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</si>
  <si>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</si>
  <si>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</si>
  <si>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</si>
  <si>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</si>
  <si>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</si>
  <si>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</si>
  <si>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</si>
  <si>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</si>
  <si>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</si>
  <si>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</si>
  <si>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</si>
  <si>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</si>
  <si>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</si>
  <si>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</si>
  <si>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</si>
  <si>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</si>
  <si>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</si>
  <si>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</si>
  <si>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</si>
  <si>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</si>
  <si>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</si>
  <si>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</si>
  <si>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</si>
  <si>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</si>
  <si>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</si>
  <si>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</si>
  <si>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</si>
  <si>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</si>
  <si>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</si>
  <si>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</si>
  <si>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</si>
  <si>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</si>
  <si>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</si>
  <si>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</si>
  <si>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</si>
  <si>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</si>
  <si>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</si>
  <si>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</si>
  <si>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</si>
  <si>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</si>
  <si>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</si>
  <si>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</si>
  <si>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</si>
  <si>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</si>
  <si>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</si>
  <si>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</si>
  <si>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</si>
  <si>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</si>
  <si>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</si>
  <si>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</si>
  <si>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</si>
  <si>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</si>
  <si>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</si>
  <si>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</si>
  <si>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</si>
  <si>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</si>
  <si>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</si>
  <si>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</si>
  <si>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</si>
  <si>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</si>
  <si>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</si>
  <si>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</si>
  <si>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</si>
  <si>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</si>
  <si>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</si>
  <si>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</si>
  <si>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</si>
  <si>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</si>
  <si>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</si>
  <si>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</si>
  <si>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</si>
  <si>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</si>
  <si>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</si>
  <si>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</si>
  <si>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</si>
  <si>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</si>
  <si>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</si>
  <si>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</si>
  <si>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</si>
  <si>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</si>
  <si>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</si>
  <si>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</si>
  <si>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</si>
  <si>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</si>
  <si>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</si>
  <si>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</si>
  <si>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</si>
  <si>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</si>
  <si>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</si>
  <si>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</si>
  <si>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</si>
  <si>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</si>
  <si>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</si>
  <si>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</si>
  <si>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</si>
  <si>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</si>
  <si>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</si>
  <si>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</si>
  <si>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</si>
  <si>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</si>
  <si>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</si>
  <si>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</si>
  <si>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</si>
  <si>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</si>
  <si>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</si>
  <si>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</si>
  <si>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</si>
  <si>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</si>
  <si>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</si>
  <si>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</si>
  <si>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</si>
  <si>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</si>
  <si>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</si>
  <si>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</si>
  <si>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</si>
  <si>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</si>
  <si>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</si>
  <si>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</si>
  <si>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</si>
  <si>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</si>
  <si>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</si>
  <si>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</si>
  <si>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</si>
  <si>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</si>
  <si>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</si>
  <si>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</si>
  <si>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</si>
  <si>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</si>
  <si>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</si>
  <si>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</si>
  <si>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</si>
  <si>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</si>
  <si>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</si>
  <si>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</si>
  <si>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</si>
  <si>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</si>
  <si>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</si>
  <si>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</si>
  <si>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</si>
  <si>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</si>
  <si>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</si>
  <si>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</si>
  <si>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</si>
  <si>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</si>
  <si>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</si>
  <si>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</si>
  <si>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</si>
  <si>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</si>
  <si>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</si>
  <si>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</si>
  <si>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</si>
  <si>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</si>
  <si>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</si>
  <si>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</si>
  <si>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</si>
  <si>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</si>
  <si>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</si>
  <si>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</si>
  <si>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</si>
  <si>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</si>
  <si>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</si>
  <si>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</si>
  <si>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</si>
  <si>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</si>
  <si>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</si>
  <si>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</si>
  <si>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</si>
  <si>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</si>
  <si>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</si>
  <si>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</si>
  <si>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</si>
  <si>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</si>
  <si>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</si>
  <si>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</si>
  <si>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</si>
  <si>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</si>
  <si>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</si>
  <si>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</si>
  <si>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</si>
  <si>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</si>
  <si>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</si>
  <si>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</si>
  <si>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</si>
  <si>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</si>
  <si>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</si>
  <si>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</si>
  <si>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</si>
  <si>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</si>
  <si>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</si>
  <si>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</si>
  <si>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</si>
  <si>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</si>
  <si>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</si>
  <si>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</si>
  <si>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</si>
  <si>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</si>
  <si>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</si>
  <si>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</si>
  <si>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</si>
  <si>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</si>
  <si>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</si>
  <si>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</si>
  <si>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</si>
  <si>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</si>
  <si>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</si>
  <si>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</si>
  <si>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</si>
  <si>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</si>
  <si>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</si>
  <si>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</si>
  <si>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</si>
  <si>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</si>
  <si>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</si>
  <si>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</si>
  <si>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</si>
  <si>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</si>
  <si>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</si>
  <si>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</si>
  <si>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</si>
  <si>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</si>
  <si>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</si>
  <si>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</si>
  <si>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</si>
  <si>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</si>
  <si>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</si>
  <si>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</si>
  <si>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</si>
  <si>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</si>
  <si>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</si>
  <si>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</si>
  <si>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</si>
  <si>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</si>
  <si>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</si>
  <si>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</si>
  <si>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</si>
  <si>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</si>
  <si>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</si>
  <si>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</si>
  <si>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</si>
  <si>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</si>
  <si>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</si>
  <si>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</si>
  <si>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</si>
  <si>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</si>
  <si>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</si>
  <si>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</si>
  <si>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</si>
  <si>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</si>
  <si>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</si>
  <si>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</si>
  <si>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</si>
  <si>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</si>
  <si>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</si>
  <si>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</si>
  <si>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</si>
  <si>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</si>
  <si>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</si>
  <si>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</si>
  <si>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</si>
  <si>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</si>
  <si>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</si>
  <si>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</si>
  <si>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</si>
  <si>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</si>
  <si>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</si>
  <si>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</si>
  <si>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</si>
  <si>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</si>
  <si>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</si>
  <si>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</si>
  <si>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</si>
  <si>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</si>
  <si>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</si>
  <si>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</si>
  <si>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</si>
  <si>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</si>
  <si>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</si>
  <si>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</si>
  <si>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</si>
  <si>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</si>
  <si>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</si>
  <si>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</si>
  <si>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</si>
  <si>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</si>
  <si>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</si>
  <si>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</si>
  <si>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</si>
  <si>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</si>
  <si>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</si>
  <si>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</si>
  <si>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</si>
  <si>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</si>
  <si>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</si>
  <si>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</si>
  <si>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</si>
  <si>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</si>
  <si>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</si>
  <si>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</si>
  <si>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</si>
  <si>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</si>
  <si>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</si>
  <si>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</si>
  <si>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</si>
  <si>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</si>
  <si>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</si>
  <si>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</si>
  <si>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</si>
  <si>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</si>
  <si>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</si>
  <si>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</si>
  <si>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</si>
  <si>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</si>
  <si>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</si>
  <si>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</si>
  <si>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</si>
  <si>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</si>
  <si>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</si>
  <si>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</si>
  <si>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</si>
  <si>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</si>
  <si>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</si>
  <si>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</si>
  <si>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</si>
  <si>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</si>
  <si>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</si>
  <si>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</si>
  <si>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</si>
  <si>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</si>
  <si>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</si>
  <si>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</si>
  <si>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</si>
  <si>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</si>
  <si>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</si>
  <si>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</si>
  <si>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</si>
  <si>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</si>
  <si>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</si>
  <si>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</si>
  <si>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</si>
  <si>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</si>
  <si>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</si>
  <si>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</si>
  <si>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</si>
  <si>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</si>
  <si>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</si>
  <si>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</si>
  <si>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</si>
  <si>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</si>
  <si>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</si>
  <si>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</si>
  <si>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</si>
  <si>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</si>
  <si>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</si>
  <si>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</si>
  <si>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Програма надання фінансової підтримки комунальному підприємству "Управління капітального будівництва"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</si>
  <si>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</si>
  <si>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</si>
  <si>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</si>
  <si>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</si>
  <si>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</si>
  <si>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</si>
  <si>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Виплата винагороди учасникам конкурсу на кращий проект памятника О.Поляку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</si>
</sst>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8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0" fontId="9" fillId="0" borderId="10" xfId="0" applyFont="1" applyBorder="1" applyAlignment="1">
      <alignment wrapText="1"/>
    </xf>
    <xf numFmtId="1" fontId="0" fillId="0" borderId="10" xfId="0" applyNumberFormat="1" applyFont="1" applyFill="1" applyBorder="1" applyAlignment="1">
      <alignment horizontal="right"/>
    </xf>
    <xf numFmtId="2" fontId="0" fillId="0" borderId="10" xfId="0" applyNumberFormat="1" applyFont="1" applyFill="1" applyBorder="1" applyAlignment="1">
      <alignment horizontal="righ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22" borderId="10" xfId="0" applyNumberFormat="1" applyFont="1" applyFill="1" applyBorder="1" applyAlignment="1">
      <alignment horizontal="right"/>
    </xf>
    <xf numFmtId="2" fontId="0" fillId="22" borderId="10" xfId="0" applyNumberFormat="1" applyFont="1" applyFill="1" applyBorder="1" applyAlignment="1">
      <alignment/>
    </xf>
    <xf numFmtId="2" fontId="0" fillId="22" borderId="10" xfId="0" applyNumberFormat="1" applyFont="1" applyFill="1" applyBorder="1" applyAlignment="1">
      <alignment horizontal="right"/>
    </xf>
    <xf numFmtId="2" fontId="0" fillId="22" borderId="10" xfId="0" applyNumberFormat="1" applyFont="1" applyFill="1" applyBorder="1" applyAlignment="1">
      <alignmen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5" xfId="0" applyFont="1" applyBorder="1" applyAlignment="1">
      <alignment horizontal="center" vertical="center" wrapText="1"/>
    </xf>
    <xf numFmtId="0" fontId="0" fillId="0" borderId="21"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480"/>
  <sheetViews>
    <sheetView showZeros="0" tabSelected="1" view="pageBreakPreview" zoomScale="75" zoomScaleNormal="75" zoomScaleSheetLayoutView="75" zoomScalePageLayoutView="0" workbookViewId="0" topLeftCell="A4">
      <pane xSplit="2" ySplit="6" topLeftCell="C316" activePane="bottomRight" state="frozen"/>
      <selection pane="topLeft" activeCell="A4" sqref="A4"/>
      <selection pane="topRight" activeCell="C4" sqref="C4"/>
      <selection pane="bottomLeft" activeCell="A10" sqref="A10"/>
      <selection pane="bottomRight" activeCell="C325" sqref="C325"/>
    </sheetView>
  </sheetViews>
  <sheetFormatPr defaultColWidth="9.00390625" defaultRowHeight="12.75"/>
  <cols>
    <col min="1" max="1" width="9.625" style="65"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72"/>
      <c r="G1" s="172"/>
      <c r="H1" s="48"/>
      <c r="I1" s="48"/>
      <c r="J1" s="173" t="s">
        <v>83</v>
      </c>
      <c r="K1" s="173"/>
      <c r="L1" s="173"/>
      <c r="M1" s="173"/>
    </row>
    <row r="2" spans="1:13" ht="26.25">
      <c r="A2" s="47"/>
      <c r="B2" s="48"/>
      <c r="C2" s="48"/>
      <c r="D2" s="48"/>
      <c r="E2" s="48"/>
      <c r="F2" s="172"/>
      <c r="G2" s="172"/>
      <c r="H2" s="48"/>
      <c r="I2" s="48"/>
      <c r="J2" s="173" t="s">
        <v>124</v>
      </c>
      <c r="K2" s="173"/>
      <c r="L2" s="173"/>
      <c r="M2" s="173"/>
    </row>
    <row r="3" spans="1:13" ht="30" customHeight="1">
      <c r="A3" s="47"/>
      <c r="B3" s="48"/>
      <c r="C3" s="48"/>
      <c r="D3" s="48"/>
      <c r="E3" s="48"/>
      <c r="F3" s="172"/>
      <c r="G3" s="172"/>
      <c r="H3" s="48"/>
      <c r="I3" s="48"/>
      <c r="J3" s="174" t="s">
        <v>237</v>
      </c>
      <c r="K3" s="174"/>
      <c r="L3" s="174"/>
      <c r="M3" s="174"/>
    </row>
    <row r="4" spans="1:13" ht="32.25" customHeight="1">
      <c r="A4" s="175" t="s">
        <v>306</v>
      </c>
      <c r="B4" s="176"/>
      <c r="C4" s="176"/>
      <c r="D4" s="176"/>
      <c r="E4" s="176"/>
      <c r="F4" s="176"/>
      <c r="G4" s="176"/>
      <c r="H4" s="176"/>
      <c r="I4" s="176"/>
      <c r="J4" s="176"/>
      <c r="K4" s="176"/>
      <c r="L4" s="176"/>
      <c r="M4" s="177"/>
    </row>
    <row r="5" spans="1:13" ht="14.25" customHeight="1">
      <c r="A5" s="49"/>
      <c r="B5" s="50"/>
      <c r="C5" s="33"/>
      <c r="D5" s="33"/>
      <c r="E5" s="33"/>
      <c r="F5" s="33"/>
      <c r="G5" s="33"/>
      <c r="H5" s="33"/>
      <c r="I5" s="34"/>
      <c r="J5" s="34"/>
      <c r="K5" s="179" t="s">
        <v>205</v>
      </c>
      <c r="L5" s="179"/>
      <c r="M5" s="179"/>
    </row>
    <row r="6" spans="1:13" ht="51.75" customHeight="1">
      <c r="A6" s="96" t="s">
        <v>78</v>
      </c>
      <c r="B6" s="51" t="s">
        <v>144</v>
      </c>
      <c r="C6" s="178" t="s">
        <v>18</v>
      </c>
      <c r="D6" s="178"/>
      <c r="E6" s="178"/>
      <c r="F6" s="164" t="s">
        <v>19</v>
      </c>
      <c r="G6" s="181"/>
      <c r="H6" s="181"/>
      <c r="I6" s="181"/>
      <c r="J6" s="181"/>
      <c r="K6" s="181"/>
      <c r="L6" s="165"/>
      <c r="M6" s="169" t="s">
        <v>74</v>
      </c>
    </row>
    <row r="7" spans="1:13" ht="12.75" customHeight="1">
      <c r="A7" s="161" t="s">
        <v>79</v>
      </c>
      <c r="B7" s="166" t="s">
        <v>80</v>
      </c>
      <c r="C7" s="169" t="s">
        <v>20</v>
      </c>
      <c r="D7" s="164" t="s">
        <v>146</v>
      </c>
      <c r="E7" s="165"/>
      <c r="F7" s="169" t="s">
        <v>20</v>
      </c>
      <c r="G7" s="159" t="s">
        <v>145</v>
      </c>
      <c r="H7" s="164" t="s">
        <v>146</v>
      </c>
      <c r="I7" s="165"/>
      <c r="J7" s="159" t="s">
        <v>149</v>
      </c>
      <c r="K7" s="182" t="s">
        <v>146</v>
      </c>
      <c r="L7" s="183"/>
      <c r="M7" s="170"/>
    </row>
    <row r="8" spans="1:13" ht="12.75">
      <c r="A8" s="162"/>
      <c r="B8" s="167"/>
      <c r="C8" s="170"/>
      <c r="D8" s="159" t="s">
        <v>147</v>
      </c>
      <c r="E8" s="159" t="s">
        <v>148</v>
      </c>
      <c r="F8" s="170"/>
      <c r="G8" s="180"/>
      <c r="H8" s="159" t="s">
        <v>147</v>
      </c>
      <c r="I8" s="159" t="s">
        <v>148</v>
      </c>
      <c r="J8" s="180"/>
      <c r="K8" s="167" t="s">
        <v>235</v>
      </c>
      <c r="L8" s="101" t="s">
        <v>146</v>
      </c>
      <c r="M8" s="170"/>
    </row>
    <row r="9" spans="1:13" ht="73.5" customHeight="1">
      <c r="A9" s="163"/>
      <c r="B9" s="168"/>
      <c r="C9" s="171"/>
      <c r="D9" s="160"/>
      <c r="E9" s="160"/>
      <c r="F9" s="171"/>
      <c r="G9" s="160"/>
      <c r="H9" s="160"/>
      <c r="I9" s="160"/>
      <c r="J9" s="160"/>
      <c r="K9" s="168"/>
      <c r="L9" s="97" t="s">
        <v>236</v>
      </c>
      <c r="M9" s="171"/>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8" customFormat="1" ht="25.5">
      <c r="A11" s="111" t="s">
        <v>311</v>
      </c>
      <c r="B11" s="123" t="s">
        <v>294</v>
      </c>
      <c r="C11" s="55">
        <f>C12+C15+C18+C26+C28+C24</f>
        <v>17045741</v>
      </c>
      <c r="D11" s="55">
        <f>D12+D15+D18+D26+D28+D24</f>
        <v>7596549</v>
      </c>
      <c r="E11" s="55">
        <f>E12+E15+E18+E26+E28+E24</f>
        <v>1488205</v>
      </c>
      <c r="F11" s="55">
        <f>G11+J11</f>
        <v>4025047</v>
      </c>
      <c r="G11" s="55">
        <f aca="true" t="shared" si="0" ref="G11:L11">G12+G15+G18+G26+G28+G24</f>
        <v>305786</v>
      </c>
      <c r="H11" s="55">
        <f t="shared" si="0"/>
        <v>0</v>
      </c>
      <c r="I11" s="55">
        <f t="shared" si="0"/>
        <v>0</v>
      </c>
      <c r="J11" s="55">
        <f t="shared" si="0"/>
        <v>3719261</v>
      </c>
      <c r="K11" s="55">
        <f t="shared" si="0"/>
        <v>3583861</v>
      </c>
      <c r="L11" s="55">
        <f t="shared" si="0"/>
        <v>375681</v>
      </c>
      <c r="M11" s="56">
        <f aca="true" t="shared" si="1" ref="M11:M41">C11+F11</f>
        <v>21070788</v>
      </c>
      <c r="N11" s="57"/>
      <c r="O11" s="57"/>
    </row>
    <row r="12" spans="1:15" s="61" customFormat="1" ht="12.75">
      <c r="A12" s="43" t="s">
        <v>150</v>
      </c>
      <c r="B12" s="44" t="s">
        <v>151</v>
      </c>
      <c r="C12" s="37">
        <f>C13</f>
        <v>12506054</v>
      </c>
      <c r="D12" s="37">
        <f>D13</f>
        <v>6190765</v>
      </c>
      <c r="E12" s="37">
        <f>E13</f>
        <v>1482659</v>
      </c>
      <c r="F12" s="38">
        <f>G12+J12</f>
        <v>752039</v>
      </c>
      <c r="G12" s="37">
        <f aca="true" t="shared" si="2" ref="G12:L12">G13</f>
        <v>36459</v>
      </c>
      <c r="H12" s="37">
        <f t="shared" si="2"/>
        <v>0</v>
      </c>
      <c r="I12" s="37">
        <f t="shared" si="2"/>
        <v>0</v>
      </c>
      <c r="J12" s="37">
        <f t="shared" si="2"/>
        <v>715580</v>
      </c>
      <c r="K12" s="37">
        <f t="shared" si="2"/>
        <v>715580</v>
      </c>
      <c r="L12" s="37">
        <f t="shared" si="2"/>
        <v>232025</v>
      </c>
      <c r="M12" s="59">
        <f t="shared" si="1"/>
        <v>13258093</v>
      </c>
      <c r="N12" s="57"/>
      <c r="O12" s="60"/>
    </row>
    <row r="13" spans="1:15" ht="12.75">
      <c r="A13" s="40" t="s">
        <v>21</v>
      </c>
      <c r="B13" s="62" t="s">
        <v>22</v>
      </c>
      <c r="C13" s="38">
        <f>9755180+154015-13000-1+472773+108009+13590+378283+60000+35790+35205+160000+524594+521405+265571+34640</f>
        <v>12506054</v>
      </c>
      <c r="D13" s="38">
        <f>4943060+18430+9970+277535-11020+370824+383668+198298</f>
        <v>6190765</v>
      </c>
      <c r="E13" s="38">
        <f>1411670+45347+4342+21300</f>
        <v>1482659</v>
      </c>
      <c r="F13" s="38">
        <f>G13+J13</f>
        <v>752039</v>
      </c>
      <c r="G13" s="38">
        <f>36459</f>
        <v>36459</v>
      </c>
      <c r="H13" s="38"/>
      <c r="I13" s="38"/>
      <c r="J13" s="86">
        <f>285625+250770-76781+11+28515-28515+96618+42755-23443+86200+53825</f>
        <v>715580</v>
      </c>
      <c r="K13" s="86">
        <f>285625+250770-76781+11+28515-28515+96618+42755-23443+86200+53825</f>
        <v>715580</v>
      </c>
      <c r="L13" s="86">
        <f>459625-227600</f>
        <v>232025</v>
      </c>
      <c r="M13" s="59">
        <f t="shared" si="1"/>
        <v>13258093</v>
      </c>
      <c r="N13" s="57"/>
      <c r="O13" s="63"/>
    </row>
    <row r="14" spans="1:15" ht="77.25" customHeight="1" hidden="1">
      <c r="A14" s="40"/>
      <c r="B14" s="105" t="s">
        <v>256</v>
      </c>
      <c r="C14" s="38"/>
      <c r="D14" s="38"/>
      <c r="E14" s="38"/>
      <c r="F14" s="38">
        <f aca="true" t="shared" si="3" ref="F14:F35">G14+J14</f>
        <v>0</v>
      </c>
      <c r="G14" s="38"/>
      <c r="H14" s="38"/>
      <c r="I14" s="38"/>
      <c r="J14" s="86"/>
      <c r="K14" s="86"/>
      <c r="L14" s="86"/>
      <c r="M14" s="59">
        <f t="shared" si="1"/>
        <v>0</v>
      </c>
      <c r="N14" s="57"/>
      <c r="O14" s="63"/>
    </row>
    <row r="15" spans="1:15" ht="12.75">
      <c r="A15" s="40" t="s">
        <v>152</v>
      </c>
      <c r="B15" s="36" t="s">
        <v>153</v>
      </c>
      <c r="C15" s="38">
        <f>C16</f>
        <v>497124</v>
      </c>
      <c r="D15" s="38">
        <f aca="true" t="shared" si="4" ref="D15:L15">D16</f>
        <v>0</v>
      </c>
      <c r="E15" s="38">
        <f t="shared" si="4"/>
        <v>0</v>
      </c>
      <c r="F15" s="38">
        <f t="shared" si="4"/>
        <v>0</v>
      </c>
      <c r="G15" s="38">
        <f t="shared" si="4"/>
        <v>0</v>
      </c>
      <c r="H15" s="38">
        <f t="shared" si="4"/>
        <v>0</v>
      </c>
      <c r="I15" s="38">
        <f t="shared" si="4"/>
        <v>0</v>
      </c>
      <c r="J15" s="86">
        <f t="shared" si="4"/>
        <v>0</v>
      </c>
      <c r="K15" s="86">
        <f t="shared" si="4"/>
        <v>0</v>
      </c>
      <c r="L15" s="86">
        <f t="shared" si="4"/>
        <v>0</v>
      </c>
      <c r="M15" s="59">
        <f t="shared" si="1"/>
        <v>497124</v>
      </c>
      <c r="N15" s="57"/>
      <c r="O15" s="63"/>
    </row>
    <row r="16" spans="1:15" ht="24.75" customHeight="1">
      <c r="A16" s="40">
        <v>120201</v>
      </c>
      <c r="B16" s="64" t="s">
        <v>233</v>
      </c>
      <c r="C16" s="38">
        <f>400000+33124+60000+4000</f>
        <v>497124</v>
      </c>
      <c r="D16" s="38">
        <f>D17</f>
        <v>0</v>
      </c>
      <c r="E16" s="38">
        <f>E17</f>
        <v>0</v>
      </c>
      <c r="F16" s="38">
        <f t="shared" si="3"/>
        <v>0</v>
      </c>
      <c r="G16" s="38">
        <f>G17</f>
        <v>0</v>
      </c>
      <c r="H16" s="38">
        <f>H17</f>
        <v>0</v>
      </c>
      <c r="I16" s="38">
        <f>I17</f>
        <v>0</v>
      </c>
      <c r="J16" s="38">
        <f>J17</f>
        <v>0</v>
      </c>
      <c r="K16" s="38">
        <f>K17</f>
        <v>0</v>
      </c>
      <c r="L16" s="38"/>
      <c r="M16" s="59">
        <f>C16+F16</f>
        <v>497124</v>
      </c>
      <c r="N16" s="57"/>
      <c r="O16" s="63"/>
    </row>
    <row r="17" spans="1:15" ht="38.25" customHeight="1" hidden="1">
      <c r="A17" s="40"/>
      <c r="B17" s="64" t="s">
        <v>179</v>
      </c>
      <c r="C17" s="38"/>
      <c r="D17" s="38"/>
      <c r="E17" s="38"/>
      <c r="F17" s="38">
        <f t="shared" si="3"/>
        <v>0</v>
      </c>
      <c r="G17" s="38"/>
      <c r="H17" s="38"/>
      <c r="I17" s="38"/>
      <c r="J17" s="38"/>
      <c r="K17" s="38"/>
      <c r="L17" s="38"/>
      <c r="M17" s="59">
        <f aca="true" t="shared" si="5" ref="M17:M25">C17+F17</f>
        <v>0</v>
      </c>
      <c r="N17" s="57"/>
      <c r="O17" s="63"/>
    </row>
    <row r="18" spans="1:15" ht="12.75">
      <c r="A18" s="40" t="s">
        <v>154</v>
      </c>
      <c r="B18" s="64" t="s">
        <v>55</v>
      </c>
      <c r="C18" s="38"/>
      <c r="D18" s="38"/>
      <c r="E18" s="38"/>
      <c r="F18" s="38">
        <f t="shared" si="3"/>
        <v>2724625</v>
      </c>
      <c r="G18" s="38"/>
      <c r="H18" s="38"/>
      <c r="I18" s="38"/>
      <c r="J18" s="38">
        <f>J19+J21+J23</f>
        <v>2724625</v>
      </c>
      <c r="K18" s="38">
        <f>K19+K21+K23</f>
        <v>2724625</v>
      </c>
      <c r="L18" s="38">
        <f>L19</f>
        <v>0</v>
      </c>
      <c r="M18" s="59">
        <f t="shared" si="5"/>
        <v>2724625</v>
      </c>
      <c r="N18" s="57"/>
      <c r="O18" s="63"/>
    </row>
    <row r="19" spans="1:15" ht="26.25" customHeight="1">
      <c r="A19" s="40" t="s">
        <v>121</v>
      </c>
      <c r="B19" s="62" t="s">
        <v>122</v>
      </c>
      <c r="C19" s="38"/>
      <c r="D19" s="38"/>
      <c r="E19" s="38"/>
      <c r="F19" s="38">
        <f t="shared" si="3"/>
        <v>2505783</v>
      </c>
      <c r="G19" s="38"/>
      <c r="H19" s="38"/>
      <c r="I19" s="38"/>
      <c r="J19" s="38">
        <f>K19</f>
        <v>2505783</v>
      </c>
      <c r="K19" s="38">
        <f>7065+K20</f>
        <v>2505783</v>
      </c>
      <c r="L19" s="38">
        <f>L20-2498718</f>
        <v>0</v>
      </c>
      <c r="M19" s="59">
        <f t="shared" si="5"/>
        <v>2505783</v>
      </c>
      <c r="N19" s="57"/>
      <c r="O19" s="63"/>
    </row>
    <row r="20" spans="1:15" ht="26.25" customHeight="1" hidden="1">
      <c r="A20" s="40"/>
      <c r="B20" s="78" t="s">
        <v>302</v>
      </c>
      <c r="C20" s="38"/>
      <c r="D20" s="38"/>
      <c r="E20" s="38"/>
      <c r="F20" s="38">
        <f t="shared" si="3"/>
        <v>2498718</v>
      </c>
      <c r="G20" s="38"/>
      <c r="H20" s="38"/>
      <c r="I20" s="38"/>
      <c r="J20" s="38">
        <f>K20</f>
        <v>2498718</v>
      </c>
      <c r="K20" s="38">
        <f>L20</f>
        <v>2498718</v>
      </c>
      <c r="L20" s="38">
        <f>1266275+1232443</f>
        <v>2498718</v>
      </c>
      <c r="M20" s="59">
        <f t="shared" si="5"/>
        <v>2498718</v>
      </c>
      <c r="N20" s="57"/>
      <c r="O20" s="63"/>
    </row>
    <row r="21" spans="1:15" ht="178.5">
      <c r="A21" s="40" t="s">
        <v>217</v>
      </c>
      <c r="B21" s="142" t="s">
        <v>175</v>
      </c>
      <c r="C21" s="38"/>
      <c r="D21" s="38"/>
      <c r="E21" s="38"/>
      <c r="F21" s="38">
        <f t="shared" si="3"/>
        <v>218842</v>
      </c>
      <c r="G21" s="38"/>
      <c r="H21" s="38"/>
      <c r="I21" s="38"/>
      <c r="J21" s="38">
        <f>K21</f>
        <v>218842</v>
      </c>
      <c r="K21" s="38">
        <v>218842</v>
      </c>
      <c r="L21" s="38"/>
      <c r="M21" s="59">
        <f t="shared" si="5"/>
        <v>218842</v>
      </c>
      <c r="N21" s="57"/>
      <c r="O21" s="63"/>
    </row>
    <row r="22" spans="1:15" ht="35.25" customHeight="1" hidden="1">
      <c r="A22" s="40"/>
      <c r="B22" s="36" t="s">
        <v>170</v>
      </c>
      <c r="C22" s="38"/>
      <c r="D22" s="38"/>
      <c r="E22" s="38"/>
      <c r="F22" s="38">
        <f t="shared" si="3"/>
        <v>218842</v>
      </c>
      <c r="G22" s="38"/>
      <c r="H22" s="38"/>
      <c r="I22" s="38"/>
      <c r="J22" s="38">
        <f>J21</f>
        <v>218842</v>
      </c>
      <c r="K22" s="38">
        <f>K21</f>
        <v>218842</v>
      </c>
      <c r="L22" s="38"/>
      <c r="M22" s="59">
        <f t="shared" si="5"/>
        <v>218842</v>
      </c>
      <c r="N22" s="57"/>
      <c r="O22" s="63"/>
    </row>
    <row r="23" spans="1:15" ht="38.25" hidden="1">
      <c r="A23" s="84" t="s">
        <v>263</v>
      </c>
      <c r="B23" s="78" t="s">
        <v>264</v>
      </c>
      <c r="C23" s="38"/>
      <c r="D23" s="38"/>
      <c r="E23" s="38"/>
      <c r="F23" s="38">
        <f t="shared" si="3"/>
        <v>0</v>
      </c>
      <c r="G23" s="38"/>
      <c r="H23" s="38"/>
      <c r="I23" s="38"/>
      <c r="J23" s="38"/>
      <c r="K23" s="38"/>
      <c r="L23" s="38"/>
      <c r="M23" s="59">
        <f t="shared" si="5"/>
        <v>0</v>
      </c>
      <c r="N23" s="57"/>
      <c r="O23" s="63"/>
    </row>
    <row r="24" spans="1:15" ht="25.5" hidden="1">
      <c r="A24" s="40" t="s">
        <v>165</v>
      </c>
      <c r="B24" s="62" t="s">
        <v>166</v>
      </c>
      <c r="C24" s="38"/>
      <c r="D24" s="38"/>
      <c r="E24" s="38"/>
      <c r="F24" s="38">
        <f t="shared" si="3"/>
        <v>0</v>
      </c>
      <c r="G24" s="38"/>
      <c r="H24" s="38"/>
      <c r="I24" s="38"/>
      <c r="J24" s="38">
        <f>J25</f>
        <v>0</v>
      </c>
      <c r="K24" s="38">
        <f>K25</f>
        <v>0</v>
      </c>
      <c r="L24" s="38"/>
      <c r="M24" s="59">
        <f t="shared" si="5"/>
        <v>0</v>
      </c>
      <c r="N24" s="57"/>
      <c r="O24" s="63"/>
    </row>
    <row r="25" spans="1:15" ht="38.25" hidden="1">
      <c r="A25" s="40" t="s">
        <v>139</v>
      </c>
      <c r="B25" s="36" t="s">
        <v>140</v>
      </c>
      <c r="C25" s="38"/>
      <c r="D25" s="38"/>
      <c r="E25" s="38"/>
      <c r="F25" s="38">
        <f t="shared" si="3"/>
        <v>0</v>
      </c>
      <c r="G25" s="38"/>
      <c r="H25" s="38"/>
      <c r="I25" s="38"/>
      <c r="J25" s="38"/>
      <c r="K25" s="38">
        <f>J25</f>
        <v>0</v>
      </c>
      <c r="L25" s="38"/>
      <c r="M25" s="59">
        <f t="shared" si="5"/>
        <v>0</v>
      </c>
      <c r="N25" s="57"/>
      <c r="O25" s="63"/>
    </row>
    <row r="26" spans="1:15" ht="14.25" customHeight="1">
      <c r="A26" s="40" t="s">
        <v>157</v>
      </c>
      <c r="B26" s="36" t="s">
        <v>158</v>
      </c>
      <c r="C26" s="38"/>
      <c r="D26" s="38"/>
      <c r="E26" s="38"/>
      <c r="F26" s="38">
        <f t="shared" si="3"/>
        <v>404727</v>
      </c>
      <c r="G26" s="38">
        <f>G27</f>
        <v>269327</v>
      </c>
      <c r="H26" s="38"/>
      <c r="I26" s="38"/>
      <c r="J26" s="38">
        <f>J27</f>
        <v>135400</v>
      </c>
      <c r="K26" s="38"/>
      <c r="L26" s="38"/>
      <c r="M26" s="59">
        <f t="shared" si="1"/>
        <v>404727</v>
      </c>
      <c r="N26" s="57"/>
      <c r="O26" s="63"/>
    </row>
    <row r="27" spans="1:15" ht="81" customHeight="1">
      <c r="A27" s="40" t="s">
        <v>59</v>
      </c>
      <c r="B27" s="83" t="s">
        <v>248</v>
      </c>
      <c r="C27" s="38"/>
      <c r="D27" s="38"/>
      <c r="E27" s="38"/>
      <c r="F27" s="38">
        <f>G27+J27</f>
        <v>404727</v>
      </c>
      <c r="G27" s="38">
        <f>240000+110000+115227-20000-140000-10000-20500-5400</f>
        <v>269327</v>
      </c>
      <c r="H27" s="38"/>
      <c r="I27" s="38"/>
      <c r="J27" s="38">
        <f>20000+100000+10000+5400</f>
        <v>135400</v>
      </c>
      <c r="K27" s="38"/>
      <c r="L27" s="38"/>
      <c r="M27" s="59">
        <f t="shared" si="1"/>
        <v>404727</v>
      </c>
      <c r="N27" s="57"/>
      <c r="O27" s="63"/>
    </row>
    <row r="28" spans="1:15" ht="25.5" customHeight="1">
      <c r="A28" s="40" t="s">
        <v>159</v>
      </c>
      <c r="B28" s="64" t="s">
        <v>160</v>
      </c>
      <c r="C28" s="38">
        <f aca="true" t="shared" si="6" ref="C28:L28">C31+C29</f>
        <v>4042563</v>
      </c>
      <c r="D28" s="38">
        <f t="shared" si="6"/>
        <v>1405784</v>
      </c>
      <c r="E28" s="38">
        <f t="shared" si="6"/>
        <v>5546</v>
      </c>
      <c r="F28" s="38">
        <f t="shared" si="6"/>
        <v>143656</v>
      </c>
      <c r="G28" s="38">
        <f t="shared" si="6"/>
        <v>0</v>
      </c>
      <c r="H28" s="38">
        <f t="shared" si="6"/>
        <v>0</v>
      </c>
      <c r="I28" s="38">
        <f t="shared" si="6"/>
        <v>0</v>
      </c>
      <c r="J28" s="38">
        <f t="shared" si="6"/>
        <v>143656</v>
      </c>
      <c r="K28" s="38">
        <f t="shared" si="6"/>
        <v>143656</v>
      </c>
      <c r="L28" s="38">
        <f t="shared" si="6"/>
        <v>143656</v>
      </c>
      <c r="M28" s="59">
        <f t="shared" si="1"/>
        <v>4186219</v>
      </c>
      <c r="N28" s="57"/>
      <c r="O28" s="63"/>
    </row>
    <row r="29" spans="1:15" ht="51">
      <c r="A29" s="84" t="s">
        <v>81</v>
      </c>
      <c r="B29" s="83" t="s">
        <v>82</v>
      </c>
      <c r="C29" s="38">
        <v>46108</v>
      </c>
      <c r="D29" s="38"/>
      <c r="E29" s="38"/>
      <c r="F29" s="38"/>
      <c r="G29" s="38"/>
      <c r="H29" s="38"/>
      <c r="I29" s="38"/>
      <c r="J29" s="38"/>
      <c r="K29" s="38"/>
      <c r="L29" s="38"/>
      <c r="M29" s="59">
        <f t="shared" si="1"/>
        <v>46108</v>
      </c>
      <c r="N29" s="57"/>
      <c r="O29" s="63"/>
    </row>
    <row r="30" spans="1:15" ht="25.5" hidden="1">
      <c r="A30" s="40"/>
      <c r="B30" s="36" t="s">
        <v>170</v>
      </c>
      <c r="C30" s="38"/>
      <c r="D30" s="38">
        <f>D29</f>
        <v>0</v>
      </c>
      <c r="E30" s="38">
        <f>E29</f>
        <v>0</v>
      </c>
      <c r="F30" s="38"/>
      <c r="G30" s="38"/>
      <c r="H30" s="38"/>
      <c r="I30" s="38"/>
      <c r="J30" s="38"/>
      <c r="K30" s="38"/>
      <c r="L30" s="38"/>
      <c r="M30" s="59">
        <f t="shared" si="1"/>
        <v>0</v>
      </c>
      <c r="N30" s="57"/>
      <c r="O30" s="63"/>
    </row>
    <row r="31" spans="1:15" ht="15.75" customHeight="1">
      <c r="A31" s="40" t="s">
        <v>60</v>
      </c>
      <c r="B31" s="36" t="s">
        <v>98</v>
      </c>
      <c r="C31" s="38">
        <f>SUM(C32:C38)</f>
        <v>3996455</v>
      </c>
      <c r="D31" s="38">
        <f>SUM(D32:D38)</f>
        <v>1405784</v>
      </c>
      <c r="E31" s="38">
        <f>SUM(E32:E38)</f>
        <v>5546</v>
      </c>
      <c r="F31" s="38">
        <f t="shared" si="3"/>
        <v>143656</v>
      </c>
      <c r="G31" s="38">
        <f aca="true" t="shared" si="7" ref="G31:L31">SUM(G32:G38)</f>
        <v>0</v>
      </c>
      <c r="H31" s="38">
        <f t="shared" si="7"/>
        <v>0</v>
      </c>
      <c r="I31" s="38">
        <f t="shared" si="7"/>
        <v>0</v>
      </c>
      <c r="J31" s="38">
        <f>SUM(J32:J38)</f>
        <v>143656</v>
      </c>
      <c r="K31" s="38">
        <f t="shared" si="7"/>
        <v>143656</v>
      </c>
      <c r="L31" s="38">
        <f t="shared" si="7"/>
        <v>143656</v>
      </c>
      <c r="M31" s="59">
        <f t="shared" si="1"/>
        <v>4140111</v>
      </c>
      <c r="N31" s="57"/>
      <c r="O31" s="63"/>
    </row>
    <row r="32" spans="1:15" ht="51" hidden="1">
      <c r="A32" s="40"/>
      <c r="B32" s="78" t="s">
        <v>350</v>
      </c>
      <c r="C32" s="38"/>
      <c r="D32" s="38"/>
      <c r="E32" s="38"/>
      <c r="F32" s="38">
        <f t="shared" si="3"/>
        <v>0</v>
      </c>
      <c r="G32" s="38"/>
      <c r="H32" s="38"/>
      <c r="I32" s="38"/>
      <c r="J32" s="38">
        <f>36104-36104</f>
        <v>0</v>
      </c>
      <c r="K32" s="38">
        <f>J32</f>
        <v>0</v>
      </c>
      <c r="L32" s="38">
        <f>K32</f>
        <v>0</v>
      </c>
      <c r="M32" s="59">
        <f t="shared" si="1"/>
        <v>0</v>
      </c>
      <c r="N32" s="57"/>
      <c r="O32" s="63"/>
    </row>
    <row r="33" spans="1:15" ht="51" hidden="1">
      <c r="A33" s="40"/>
      <c r="B33" s="78" t="s">
        <v>302</v>
      </c>
      <c r="C33" s="38">
        <f>318714+1002319+263956-1266275</f>
        <v>318714</v>
      </c>
      <c r="D33" s="38"/>
      <c r="E33" s="38"/>
      <c r="F33" s="38">
        <f t="shared" si="3"/>
        <v>143656</v>
      </c>
      <c r="G33" s="38"/>
      <c r="H33" s="38"/>
      <c r="I33" s="38"/>
      <c r="J33" s="38">
        <f>K33</f>
        <v>143656</v>
      </c>
      <c r="K33" s="38">
        <f>L33</f>
        <v>143656</v>
      </c>
      <c r="L33" s="38">
        <f>143656+1496399-263956-1232443</f>
        <v>143656</v>
      </c>
      <c r="M33" s="59">
        <f t="shared" si="1"/>
        <v>462370</v>
      </c>
      <c r="N33" s="57"/>
      <c r="O33" s="63"/>
    </row>
    <row r="34" spans="1:15" ht="38.25" customHeight="1" hidden="1">
      <c r="A34" s="40"/>
      <c r="B34" s="78" t="s">
        <v>340</v>
      </c>
      <c r="C34" s="38">
        <f>237960+23296</f>
        <v>261256</v>
      </c>
      <c r="D34" s="38"/>
      <c r="E34" s="38"/>
      <c r="F34" s="38">
        <f t="shared" si="3"/>
        <v>0</v>
      </c>
      <c r="G34" s="38"/>
      <c r="H34" s="38"/>
      <c r="I34" s="38"/>
      <c r="J34" s="38"/>
      <c r="K34" s="38"/>
      <c r="L34" s="38"/>
      <c r="M34" s="59">
        <f t="shared" si="1"/>
        <v>261256</v>
      </c>
      <c r="N34" s="57"/>
      <c r="O34" s="63"/>
    </row>
    <row r="35" spans="1:15" ht="51.75" customHeight="1" hidden="1">
      <c r="A35" s="40"/>
      <c r="B35" s="78" t="s">
        <v>310</v>
      </c>
      <c r="C35" s="38">
        <f>2677000+111780+24924+121812-40791</f>
        <v>2894725</v>
      </c>
      <c r="D35" s="38">
        <f>1398736+24511-17463</f>
        <v>1405784</v>
      </c>
      <c r="E35" s="38">
        <v>5546</v>
      </c>
      <c r="F35" s="38">
        <f t="shared" si="3"/>
        <v>0</v>
      </c>
      <c r="G35" s="38"/>
      <c r="H35" s="38"/>
      <c r="I35" s="38"/>
      <c r="J35" s="38"/>
      <c r="K35" s="38"/>
      <c r="L35" s="38"/>
      <c r="M35" s="59">
        <f t="shared" si="1"/>
        <v>2894725</v>
      </c>
      <c r="N35" s="57"/>
      <c r="O35" s="63"/>
    </row>
    <row r="36" spans="1:15" ht="39.75" customHeight="1" hidden="1">
      <c r="A36" s="40"/>
      <c r="B36" s="78" t="s">
        <v>352</v>
      </c>
      <c r="C36" s="38">
        <f>30000-30000</f>
        <v>0</v>
      </c>
      <c r="D36" s="38"/>
      <c r="E36" s="38"/>
      <c r="F36" s="38"/>
      <c r="G36" s="38"/>
      <c r="H36" s="38"/>
      <c r="I36" s="38"/>
      <c r="J36" s="38"/>
      <c r="K36" s="38"/>
      <c r="L36" s="38"/>
      <c r="M36" s="59">
        <f t="shared" si="1"/>
        <v>0</v>
      </c>
      <c r="N36" s="57"/>
      <c r="O36" s="63"/>
    </row>
    <row r="37" spans="1:15" ht="25.5" hidden="1">
      <c r="A37" s="40"/>
      <c r="B37" s="83" t="s">
        <v>197</v>
      </c>
      <c r="C37" s="38">
        <f>5759497-1467000+48000-2040285-142360-58000-124600-89797-110000-35000-199500-287000-90910-6000-353000-111000-210200-29300-75300-60100-15000-86640-103005-17300-15000-40000</f>
        <v>41200</v>
      </c>
      <c r="D37" s="38"/>
      <c r="E37" s="38"/>
      <c r="F37" s="38"/>
      <c r="G37" s="38"/>
      <c r="H37" s="38"/>
      <c r="I37" s="38"/>
      <c r="J37" s="38"/>
      <c r="K37" s="38"/>
      <c r="L37" s="38"/>
      <c r="M37" s="59">
        <f t="shared" si="1"/>
        <v>41200</v>
      </c>
      <c r="N37" s="57"/>
      <c r="O37" s="63"/>
    </row>
    <row r="38" spans="1:15" ht="42" customHeight="1" hidden="1">
      <c r="A38" s="40"/>
      <c r="B38" s="78" t="s">
        <v>347</v>
      </c>
      <c r="C38" s="38">
        <v>480560</v>
      </c>
      <c r="D38" s="38"/>
      <c r="E38" s="38"/>
      <c r="F38" s="38"/>
      <c r="G38" s="38"/>
      <c r="H38" s="38"/>
      <c r="I38" s="38"/>
      <c r="J38" s="38"/>
      <c r="K38" s="38"/>
      <c r="L38" s="38"/>
      <c r="M38" s="59">
        <f t="shared" si="1"/>
        <v>480560</v>
      </c>
      <c r="N38" s="57"/>
      <c r="O38" s="63"/>
    </row>
    <row r="39" spans="1:15" s="74" customFormat="1" ht="39" customHeight="1" hidden="1">
      <c r="A39" s="53"/>
      <c r="B39" s="54" t="s">
        <v>17</v>
      </c>
      <c r="C39" s="55">
        <f>C41</f>
        <v>0</v>
      </c>
      <c r="D39" s="55">
        <f>D41</f>
        <v>0</v>
      </c>
      <c r="E39" s="55">
        <f>E41</f>
        <v>0</v>
      </c>
      <c r="F39" s="55">
        <f>G39+J39</f>
        <v>0</v>
      </c>
      <c r="G39" s="55">
        <f>G41</f>
        <v>0</v>
      </c>
      <c r="H39" s="55">
        <f>H41</f>
        <v>0</v>
      </c>
      <c r="I39" s="55">
        <f>I41</f>
        <v>0</v>
      </c>
      <c r="J39" s="55">
        <f>J41</f>
        <v>0</v>
      </c>
      <c r="K39" s="55">
        <f>K41</f>
        <v>0</v>
      </c>
      <c r="L39" s="55"/>
      <c r="M39" s="56">
        <f t="shared" si="1"/>
        <v>0</v>
      </c>
      <c r="N39" s="57"/>
      <c r="O39" s="73"/>
    </row>
    <row r="40" spans="1:15" s="61" customFormat="1" ht="22.5" customHeight="1" hidden="1">
      <c r="A40" s="43" t="s">
        <v>150</v>
      </c>
      <c r="B40" s="44" t="s">
        <v>151</v>
      </c>
      <c r="C40" s="37">
        <f aca="true" t="shared" si="8" ref="C40:J40">C41</f>
        <v>0</v>
      </c>
      <c r="D40" s="37">
        <f t="shared" si="8"/>
        <v>0</v>
      </c>
      <c r="E40" s="37">
        <f t="shared" si="8"/>
        <v>0</v>
      </c>
      <c r="F40" s="37">
        <f t="shared" si="8"/>
        <v>0</v>
      </c>
      <c r="G40" s="37">
        <f t="shared" si="8"/>
        <v>0</v>
      </c>
      <c r="H40" s="37">
        <f t="shared" si="8"/>
        <v>0</v>
      </c>
      <c r="I40" s="37">
        <f t="shared" si="8"/>
        <v>0</v>
      </c>
      <c r="J40" s="37">
        <f t="shared" si="8"/>
        <v>0</v>
      </c>
      <c r="K40" s="37"/>
      <c r="L40" s="37"/>
      <c r="M40" s="59">
        <f t="shared" si="1"/>
        <v>0</v>
      </c>
      <c r="N40" s="57"/>
      <c r="O40" s="60"/>
    </row>
    <row r="41" spans="1:15" ht="12" customHeight="1" hidden="1">
      <c r="A41" s="40" t="s">
        <v>21</v>
      </c>
      <c r="B41" s="62" t="s">
        <v>22</v>
      </c>
      <c r="C41" s="38"/>
      <c r="D41" s="38"/>
      <c r="E41" s="38"/>
      <c r="F41" s="37">
        <f>G41+J41</f>
        <v>0</v>
      </c>
      <c r="G41" s="38"/>
      <c r="H41" s="38"/>
      <c r="I41" s="38"/>
      <c r="J41" s="38"/>
      <c r="K41" s="38"/>
      <c r="L41" s="38"/>
      <c r="M41" s="59">
        <f t="shared" si="1"/>
        <v>0</v>
      </c>
      <c r="N41" s="57"/>
      <c r="O41" s="63"/>
    </row>
    <row r="42" spans="1:15" s="58" customFormat="1" ht="41.25" customHeight="1">
      <c r="A42" s="111" t="s">
        <v>320</v>
      </c>
      <c r="B42" s="112" t="s">
        <v>266</v>
      </c>
      <c r="C42" s="55">
        <f>C43+C45+C62+C67+C74+C78</f>
        <v>774982546</v>
      </c>
      <c r="D42" s="55">
        <f>D43+D45+D62+D67+D74+D78</f>
        <v>434008071</v>
      </c>
      <c r="E42" s="55">
        <f>E43+E45+E62+E67+E74+E78</f>
        <v>128817362</v>
      </c>
      <c r="F42" s="55">
        <f aca="true" t="shared" si="9" ref="F42:L42">F43+F45+F62+F67+F74+F78</f>
        <v>49853991</v>
      </c>
      <c r="G42" s="55">
        <f t="shared" si="9"/>
        <v>26787991</v>
      </c>
      <c r="H42" s="55">
        <f t="shared" si="9"/>
        <v>5874505</v>
      </c>
      <c r="I42" s="55">
        <f t="shared" si="9"/>
        <v>281920</v>
      </c>
      <c r="J42" s="55">
        <f t="shared" si="9"/>
        <v>23066000</v>
      </c>
      <c r="K42" s="55">
        <f>K43+K45+K62+K67+K74+K78</f>
        <v>22026206</v>
      </c>
      <c r="L42" s="55">
        <f t="shared" si="9"/>
        <v>1124528</v>
      </c>
      <c r="M42" s="56">
        <f aca="true" t="shared" si="10" ref="M42:M66">C42+F42</f>
        <v>824836537</v>
      </c>
      <c r="N42" s="57"/>
      <c r="O42" s="57"/>
    </row>
    <row r="43" spans="1:15" s="61" customFormat="1" ht="12.75">
      <c r="A43" s="43" t="s">
        <v>150</v>
      </c>
      <c r="B43" s="44" t="s">
        <v>151</v>
      </c>
      <c r="C43" s="37">
        <f>C44</f>
        <v>3967513</v>
      </c>
      <c r="D43" s="37">
        <f>D44</f>
        <v>2677034</v>
      </c>
      <c r="E43" s="37">
        <f>E44</f>
        <v>172460</v>
      </c>
      <c r="F43" s="38">
        <f aca="true" t="shared" si="11" ref="F43:F80">G43+J43</f>
        <v>0</v>
      </c>
      <c r="G43" s="37"/>
      <c r="H43" s="37"/>
      <c r="I43" s="37"/>
      <c r="J43" s="37"/>
      <c r="K43" s="37"/>
      <c r="L43" s="37"/>
      <c r="M43" s="59">
        <f t="shared" si="10"/>
        <v>3967513</v>
      </c>
      <c r="N43" s="57"/>
      <c r="O43" s="60"/>
    </row>
    <row r="44" spans="1:15" ht="12.75">
      <c r="A44" s="40" t="s">
        <v>21</v>
      </c>
      <c r="B44" s="62" t="s">
        <v>22</v>
      </c>
      <c r="C44" s="38">
        <f>3370430+24830+199517+1512+333000+50344-12120</f>
        <v>3967513</v>
      </c>
      <c r="D44" s="38">
        <f>2291270+150148+210800+36936-12120</f>
        <v>2677034</v>
      </c>
      <c r="E44" s="38">
        <v>172460</v>
      </c>
      <c r="F44" s="38">
        <f t="shared" si="11"/>
        <v>0</v>
      </c>
      <c r="G44" s="38"/>
      <c r="H44" s="38"/>
      <c r="I44" s="38"/>
      <c r="J44" s="38"/>
      <c r="K44" s="38"/>
      <c r="L44" s="38"/>
      <c r="M44" s="59">
        <f t="shared" si="10"/>
        <v>3967513</v>
      </c>
      <c r="N44" s="57"/>
      <c r="O44" s="63"/>
    </row>
    <row r="45" spans="1:15" ht="12.75">
      <c r="A45" s="40" t="s">
        <v>23</v>
      </c>
      <c r="B45" s="62" t="s">
        <v>24</v>
      </c>
      <c r="C45" s="38">
        <f>SUM(C46:C60)</f>
        <v>742757531</v>
      </c>
      <c r="D45" s="38">
        <f>SUM(D46:D60)</f>
        <v>416329654</v>
      </c>
      <c r="E45" s="38">
        <f>SUM(E46:E60)</f>
        <v>125950672</v>
      </c>
      <c r="F45" s="38">
        <f aca="true" t="shared" si="12" ref="F45:L45">F46+F48+F50+F51+F52+F54+F55+F56+F57+F58+F59</f>
        <v>31299844</v>
      </c>
      <c r="G45" s="38">
        <f t="shared" si="12"/>
        <v>25476304</v>
      </c>
      <c r="H45" s="38">
        <f t="shared" si="12"/>
        <v>5602986</v>
      </c>
      <c r="I45" s="38">
        <f t="shared" si="12"/>
        <v>267362</v>
      </c>
      <c r="J45" s="38">
        <f t="shared" si="12"/>
        <v>5823540</v>
      </c>
      <c r="K45" s="38">
        <f t="shared" si="12"/>
        <v>5354602</v>
      </c>
      <c r="L45" s="38">
        <f t="shared" si="12"/>
        <v>913248</v>
      </c>
      <c r="M45" s="59">
        <f t="shared" si="10"/>
        <v>774057375</v>
      </c>
      <c r="N45" s="57"/>
      <c r="O45" s="63"/>
    </row>
    <row r="46" spans="1:15" ht="12.75">
      <c r="A46" s="40" t="s">
        <v>66</v>
      </c>
      <c r="B46" s="68" t="s">
        <v>63</v>
      </c>
      <c r="C46" s="38">
        <f>191666077+1245600+38800-381223+(277500)+(103000)-45440+(53500)-(22000)+(5000)+6153810+(31000)+4129+5601+(50000)-34853+(14410)+264708+877700+3350000+(5000)+415100+21483-1350000+(15000)+29700+(2800)+(3400)+392033+2280200-12-704283+(6000)-37000+(19000)-64220+(11300)</f>
        <v>204702820</v>
      </c>
      <c r="D46" s="38">
        <f>101479330+4511300-30157+2500000-10907-1000000-2200932+1672900</f>
        <v>106921534</v>
      </c>
      <c r="E46" s="38">
        <f>36094104+488420-17856+5095+156780+3463994-12-704283</f>
        <v>39486242</v>
      </c>
      <c r="F46" s="38">
        <f>G46+J46</f>
        <v>12544174</v>
      </c>
      <c r="G46" s="38">
        <v>11644416</v>
      </c>
      <c r="H46" s="38">
        <v>238230</v>
      </c>
      <c r="I46" s="38">
        <v>16890</v>
      </c>
      <c r="J46" s="38">
        <f>382847+99255+(79800)+(11000)+(29285)+(15000)-(21000)+(5399)+(9500)-(13000)-(10000)+(2000)+4072+(11600)+(11000)+260000+(18000)+(5000)</f>
        <v>899758</v>
      </c>
      <c r="K46" s="38">
        <f>382847+99255+(79800)+(11000)+(29285)+(15000)-(21000)+(5399)+(9500)-(13000)-(10000)+(2000)+4072+(11600)+(11000)+260000+(18000)+(5000)</f>
        <v>899758</v>
      </c>
      <c r="L46" s="38">
        <f>382847-45138-78400-55046+(79800)+(11000)+(29285)+(15000)-(21000)-131416+(5399)+(9500)-(13000)-(10000)+(2000)+(11600)+(11000)+(18000)+(5000)</f>
        <v>226431</v>
      </c>
      <c r="M46" s="59">
        <f t="shared" si="10"/>
        <v>217246994</v>
      </c>
      <c r="N46" s="57"/>
      <c r="O46" s="63"/>
    </row>
    <row r="47" spans="1:15" ht="45" hidden="1">
      <c r="A47" s="40"/>
      <c r="B47" s="106" t="s">
        <v>257</v>
      </c>
      <c r="C47" s="38"/>
      <c r="D47" s="38"/>
      <c r="E47" s="38"/>
      <c r="F47" s="38">
        <f t="shared" si="11"/>
        <v>0</v>
      </c>
      <c r="G47" s="38"/>
      <c r="H47" s="38"/>
      <c r="I47" s="38"/>
      <c r="J47" s="38"/>
      <c r="K47" s="38"/>
      <c r="L47" s="38"/>
      <c r="M47" s="59">
        <f t="shared" si="10"/>
        <v>0</v>
      </c>
      <c r="N47" s="57"/>
      <c r="O47" s="63"/>
    </row>
    <row r="48" spans="1:15" ht="51">
      <c r="A48" s="40" t="s">
        <v>25</v>
      </c>
      <c r="B48" s="85" t="s">
        <v>247</v>
      </c>
      <c r="C48" s="86">
        <f>456927127+2060473+34190-335714+(509500)+(108500)-(60000)+(16000)+73258+(181200)+(23000)+(5000)+6121290+(34500)-4129+(115000)+(19000)+(156960)-180413+(24000)+436292+35000+6750000+(5000)+338600+(11204)-33747-1626300+(4700)-(5000)+59400+(26200)+(3000)+3030267+6005200+12-1734267-5123700+97199+37000+(6145)+64220+(15000)</f>
        <v>474230167</v>
      </c>
      <c r="D48" s="38">
        <f>265210696+4515000-99961+4900000-36718-1224300-3680248+4405900-3675700</f>
        <v>270314669</v>
      </c>
      <c r="E48" s="38">
        <f>71833073+478442-24462-55165+309220+8207139+12-1734267</f>
        <v>79013992</v>
      </c>
      <c r="F48" s="38">
        <f>G48+J48</f>
        <v>17396833</v>
      </c>
      <c r="G48" s="38">
        <v>13290936</v>
      </c>
      <c r="H48" s="38">
        <v>5280685</v>
      </c>
      <c r="I48" s="38">
        <v>197303</v>
      </c>
      <c r="J48" s="38">
        <f>276154+400000+386964+1052948+(348000)+(110000)-(28000)+(144500)+(20000)-(12900)+502100-(65000)-(11000)-(94200)+280650+582758+1491-(34000)+111000+(3500)-(1204)+1009+(18000)+32035+(5000)+(6800)-(3000)+8492+(15000)+(3000)+(16800)+(29000)</f>
        <v>4105897</v>
      </c>
      <c r="K48" s="38">
        <f>400000+386964+1052948+(348000)+(110000)-(28000)+(144500)+(20000)-(12900)+502100-(65000)-(11000)-(94200)+280650+582758+1491-(34000)+111000+(3500)-(1204)+1009+(18000)+32035+(5000)+(6800)-(3000)+8492+(15000)+(3000)+(16800)+(29000)</f>
        <v>3829743</v>
      </c>
      <c r="L48" s="38">
        <f>400000+386964+(348000)+(110000)-(28000)-176000+(144500)-11740-6670+126000-13590-11570+(20000)-14520-(12900)+502100-90393-(65000)-(11000)-(94200)-(34000)-902100+(3500)-(1204)+(18000)+(5000)+(6800)-(3000)+(15000)+(3000)+(16800)+(29000)</f>
        <v>658777</v>
      </c>
      <c r="M48" s="59">
        <f t="shared" si="10"/>
        <v>491627000</v>
      </c>
      <c r="N48" s="57"/>
      <c r="O48" s="63"/>
    </row>
    <row r="49" spans="1:15" ht="45" hidden="1">
      <c r="A49" s="40"/>
      <c r="B49" s="106" t="s">
        <v>257</v>
      </c>
      <c r="C49" s="38"/>
      <c r="D49" s="38"/>
      <c r="E49" s="38"/>
      <c r="F49" s="38">
        <f t="shared" si="11"/>
        <v>0</v>
      </c>
      <c r="G49" s="38"/>
      <c r="H49" s="38"/>
      <c r="I49" s="38"/>
      <c r="J49" s="38"/>
      <c r="K49" s="38"/>
      <c r="L49" s="38"/>
      <c r="M49" s="59">
        <f t="shared" si="10"/>
        <v>0</v>
      </c>
      <c r="N49" s="57"/>
      <c r="O49" s="63"/>
    </row>
    <row r="50" spans="1:15" ht="12.75">
      <c r="A50" s="99" t="s">
        <v>67</v>
      </c>
      <c r="B50" s="100" t="s">
        <v>75</v>
      </c>
      <c r="C50" s="38">
        <f>6973000+4299+(12000)-(4000)-3100+4950-141377+30498</f>
        <v>6876270</v>
      </c>
      <c r="D50" s="38">
        <f>4930673-124647</f>
        <v>4806026</v>
      </c>
      <c r="E50" s="38">
        <f>279782+3333-145+17278+30498</f>
        <v>330746</v>
      </c>
      <c r="F50" s="38">
        <f t="shared" si="11"/>
        <v>11022</v>
      </c>
      <c r="G50" s="38">
        <v>1822</v>
      </c>
      <c r="H50" s="38"/>
      <c r="I50" s="38"/>
      <c r="J50" s="38">
        <f>(15200)-(11000)+(5000)</f>
        <v>9200</v>
      </c>
      <c r="K50" s="38">
        <f>(15200)-(11000)+(5000)</f>
        <v>9200</v>
      </c>
      <c r="L50" s="38">
        <f>K50</f>
        <v>9200</v>
      </c>
      <c r="M50" s="59">
        <f t="shared" si="10"/>
        <v>6887292</v>
      </c>
      <c r="N50" s="57"/>
      <c r="O50" s="63"/>
    </row>
    <row r="51" spans="1:14" s="3" customFormat="1" ht="51">
      <c r="A51" s="8" t="s">
        <v>68</v>
      </c>
      <c r="B51" s="2" t="s">
        <v>69</v>
      </c>
      <c r="C51" s="27">
        <f>4162757+2045-3245-65922</f>
        <v>4095635</v>
      </c>
      <c r="D51" s="27">
        <f>3055832-44297</f>
        <v>3011535</v>
      </c>
      <c r="E51" s="27"/>
      <c r="F51" s="27">
        <f t="shared" si="11"/>
        <v>0</v>
      </c>
      <c r="G51" s="27">
        <v>0</v>
      </c>
      <c r="H51" s="27"/>
      <c r="I51" s="27"/>
      <c r="J51" s="27"/>
      <c r="K51" s="27"/>
      <c r="L51" s="27"/>
      <c r="M51" s="26">
        <f t="shared" si="10"/>
        <v>4095635</v>
      </c>
      <c r="N51" s="57"/>
    </row>
    <row r="52" spans="1:15" ht="25.5">
      <c r="A52" s="40" t="s">
        <v>26</v>
      </c>
      <c r="B52" s="62" t="s">
        <v>27</v>
      </c>
      <c r="C52" s="38">
        <f>26090500+218994+5410-53570+(9000)+(2000)-17278+(1000)+(8000)+1196200+(23000)+(1500)+49000+400000+12210-10000+76300+4950-80579+31620</f>
        <v>27968257</v>
      </c>
      <c r="D52" s="38">
        <f>15165290+879500+290000-219861</f>
        <v>16114929</v>
      </c>
      <c r="E52" s="38">
        <f>5051052+1098-328+34000+257028+31620</f>
        <v>5374470</v>
      </c>
      <c r="F52" s="38">
        <f t="shared" si="11"/>
        <v>935232</v>
      </c>
      <c r="G52" s="38">
        <v>338547</v>
      </c>
      <c r="H52" s="38">
        <v>84071</v>
      </c>
      <c r="I52" s="38">
        <v>53169</v>
      </c>
      <c r="J52" s="38">
        <f>78784+840+427657+(28000)+(4000)+17278+(4000)+(2000)-(23000)+(3000)+54126</f>
        <v>596685</v>
      </c>
      <c r="K52" s="38">
        <f>840+427657+(28000)+(4000)+17278+(4000)+(2000)-(23000)+(3000)+54126</f>
        <v>517901</v>
      </c>
      <c r="L52" s="38">
        <f>840+(28000)+(4000)+17278+(4000)+(2000)-(23000)-17278+(3000)</f>
        <v>18840</v>
      </c>
      <c r="M52" s="59">
        <f t="shared" si="10"/>
        <v>28903489</v>
      </c>
      <c r="N52" s="57"/>
      <c r="O52" s="63"/>
    </row>
    <row r="53" spans="1:15" ht="42.75" customHeight="1" hidden="1">
      <c r="A53" s="40"/>
      <c r="B53" s="106" t="s">
        <v>257</v>
      </c>
      <c r="C53" s="38"/>
      <c r="D53" s="38"/>
      <c r="E53" s="38"/>
      <c r="F53" s="38">
        <f t="shared" si="11"/>
        <v>0</v>
      </c>
      <c r="G53" s="38"/>
      <c r="H53" s="38"/>
      <c r="I53" s="38"/>
      <c r="J53" s="38"/>
      <c r="K53" s="38"/>
      <c r="L53" s="38"/>
      <c r="M53" s="59">
        <f t="shared" si="10"/>
        <v>0</v>
      </c>
      <c r="N53" s="57"/>
      <c r="O53" s="63"/>
    </row>
    <row r="54" spans="1:15" ht="27.75" customHeight="1">
      <c r="A54" s="40" t="s">
        <v>28</v>
      </c>
      <c r="B54" s="62" t="s">
        <v>128</v>
      </c>
      <c r="C54" s="38">
        <f>4483034+204621+2586-333000+23810-47384+16160-40+48419-4579+24000</f>
        <v>4417627</v>
      </c>
      <c r="D54" s="38">
        <f>3166844-210800-36700-51118</f>
        <v>2868226</v>
      </c>
      <c r="E54" s="38">
        <f>99895+1827+2586+16160+12854-4579</f>
        <v>128743</v>
      </c>
      <c r="F54" s="38">
        <f t="shared" si="11"/>
        <v>24500</v>
      </c>
      <c r="G54" s="38">
        <v>0</v>
      </c>
      <c r="H54" s="38"/>
      <c r="I54" s="38"/>
      <c r="J54" s="38">
        <f>25000-500</f>
        <v>24500</v>
      </c>
      <c r="K54" s="38">
        <f>J54</f>
        <v>24500</v>
      </c>
      <c r="L54" s="38">
        <f>K54-24500</f>
        <v>0</v>
      </c>
      <c r="M54" s="59">
        <f t="shared" si="10"/>
        <v>4442127</v>
      </c>
      <c r="N54" s="57"/>
      <c r="O54" s="63"/>
    </row>
    <row r="55" spans="1:15" ht="39" customHeight="1">
      <c r="A55" s="40" t="s">
        <v>224</v>
      </c>
      <c r="B55" s="78" t="s">
        <v>194</v>
      </c>
      <c r="C55" s="38">
        <f>849883+54088-617-2040-2304</f>
        <v>899010</v>
      </c>
      <c r="D55" s="38">
        <f>514137-2304</f>
        <v>511833</v>
      </c>
      <c r="E55" s="38"/>
      <c r="F55" s="38">
        <f>G55+J55</f>
        <v>0</v>
      </c>
      <c r="G55" s="38"/>
      <c r="H55" s="38"/>
      <c r="I55" s="38"/>
      <c r="J55" s="38"/>
      <c r="K55" s="38"/>
      <c r="L55" s="38"/>
      <c r="M55" s="59">
        <f t="shared" si="10"/>
        <v>899010</v>
      </c>
      <c r="N55" s="57"/>
      <c r="O55" s="63"/>
    </row>
    <row r="56" spans="1:15" ht="36.75" customHeight="1">
      <c r="A56" s="40" t="s">
        <v>29</v>
      </c>
      <c r="B56" s="36" t="s">
        <v>129</v>
      </c>
      <c r="C56" s="38">
        <f>10879715+103682-8026+47663-11770+25168-14235+26600</f>
        <v>11048797</v>
      </c>
      <c r="D56" s="38">
        <f>7048208-8662</f>
        <v>7039546</v>
      </c>
      <c r="E56" s="38">
        <f>403767+7575-95+43073+52781-14235</f>
        <v>492866</v>
      </c>
      <c r="F56" s="38">
        <f t="shared" si="11"/>
        <v>73500</v>
      </c>
      <c r="G56" s="38"/>
      <c r="H56" s="38"/>
      <c r="I56" s="38"/>
      <c r="J56" s="38">
        <f>75000-1500</f>
        <v>73500</v>
      </c>
      <c r="K56" s="38">
        <f>J56</f>
        <v>73500</v>
      </c>
      <c r="L56" s="38">
        <f>K56-73500</f>
        <v>0</v>
      </c>
      <c r="M56" s="59">
        <f t="shared" si="10"/>
        <v>11122297</v>
      </c>
      <c r="N56" s="57"/>
      <c r="O56" s="63"/>
    </row>
    <row r="57" spans="1:15" ht="25.5">
      <c r="A57" s="40" t="s">
        <v>30</v>
      </c>
      <c r="B57" s="36" t="s">
        <v>130</v>
      </c>
      <c r="C57" s="38">
        <f>4576271+50763+(15000)-1040-18223-99188-330</f>
        <v>4523253</v>
      </c>
      <c r="D57" s="38">
        <f>2310290-28546</f>
        <v>2281744</v>
      </c>
      <c r="E57" s="38">
        <f>835432-390-41500-330</f>
        <v>793212</v>
      </c>
      <c r="F57" s="38">
        <f t="shared" si="11"/>
        <v>314583</v>
      </c>
      <c r="G57" s="38">
        <v>200583</v>
      </c>
      <c r="H57" s="38"/>
      <c r="I57" s="38"/>
      <c r="J57" s="38">
        <v>114000</v>
      </c>
      <c r="K57" s="38"/>
      <c r="L57" s="38"/>
      <c r="M57" s="59">
        <f t="shared" si="10"/>
        <v>4837836</v>
      </c>
      <c r="N57" s="57"/>
      <c r="O57" s="63"/>
    </row>
    <row r="58" spans="1:15" ht="12.75">
      <c r="A58" s="84" t="s">
        <v>240</v>
      </c>
      <c r="B58" s="78" t="s">
        <v>241</v>
      </c>
      <c r="C58" s="38">
        <f>3536336+7227-1790+181749+64914-88817-4424</f>
        <v>3695195</v>
      </c>
      <c r="D58" s="38">
        <f>2373599+130118+47625-91730</f>
        <v>2459612</v>
      </c>
      <c r="E58" s="38">
        <f>293559+3430-101+4411+33526-4424</f>
        <v>330401</v>
      </c>
      <c r="F58" s="38">
        <f t="shared" si="11"/>
        <v>0</v>
      </c>
      <c r="G58" s="38"/>
      <c r="H58" s="38"/>
      <c r="I58" s="38"/>
      <c r="J58" s="38">
        <f>(5000)-(5000)</f>
        <v>0</v>
      </c>
      <c r="K58" s="38">
        <f>J58</f>
        <v>0</v>
      </c>
      <c r="L58" s="38">
        <f>K58</f>
        <v>0</v>
      </c>
      <c r="M58" s="59">
        <f t="shared" si="10"/>
        <v>3695195</v>
      </c>
      <c r="N58" s="57"/>
      <c r="O58" s="63"/>
    </row>
    <row r="59" spans="1:15" ht="48.75" customHeight="1">
      <c r="A59" s="40" t="s">
        <v>210</v>
      </c>
      <c r="B59" s="36" t="s">
        <v>211</v>
      </c>
      <c r="C59" s="38">
        <v>300500</v>
      </c>
      <c r="D59" s="38"/>
      <c r="E59" s="38"/>
      <c r="F59" s="38">
        <f t="shared" si="11"/>
        <v>0</v>
      </c>
      <c r="G59" s="38"/>
      <c r="H59" s="38"/>
      <c r="I59" s="38"/>
      <c r="J59" s="38"/>
      <c r="K59" s="38"/>
      <c r="L59" s="38"/>
      <c r="M59" s="59">
        <f t="shared" si="10"/>
        <v>300500</v>
      </c>
      <c r="N59" s="57"/>
      <c r="O59" s="63"/>
    </row>
    <row r="60" spans="1:15" ht="102" hidden="1">
      <c r="A60" s="40" t="s">
        <v>218</v>
      </c>
      <c r="B60" s="36" t="s">
        <v>219</v>
      </c>
      <c r="C60" s="38"/>
      <c r="D60" s="38"/>
      <c r="E60" s="38"/>
      <c r="F60" s="38">
        <f t="shared" si="11"/>
        <v>0</v>
      </c>
      <c r="G60" s="38"/>
      <c r="H60" s="38"/>
      <c r="I60" s="38"/>
      <c r="J60" s="38"/>
      <c r="K60" s="38"/>
      <c r="L60" s="38"/>
      <c r="M60" s="59">
        <f t="shared" si="10"/>
        <v>0</v>
      </c>
      <c r="N60" s="57"/>
      <c r="O60" s="63"/>
    </row>
    <row r="61" spans="1:15" ht="25.5" hidden="1">
      <c r="A61" s="40"/>
      <c r="B61" s="36" t="s">
        <v>170</v>
      </c>
      <c r="C61" s="38"/>
      <c r="D61" s="38"/>
      <c r="E61" s="38"/>
      <c r="F61" s="38"/>
      <c r="G61" s="38"/>
      <c r="H61" s="38"/>
      <c r="I61" s="38"/>
      <c r="J61" s="38"/>
      <c r="K61" s="38"/>
      <c r="L61" s="38"/>
      <c r="M61" s="59">
        <f t="shared" si="10"/>
        <v>0</v>
      </c>
      <c r="N61" s="57"/>
      <c r="O61" s="63"/>
    </row>
    <row r="62" spans="1:15" ht="27" customHeight="1">
      <c r="A62" s="40" t="s">
        <v>43</v>
      </c>
      <c r="B62" s="36" t="s">
        <v>99</v>
      </c>
      <c r="C62" s="38">
        <f>SUM(C63:C66)</f>
        <v>3855662</v>
      </c>
      <c r="D62" s="38">
        <f>SUM(D63:D66)</f>
        <v>1749243</v>
      </c>
      <c r="E62" s="38">
        <f>SUM(E63:E66)</f>
        <v>21806</v>
      </c>
      <c r="F62" s="38">
        <f>G62+J62</f>
        <v>189280</v>
      </c>
      <c r="G62" s="38">
        <f aca="true" t="shared" si="13" ref="G62:L62">SUM(G63:G66)</f>
        <v>0</v>
      </c>
      <c r="H62" s="38">
        <f t="shared" si="13"/>
        <v>0</v>
      </c>
      <c r="I62" s="38">
        <f t="shared" si="13"/>
        <v>0</v>
      </c>
      <c r="J62" s="38">
        <f t="shared" si="13"/>
        <v>189280</v>
      </c>
      <c r="K62" s="38">
        <f t="shared" si="13"/>
        <v>189280</v>
      </c>
      <c r="L62" s="38">
        <f t="shared" si="13"/>
        <v>189280</v>
      </c>
      <c r="M62" s="59">
        <f t="shared" si="10"/>
        <v>4044942</v>
      </c>
      <c r="N62" s="57"/>
      <c r="O62" s="63"/>
    </row>
    <row r="63" spans="1:15" ht="25.5">
      <c r="A63" s="40" t="s">
        <v>126</v>
      </c>
      <c r="B63" s="64" t="s">
        <v>209</v>
      </c>
      <c r="C63" s="38">
        <f>1098928+3379+1709314-54880</f>
        <v>2756741</v>
      </c>
      <c r="D63" s="38">
        <f>774870+1154429-274330</f>
        <v>1654969</v>
      </c>
      <c r="E63" s="38">
        <v>21806</v>
      </c>
      <c r="F63" s="38">
        <f>G63+J63</f>
        <v>189280</v>
      </c>
      <c r="G63" s="38"/>
      <c r="H63" s="38"/>
      <c r="I63" s="38"/>
      <c r="J63" s="86">
        <f>K63</f>
        <v>189280</v>
      </c>
      <c r="K63" s="86">
        <f>L63</f>
        <v>189280</v>
      </c>
      <c r="L63" s="86">
        <f>134400+54880</f>
        <v>189280</v>
      </c>
      <c r="M63" s="59">
        <f>C63+F63</f>
        <v>2946021</v>
      </c>
      <c r="N63" s="57"/>
      <c r="O63" s="63"/>
    </row>
    <row r="64" spans="1:15" ht="14.25" customHeight="1">
      <c r="A64" s="40" t="s">
        <v>127</v>
      </c>
      <c r="B64" s="64" t="s">
        <v>215</v>
      </c>
      <c r="C64" s="38">
        <f>182191+6604</f>
        <v>188795</v>
      </c>
      <c r="D64" s="38">
        <v>94274</v>
      </c>
      <c r="E64" s="38"/>
      <c r="F64" s="38">
        <f>G64+J64</f>
        <v>0</v>
      </c>
      <c r="G64" s="38"/>
      <c r="H64" s="38"/>
      <c r="I64" s="38"/>
      <c r="J64" s="38"/>
      <c r="K64" s="38"/>
      <c r="L64" s="38"/>
      <c r="M64" s="59">
        <f>C64+F64</f>
        <v>188795</v>
      </c>
      <c r="N64" s="57"/>
      <c r="O64" s="63"/>
    </row>
    <row r="65" spans="1:15" ht="29.25" customHeight="1">
      <c r="A65" s="40" t="s">
        <v>45</v>
      </c>
      <c r="B65" s="64" t="s">
        <v>171</v>
      </c>
      <c r="C65" s="38">
        <f>402381+96971</f>
        <v>499352</v>
      </c>
      <c r="D65" s="38"/>
      <c r="E65" s="38"/>
      <c r="F65" s="38">
        <f>G65+J65</f>
        <v>0</v>
      </c>
      <c r="G65" s="38"/>
      <c r="H65" s="38"/>
      <c r="I65" s="38"/>
      <c r="J65" s="38"/>
      <c r="K65" s="38"/>
      <c r="L65" s="38"/>
      <c r="M65" s="59">
        <f>C65+F65</f>
        <v>499352</v>
      </c>
      <c r="N65" s="57"/>
      <c r="O65" s="63"/>
    </row>
    <row r="66" spans="1:15" ht="92.25" customHeight="1">
      <c r="A66" s="40" t="s">
        <v>141</v>
      </c>
      <c r="B66" s="36" t="s">
        <v>225</v>
      </c>
      <c r="C66" s="38">
        <f>416000-5266+40</f>
        <v>410774</v>
      </c>
      <c r="D66" s="38"/>
      <c r="E66" s="38"/>
      <c r="F66" s="38"/>
      <c r="G66" s="38"/>
      <c r="H66" s="38"/>
      <c r="I66" s="38"/>
      <c r="J66" s="38"/>
      <c r="K66" s="38"/>
      <c r="L66" s="38"/>
      <c r="M66" s="59">
        <f t="shared" si="10"/>
        <v>410774</v>
      </c>
      <c r="N66" s="57"/>
      <c r="O66" s="63"/>
    </row>
    <row r="67" spans="1:15" ht="14.25" customHeight="1">
      <c r="A67" s="40" t="s">
        <v>167</v>
      </c>
      <c r="B67" s="36" t="s">
        <v>64</v>
      </c>
      <c r="C67" s="38">
        <f>SUM(C68:C72)</f>
        <v>24401840</v>
      </c>
      <c r="D67" s="38">
        <f>SUM(D68:D72)</f>
        <v>13252140</v>
      </c>
      <c r="E67" s="38">
        <f>SUM(E68:E72)</f>
        <v>2672424</v>
      </c>
      <c r="F67" s="38">
        <f t="shared" si="11"/>
        <v>1262687</v>
      </c>
      <c r="G67" s="38">
        <f aca="true" t="shared" si="14" ref="G67:L67">SUM(G68:G72)</f>
        <v>1227187</v>
      </c>
      <c r="H67" s="38">
        <f t="shared" si="14"/>
        <v>271519</v>
      </c>
      <c r="I67" s="38">
        <f t="shared" si="14"/>
        <v>14558</v>
      </c>
      <c r="J67" s="38">
        <f t="shared" si="14"/>
        <v>35500</v>
      </c>
      <c r="K67" s="38">
        <f t="shared" si="14"/>
        <v>22000</v>
      </c>
      <c r="L67" s="38">
        <f t="shared" si="14"/>
        <v>22000</v>
      </c>
      <c r="M67" s="59">
        <f aca="true" t="shared" si="15" ref="M67:M105">C67+F67</f>
        <v>25664527</v>
      </c>
      <c r="N67" s="57"/>
      <c r="O67" s="63"/>
    </row>
    <row r="68" spans="1:15" ht="25.5">
      <c r="A68" s="40">
        <v>130102</v>
      </c>
      <c r="B68" s="83" t="s">
        <v>52</v>
      </c>
      <c r="C68" s="38">
        <f>263200+10000+10643</f>
        <v>283843</v>
      </c>
      <c r="D68" s="38"/>
      <c r="E68" s="38"/>
      <c r="F68" s="38">
        <f t="shared" si="11"/>
        <v>0</v>
      </c>
      <c r="G68" s="38"/>
      <c r="H68" s="38"/>
      <c r="I68" s="38"/>
      <c r="J68" s="38"/>
      <c r="K68" s="38"/>
      <c r="L68" s="38"/>
      <c r="M68" s="59">
        <f t="shared" si="15"/>
        <v>283843</v>
      </c>
      <c r="N68" s="57"/>
      <c r="O68" s="63"/>
    </row>
    <row r="69" spans="1:15" ht="38.25">
      <c r="A69" s="40">
        <v>130107</v>
      </c>
      <c r="B69" s="83" t="s">
        <v>53</v>
      </c>
      <c r="C69" s="38">
        <f>17842301+80117-24177+(7000)+(25000)-10000+(3000)+702376+20000+64200+(12000)+84000</f>
        <v>18805817</v>
      </c>
      <c r="D69" s="38">
        <f>11455509+546795</f>
        <v>12002304</v>
      </c>
      <c r="E69" s="38">
        <f>1913577+10949+64200+84000</f>
        <v>2072726</v>
      </c>
      <c r="F69" s="38">
        <f t="shared" si="11"/>
        <v>1121144</v>
      </c>
      <c r="G69" s="38">
        <v>1099144</v>
      </c>
      <c r="H69" s="38">
        <v>244857</v>
      </c>
      <c r="I69" s="38">
        <v>1200</v>
      </c>
      <c r="J69" s="38">
        <f>(17000)+(5000)</f>
        <v>22000</v>
      </c>
      <c r="K69" s="38">
        <f>(17000)+(5000)</f>
        <v>22000</v>
      </c>
      <c r="L69" s="38">
        <f>K69</f>
        <v>22000</v>
      </c>
      <c r="M69" s="59">
        <f t="shared" si="15"/>
        <v>19926961</v>
      </c>
      <c r="N69" s="57"/>
      <c r="O69" s="63"/>
    </row>
    <row r="70" spans="1:15" ht="25.5">
      <c r="A70" s="40">
        <v>130110</v>
      </c>
      <c r="B70" s="83" t="s">
        <v>54</v>
      </c>
      <c r="C70" s="38">
        <f>4528599+126+65157+15600+271382</f>
        <v>4880864</v>
      </c>
      <c r="D70" s="38">
        <f>962368+56023</f>
        <v>1018391</v>
      </c>
      <c r="E70" s="38">
        <f>467223+15600</f>
        <v>482823</v>
      </c>
      <c r="F70" s="38">
        <f t="shared" si="11"/>
        <v>105283</v>
      </c>
      <c r="G70" s="38">
        <v>94283</v>
      </c>
      <c r="H70" s="38">
        <v>12606</v>
      </c>
      <c r="I70" s="38">
        <v>11191</v>
      </c>
      <c r="J70" s="38">
        <v>11000</v>
      </c>
      <c r="K70" s="38"/>
      <c r="L70" s="38"/>
      <c r="M70" s="59">
        <f t="shared" si="15"/>
        <v>4986147</v>
      </c>
      <c r="N70" s="57"/>
      <c r="O70" s="63"/>
    </row>
    <row r="71" spans="1:15" ht="12.75">
      <c r="A71" s="40" t="s">
        <v>123</v>
      </c>
      <c r="B71" s="64" t="s">
        <v>61</v>
      </c>
      <c r="C71" s="38">
        <f>399100+249+14367+17600</f>
        <v>431316</v>
      </c>
      <c r="D71" s="38">
        <f>218563+12882</f>
        <v>231445</v>
      </c>
      <c r="E71" s="38">
        <f>99275+17600</f>
        <v>116875</v>
      </c>
      <c r="F71" s="38">
        <f t="shared" si="11"/>
        <v>36260</v>
      </c>
      <c r="G71" s="38">
        <v>33760</v>
      </c>
      <c r="H71" s="38">
        <v>14056</v>
      </c>
      <c r="I71" s="38">
        <v>2167</v>
      </c>
      <c r="J71" s="38">
        <v>2500</v>
      </c>
      <c r="K71" s="38"/>
      <c r="L71" s="38"/>
      <c r="M71" s="59">
        <f t="shared" si="15"/>
        <v>467576</v>
      </c>
      <c r="N71" s="57"/>
      <c r="O71" s="63"/>
    </row>
    <row r="72" spans="1:15" ht="16.5" customHeight="1" hidden="1">
      <c r="A72" s="40">
        <v>130113</v>
      </c>
      <c r="B72" s="36" t="s">
        <v>42</v>
      </c>
      <c r="C72" s="38"/>
      <c r="D72" s="38"/>
      <c r="E72" s="38"/>
      <c r="F72" s="38">
        <f t="shared" si="11"/>
        <v>0</v>
      </c>
      <c r="G72" s="38"/>
      <c r="H72" s="38"/>
      <c r="I72" s="38"/>
      <c r="J72" s="38"/>
      <c r="K72" s="38"/>
      <c r="L72" s="38"/>
      <c r="M72" s="59">
        <f t="shared" si="15"/>
        <v>0</v>
      </c>
      <c r="N72" s="57"/>
      <c r="O72" s="63"/>
    </row>
    <row r="73" spans="1:15" ht="38.25" hidden="1">
      <c r="A73" s="40">
        <v>130107</v>
      </c>
      <c r="B73" s="64" t="s">
        <v>53</v>
      </c>
      <c r="C73" s="38"/>
      <c r="D73" s="38"/>
      <c r="E73" s="38"/>
      <c r="F73" s="38">
        <f t="shared" si="11"/>
        <v>0</v>
      </c>
      <c r="G73" s="38"/>
      <c r="H73" s="38"/>
      <c r="I73" s="38"/>
      <c r="J73" s="38"/>
      <c r="K73" s="38"/>
      <c r="L73" s="38"/>
      <c r="M73" s="59">
        <f t="shared" si="15"/>
        <v>0</v>
      </c>
      <c r="N73" s="57"/>
      <c r="O73" s="63"/>
    </row>
    <row r="74" spans="1:15" ht="12.75">
      <c r="A74" s="40" t="s">
        <v>154</v>
      </c>
      <c r="B74" s="64" t="s">
        <v>55</v>
      </c>
      <c r="C74" s="38">
        <f>C75+C76</f>
        <v>0</v>
      </c>
      <c r="D74" s="38">
        <f>D75+D76</f>
        <v>0</v>
      </c>
      <c r="E74" s="38">
        <f>E75+E76</f>
        <v>0</v>
      </c>
      <c r="F74" s="38">
        <f t="shared" si="11"/>
        <v>16460324</v>
      </c>
      <c r="G74" s="38">
        <f>G75+G76</f>
        <v>0</v>
      </c>
      <c r="H74" s="38">
        <f>H75+H76</f>
        <v>0</v>
      </c>
      <c r="I74" s="38">
        <f>I75+I76</f>
        <v>0</v>
      </c>
      <c r="J74" s="38">
        <f>J75+J76</f>
        <v>16460324</v>
      </c>
      <c r="K74" s="38">
        <f>K75+K76</f>
        <v>16460324</v>
      </c>
      <c r="L74" s="38"/>
      <c r="M74" s="59">
        <f t="shared" si="15"/>
        <v>16460324</v>
      </c>
      <c r="N74" s="57"/>
      <c r="O74" s="63"/>
    </row>
    <row r="75" spans="1:15" s="58" customFormat="1" ht="12.75">
      <c r="A75" s="40" t="s">
        <v>121</v>
      </c>
      <c r="B75" s="64" t="s">
        <v>122</v>
      </c>
      <c r="C75" s="38"/>
      <c r="D75" s="38"/>
      <c r="E75" s="38"/>
      <c r="F75" s="38">
        <f t="shared" si="11"/>
        <v>16460324</v>
      </c>
      <c r="G75" s="38"/>
      <c r="H75" s="38"/>
      <c r="I75" s="38"/>
      <c r="J75" s="38">
        <f>K75</f>
        <v>16460324</v>
      </c>
      <c r="K75" s="86">
        <f>14691804+2794634-290000-280650+190109-111000-700000-5081-8492+1000000-200000+310000-931000</f>
        <v>16460324</v>
      </c>
      <c r="L75" s="38"/>
      <c r="M75" s="59">
        <f t="shared" si="15"/>
        <v>16460324</v>
      </c>
      <c r="N75" s="57"/>
      <c r="O75" s="57"/>
    </row>
    <row r="76" spans="1:15" s="61" customFormat="1" ht="12.75" hidden="1">
      <c r="A76" s="40" t="s">
        <v>142</v>
      </c>
      <c r="B76" s="64" t="s">
        <v>143</v>
      </c>
      <c r="C76" s="38"/>
      <c r="D76" s="38"/>
      <c r="E76" s="38"/>
      <c r="F76" s="38">
        <f t="shared" si="11"/>
        <v>0</v>
      </c>
      <c r="G76" s="38"/>
      <c r="H76" s="38"/>
      <c r="I76" s="38"/>
      <c r="J76" s="38"/>
      <c r="K76" s="38">
        <f>J76</f>
        <v>0</v>
      </c>
      <c r="L76" s="38"/>
      <c r="M76" s="59">
        <f t="shared" si="15"/>
        <v>0</v>
      </c>
      <c r="N76" s="57"/>
      <c r="O76" s="60"/>
    </row>
    <row r="77" spans="1:15" ht="25.5" hidden="1">
      <c r="A77" s="40"/>
      <c r="B77" s="64" t="s">
        <v>170</v>
      </c>
      <c r="C77" s="38"/>
      <c r="D77" s="38"/>
      <c r="E77" s="38"/>
      <c r="F77" s="38">
        <f t="shared" si="11"/>
        <v>0</v>
      </c>
      <c r="G77" s="38"/>
      <c r="H77" s="38"/>
      <c r="I77" s="38"/>
      <c r="J77" s="38"/>
      <c r="K77" s="38">
        <f>J77</f>
        <v>0</v>
      </c>
      <c r="L77" s="38"/>
      <c r="M77" s="59">
        <f t="shared" si="15"/>
        <v>0</v>
      </c>
      <c r="N77" s="57"/>
      <c r="O77" s="63"/>
    </row>
    <row r="78" spans="1:15" s="61" customFormat="1" ht="12.75">
      <c r="A78" s="40" t="s">
        <v>157</v>
      </c>
      <c r="B78" s="83" t="s">
        <v>161</v>
      </c>
      <c r="C78" s="38"/>
      <c r="D78" s="38"/>
      <c r="E78" s="38"/>
      <c r="F78" s="38">
        <f>G78+J78</f>
        <v>641856</v>
      </c>
      <c r="G78" s="38">
        <f>G79+G80</f>
        <v>84500</v>
      </c>
      <c r="H78" s="38">
        <f>H79</f>
        <v>0</v>
      </c>
      <c r="I78" s="38">
        <f>I79</f>
        <v>0</v>
      </c>
      <c r="J78" s="38">
        <f>J79+J80</f>
        <v>557356</v>
      </c>
      <c r="K78" s="38">
        <f>K79+K80</f>
        <v>0</v>
      </c>
      <c r="L78" s="38">
        <f>L79+L80</f>
        <v>0</v>
      </c>
      <c r="M78" s="59">
        <f t="shared" si="15"/>
        <v>641856</v>
      </c>
      <c r="N78" s="57"/>
      <c r="O78" s="60"/>
    </row>
    <row r="79" spans="1:15" ht="25.5">
      <c r="A79" s="40" t="s">
        <v>120</v>
      </c>
      <c r="B79" s="64" t="s">
        <v>136</v>
      </c>
      <c r="C79" s="38"/>
      <c r="D79" s="38"/>
      <c r="E79" s="38"/>
      <c r="F79" s="38">
        <f t="shared" si="11"/>
        <v>641856</v>
      </c>
      <c r="G79" s="38">
        <f>24500+60000</f>
        <v>84500</v>
      </c>
      <c r="H79" s="38"/>
      <c r="I79" s="38"/>
      <c r="J79" s="38">
        <f>426000+131356</f>
        <v>557356</v>
      </c>
      <c r="K79" s="38"/>
      <c r="L79" s="38"/>
      <c r="M79" s="59">
        <f>C79+F79</f>
        <v>641856</v>
      </c>
      <c r="N79" s="57"/>
      <c r="O79" s="63"/>
    </row>
    <row r="80" spans="1:15" ht="25.5" hidden="1">
      <c r="A80" s="120" t="s">
        <v>59</v>
      </c>
      <c r="B80" s="121" t="s">
        <v>116</v>
      </c>
      <c r="C80" s="86"/>
      <c r="D80" s="86"/>
      <c r="E80" s="86"/>
      <c r="F80" s="86">
        <f t="shared" si="11"/>
        <v>0</v>
      </c>
      <c r="G80" s="86">
        <f>262546-262546</f>
        <v>0</v>
      </c>
      <c r="H80" s="86"/>
      <c r="I80" s="86"/>
      <c r="J80" s="86">
        <f>98000-98000</f>
        <v>0</v>
      </c>
      <c r="K80" s="86"/>
      <c r="L80" s="86"/>
      <c r="M80" s="122">
        <f t="shared" si="15"/>
        <v>0</v>
      </c>
      <c r="N80" s="57"/>
      <c r="O80" s="63"/>
    </row>
    <row r="81" spans="1:15" ht="25.5">
      <c r="A81" s="111" t="s">
        <v>321</v>
      </c>
      <c r="B81" s="112" t="s">
        <v>274</v>
      </c>
      <c r="C81" s="55">
        <f>C82+C84+C96+C100</f>
        <v>569720929</v>
      </c>
      <c r="D81" s="55">
        <f>D82+D84+D96+D100</f>
        <v>338337818</v>
      </c>
      <c r="E81" s="55">
        <f>E82+E84+E96+E100</f>
        <v>56099777</v>
      </c>
      <c r="F81" s="55">
        <f>F83+F84+F101+F97+F98</f>
        <v>37849990</v>
      </c>
      <c r="G81" s="55">
        <f aca="true" t="shared" si="16" ref="G81:L81">G82+G84+G96+G100</f>
        <v>17990461</v>
      </c>
      <c r="H81" s="55">
        <f t="shared" si="16"/>
        <v>7399138</v>
      </c>
      <c r="I81" s="55">
        <f t="shared" si="16"/>
        <v>986255</v>
      </c>
      <c r="J81" s="55">
        <f t="shared" si="16"/>
        <v>19859529</v>
      </c>
      <c r="K81" s="55">
        <f t="shared" si="16"/>
        <v>19134221</v>
      </c>
      <c r="L81" s="55">
        <f t="shared" si="16"/>
        <v>1317242</v>
      </c>
      <c r="M81" s="56">
        <f t="shared" si="15"/>
        <v>607570919</v>
      </c>
      <c r="N81" s="57"/>
      <c r="O81" s="63"/>
    </row>
    <row r="82" spans="1:15" ht="12.75">
      <c r="A82" s="43" t="s">
        <v>150</v>
      </c>
      <c r="B82" s="44" t="s">
        <v>151</v>
      </c>
      <c r="C82" s="37">
        <f>C83</f>
        <v>1122830</v>
      </c>
      <c r="D82" s="37">
        <f>D83</f>
        <v>658576</v>
      </c>
      <c r="E82" s="37">
        <f>E83</f>
        <v>135740</v>
      </c>
      <c r="F82" s="38">
        <f>F83</f>
        <v>0</v>
      </c>
      <c r="G82" s="38">
        <f aca="true" t="shared" si="17" ref="G82:L82">G83</f>
        <v>0</v>
      </c>
      <c r="H82" s="38">
        <f t="shared" si="17"/>
        <v>0</v>
      </c>
      <c r="I82" s="38">
        <f t="shared" si="17"/>
        <v>0</v>
      </c>
      <c r="J82" s="38">
        <f t="shared" si="17"/>
        <v>0</v>
      </c>
      <c r="K82" s="38">
        <f t="shared" si="17"/>
        <v>0</v>
      </c>
      <c r="L82" s="38">
        <f t="shared" si="17"/>
        <v>0</v>
      </c>
      <c r="M82" s="59">
        <f t="shared" si="15"/>
        <v>1122830</v>
      </c>
      <c r="N82" s="57"/>
      <c r="O82" s="63"/>
    </row>
    <row r="83" spans="1:15" ht="12.75">
      <c r="A83" s="40" t="s">
        <v>21</v>
      </c>
      <c r="B83" s="62" t="s">
        <v>22</v>
      </c>
      <c r="C83" s="38">
        <f>965940+7620+15096+46730-19150+48274+58320</f>
        <v>1122830</v>
      </c>
      <c r="D83" s="38">
        <f>612580+34285-29530-2184+43425</f>
        <v>658576</v>
      </c>
      <c r="E83" s="38">
        <f>103640+32100</f>
        <v>135740</v>
      </c>
      <c r="F83" s="38">
        <f aca="true" t="shared" si="18" ref="F83:F101">G83+J83</f>
        <v>0</v>
      </c>
      <c r="G83" s="38"/>
      <c r="H83" s="38"/>
      <c r="I83" s="38"/>
      <c r="J83" s="38">
        <f>19150-19150</f>
        <v>0</v>
      </c>
      <c r="K83" s="38">
        <f>J83</f>
        <v>0</v>
      </c>
      <c r="L83" s="38"/>
      <c r="M83" s="59">
        <f t="shared" si="15"/>
        <v>1122830</v>
      </c>
      <c r="N83" s="57"/>
      <c r="O83" s="63"/>
    </row>
    <row r="84" spans="1:15" ht="12.75">
      <c r="A84" s="43" t="s">
        <v>31</v>
      </c>
      <c r="B84" s="71" t="s">
        <v>32</v>
      </c>
      <c r="C84" s="38">
        <f>SUM(C85:C95)</f>
        <v>568598099</v>
      </c>
      <c r="D84" s="38">
        <f>SUM(D85:D95)</f>
        <v>337679242</v>
      </c>
      <c r="E84" s="38">
        <f>SUM(E85:E95)</f>
        <v>55964037</v>
      </c>
      <c r="F84" s="38">
        <f t="shared" si="18"/>
        <v>25611648</v>
      </c>
      <c r="G84" s="38">
        <f aca="true" t="shared" si="19" ref="G84:L84">G85+G87+G88+G90+G91+G92+G93+G94+G95</f>
        <v>17990461</v>
      </c>
      <c r="H84" s="38">
        <f t="shared" si="19"/>
        <v>7399138</v>
      </c>
      <c r="I84" s="38">
        <f t="shared" si="19"/>
        <v>986255</v>
      </c>
      <c r="J84" s="38">
        <f t="shared" si="19"/>
        <v>7621187</v>
      </c>
      <c r="K84" s="38">
        <f t="shared" si="19"/>
        <v>6895879</v>
      </c>
      <c r="L84" s="38">
        <f t="shared" si="19"/>
        <v>1317242</v>
      </c>
      <c r="M84" s="59">
        <f t="shared" si="15"/>
        <v>594209747</v>
      </c>
      <c r="N84" s="57"/>
      <c r="O84" s="63"/>
    </row>
    <row r="85" spans="1:15" ht="12.75">
      <c r="A85" s="40" t="s">
        <v>33</v>
      </c>
      <c r="B85" s="36" t="s">
        <v>34</v>
      </c>
      <c r="C85" s="38">
        <f>391546565-53913+1687381+348965+(110000)+(35000)+(23000)-62505+(57000)+176000-126000+11570+(10000)+78850+(16000)+(4000)-180935+(8000)-300000+(6800)+786900+(10000)+97096+24765+201065+12860+4500000+(43000)+1007011+(5000)+2182893-1002014-33798+(7000)</f>
        <v>401237556</v>
      </c>
      <c r="D85" s="38">
        <f>238964603+3300000+740777-1386379-740777-91322</f>
        <v>240786902</v>
      </c>
      <c r="E85" s="38">
        <f>35956207-26335+4025989</f>
        <v>39955861</v>
      </c>
      <c r="F85" s="38">
        <f>G85+J85</f>
        <v>13396582</v>
      </c>
      <c r="G85" s="38">
        <v>7113243</v>
      </c>
      <c r="H85" s="38">
        <v>2397435</v>
      </c>
      <c r="I85" s="38">
        <v>356623</v>
      </c>
      <c r="J85" s="141">
        <f>214119+65000+2286136+326533+180000+(182000)+(48000)+(4000)-10000+(44700)+36450+(10000)+195439-(6800)+(16000)-(4000)-832+89654-12860+(1200)+(5000)+(15000)+2564100+18000+(26500)-(10000)</f>
        <v>6283339</v>
      </c>
      <c r="K85" s="38">
        <f>65000+2286136+326533+180000+(182000)+(48000)+(4000)-10000+(44700)+36450+(10000)+195439-(6800)+(16000)-(4000)-832+89654-12860+(1200)+(5000)+(15000)+2564100+18000+(26500)-(10000)</f>
        <v>6069220</v>
      </c>
      <c r="L85" s="38">
        <f>65000+2286136-1744716+(182000)+(48000)+(4000)-10000+(44700)+(10000)+195439-(6800)+(16000)-(4000)-832-195439+(1200)+(5000)+(15000)+(26500)-(10000)</f>
        <v>927188</v>
      </c>
      <c r="M85" s="59">
        <f t="shared" si="15"/>
        <v>414634138</v>
      </c>
      <c r="N85" s="57"/>
      <c r="O85" s="63"/>
    </row>
    <row r="86" spans="1:15" ht="42" customHeight="1" hidden="1">
      <c r="A86" s="40"/>
      <c r="B86" s="106" t="s">
        <v>257</v>
      </c>
      <c r="C86" s="38"/>
      <c r="D86" s="38"/>
      <c r="E86" s="38"/>
      <c r="F86" s="38">
        <f t="shared" si="18"/>
        <v>0</v>
      </c>
      <c r="G86" s="38"/>
      <c r="H86" s="38"/>
      <c r="I86" s="38"/>
      <c r="J86" s="38">
        <f>K86</f>
        <v>0</v>
      </c>
      <c r="K86" s="38"/>
      <c r="L86" s="38"/>
      <c r="M86" s="59">
        <f t="shared" si="15"/>
        <v>0</v>
      </c>
      <c r="N86" s="57"/>
      <c r="O86" s="63"/>
    </row>
    <row r="87" spans="1:15" ht="12.75">
      <c r="A87" s="40" t="s">
        <v>70</v>
      </c>
      <c r="B87" s="36" t="s">
        <v>71</v>
      </c>
      <c r="C87" s="38">
        <f>56931008-1376589+352148+(30000)+(5000)+18474+(4000)+(3000)+(7000)+(31000)-25000+(10000)+274800-(7000)+85590-1042019+(5000)+3252+1002014+(5000)+(40000)</f>
        <v>56356678</v>
      </c>
      <c r="D87" s="38">
        <f>34400247-1012198-740777-707986+740777</f>
        <v>32680063</v>
      </c>
      <c r="E87" s="38">
        <f>7744772+309729+32303+85590+958342</f>
        <v>9130736</v>
      </c>
      <c r="F87" s="38">
        <f t="shared" si="18"/>
        <v>860818</v>
      </c>
      <c r="G87" s="38">
        <v>657757</v>
      </c>
      <c r="H87" s="38">
        <v>9655</v>
      </c>
      <c r="I87" s="38"/>
      <c r="J87" s="38">
        <f>3500+33000+(10000)+(31000)+(10000)-(31000)+104561+(7000)+(10000)+(5000)+(10000)+(10000)</f>
        <v>203061</v>
      </c>
      <c r="K87" s="38">
        <f>33000+(10000)+(31000)+(10000)-(31000)+104561+(7000)+(10000)+(5000)+(10000)+(10000)</f>
        <v>199561</v>
      </c>
      <c r="L87" s="38">
        <f>(10000)+(31000)+(10000)-(31000)+104561+(7000)+(10000)-104561+(5000)+(10000)+(10000)</f>
        <v>62000</v>
      </c>
      <c r="M87" s="59">
        <f t="shared" si="15"/>
        <v>57217496</v>
      </c>
      <c r="N87" s="57"/>
      <c r="O87" s="63"/>
    </row>
    <row r="88" spans="1:15" ht="51">
      <c r="A88" s="40" t="s">
        <v>35</v>
      </c>
      <c r="B88" s="36" t="s">
        <v>131</v>
      </c>
      <c r="C88" s="38">
        <f>77840316+1457389+74142+462797+(15000)-8853+(33000)+(48000)+(7000)-35559+(5000)+75000+(15000)+100115+(5000)+90995+(7000)+341643</f>
        <v>80532985</v>
      </c>
      <c r="D88" s="38">
        <f>51301376+1012198-165148</f>
        <v>52148426</v>
      </c>
      <c r="E88" s="38">
        <f>4883922+38292-158+604746</f>
        <v>5526802</v>
      </c>
      <c r="F88" s="38">
        <f t="shared" si="18"/>
        <v>4457608</v>
      </c>
      <c r="G88" s="38">
        <v>3682187</v>
      </c>
      <c r="H88" s="38">
        <v>1518378</v>
      </c>
      <c r="I88" s="38">
        <v>155438</v>
      </c>
      <c r="J88" s="38">
        <f>169661+355810+(132650)+(47700)+(2000)-(26000)-(7000)+(10000)+(15000)-(15000)+55330+(8500)+(15870)+(3900)+(7000)</f>
        <v>775421</v>
      </c>
      <c r="K88" s="38">
        <f>355810+(132650)+(47700)+(2000)-(26000)-(7000)+(10000)+(15000)-(15000)+55330+(8500)+(15870)+(3900)+(7000)</f>
        <v>605760</v>
      </c>
      <c r="L88" s="38">
        <f>355810-242284+(132650)+(47700)+(2000)-(26000)-(7000)+(10000)+(15000)-(15000)+(8500)+(15870)+(3900)+(7000)</f>
        <v>308146</v>
      </c>
      <c r="M88" s="59">
        <f t="shared" si="15"/>
        <v>84990593</v>
      </c>
      <c r="N88" s="57"/>
      <c r="O88" s="63"/>
    </row>
    <row r="89" spans="1:15" ht="65.25" customHeight="1" hidden="1">
      <c r="A89" s="40"/>
      <c r="B89" s="85" t="s">
        <v>257</v>
      </c>
      <c r="C89" s="38"/>
      <c r="D89" s="38"/>
      <c r="E89" s="38"/>
      <c r="F89" s="38">
        <f t="shared" si="18"/>
        <v>0</v>
      </c>
      <c r="G89" s="38"/>
      <c r="H89" s="38"/>
      <c r="I89" s="38"/>
      <c r="J89" s="38"/>
      <c r="K89" s="38"/>
      <c r="L89" s="38"/>
      <c r="M89" s="59">
        <f t="shared" si="15"/>
        <v>0</v>
      </c>
      <c r="N89" s="57"/>
      <c r="O89" s="63"/>
    </row>
    <row r="90" spans="1:15" ht="25.5">
      <c r="A90" s="40" t="s">
        <v>36</v>
      </c>
      <c r="B90" s="44" t="s">
        <v>37</v>
      </c>
      <c r="C90" s="38">
        <f>12453422+86957+(4000)+62884+4834994+10000-218947-27317-210119</f>
        <v>16995874</v>
      </c>
      <c r="D90" s="38">
        <f>7051117+3381400-143135</f>
        <v>10289382</v>
      </c>
      <c r="E90" s="38">
        <f>741528+64173+564910-96047-13825</f>
        <v>1260739</v>
      </c>
      <c r="F90" s="38">
        <f t="shared" si="18"/>
        <v>6875302</v>
      </c>
      <c r="G90" s="38">
        <v>6537274</v>
      </c>
      <c r="H90" s="38">
        <v>3473670</v>
      </c>
      <c r="I90" s="38">
        <v>474194</v>
      </c>
      <c r="J90" s="38">
        <v>338028</v>
      </c>
      <c r="K90" s="38"/>
      <c r="L90" s="38"/>
      <c r="M90" s="59">
        <f t="shared" si="15"/>
        <v>23871176</v>
      </c>
      <c r="N90" s="57"/>
      <c r="O90" s="63"/>
    </row>
    <row r="91" spans="1:15" ht="25.5">
      <c r="A91" s="40" t="s">
        <v>38</v>
      </c>
      <c r="B91" s="36" t="s">
        <v>103</v>
      </c>
      <c r="C91" s="38">
        <f>290623+5695-1430-24309</f>
        <v>270579</v>
      </c>
      <c r="D91" s="38">
        <f>194543-16640</f>
        <v>177903</v>
      </c>
      <c r="E91" s="38">
        <f>13797-1629</f>
        <v>12168</v>
      </c>
      <c r="F91" s="38">
        <f t="shared" si="18"/>
        <v>1430</v>
      </c>
      <c r="G91" s="38"/>
      <c r="H91" s="38"/>
      <c r="I91" s="38"/>
      <c r="J91" s="38">
        <v>1430</v>
      </c>
      <c r="K91" s="38">
        <v>1430</v>
      </c>
      <c r="L91" s="38"/>
      <c r="M91" s="59">
        <f t="shared" si="15"/>
        <v>272009</v>
      </c>
      <c r="N91" s="57"/>
      <c r="O91" s="63"/>
    </row>
    <row r="92" spans="1:15" ht="27.75" customHeight="1">
      <c r="A92" s="40" t="s">
        <v>39</v>
      </c>
      <c r="B92" s="36" t="s">
        <v>132</v>
      </c>
      <c r="C92" s="38">
        <f>9449056-26887+13289-15605-63022-3463-389182+6638</f>
        <v>8970824</v>
      </c>
      <c r="D92" s="38">
        <f>382558+4877</f>
        <v>387435</v>
      </c>
      <c r="E92" s="38">
        <f>28717-1500-3463</f>
        <v>23754</v>
      </c>
      <c r="F92" s="38">
        <f t="shared" si="18"/>
        <v>0</v>
      </c>
      <c r="G92" s="38"/>
      <c r="H92" s="38"/>
      <c r="I92" s="38"/>
      <c r="J92" s="38"/>
      <c r="K92" s="38"/>
      <c r="L92" s="38"/>
      <c r="M92" s="59">
        <f t="shared" si="15"/>
        <v>8970824</v>
      </c>
      <c r="N92" s="57"/>
      <c r="O92" s="63"/>
    </row>
    <row r="93" spans="1:15" ht="39.75" customHeight="1">
      <c r="A93" s="40" t="s">
        <v>40</v>
      </c>
      <c r="B93" s="36" t="s">
        <v>133</v>
      </c>
      <c r="C93" s="38">
        <f>35846+427</f>
        <v>36273</v>
      </c>
      <c r="D93" s="38">
        <v>26260</v>
      </c>
      <c r="E93" s="38"/>
      <c r="F93" s="38">
        <f t="shared" si="18"/>
        <v>0</v>
      </c>
      <c r="G93" s="38"/>
      <c r="H93" s="38"/>
      <c r="I93" s="38"/>
      <c r="J93" s="38"/>
      <c r="K93" s="38"/>
      <c r="L93" s="38"/>
      <c r="M93" s="59">
        <f t="shared" si="15"/>
        <v>36273</v>
      </c>
      <c r="N93" s="57"/>
      <c r="O93" s="63"/>
    </row>
    <row r="94" spans="1:15" ht="18.75" customHeight="1">
      <c r="A94" s="40" t="s">
        <v>41</v>
      </c>
      <c r="B94" s="36" t="s">
        <v>42</v>
      </c>
      <c r="C94" s="38">
        <f>1873364+41853-20624</f>
        <v>1894593</v>
      </c>
      <c r="D94" s="38">
        <v>1182871</v>
      </c>
      <c r="E94" s="38">
        <f>54437-460</f>
        <v>53977</v>
      </c>
      <c r="F94" s="38">
        <f t="shared" si="18"/>
        <v>19908</v>
      </c>
      <c r="G94" s="38"/>
      <c r="H94" s="38"/>
      <c r="I94" s="38"/>
      <c r="J94" s="38">
        <v>19908</v>
      </c>
      <c r="K94" s="38">
        <v>19908</v>
      </c>
      <c r="L94" s="38">
        <v>19908</v>
      </c>
      <c r="M94" s="59">
        <f t="shared" si="15"/>
        <v>1914501</v>
      </c>
      <c r="N94" s="57"/>
      <c r="O94" s="63"/>
    </row>
    <row r="95" spans="1:15" ht="38.25">
      <c r="A95" s="40" t="s">
        <v>117</v>
      </c>
      <c r="B95" s="64" t="s">
        <v>172</v>
      </c>
      <c r="C95" s="38">
        <f>1976800-63245+389182</f>
        <v>2302737</v>
      </c>
      <c r="D95" s="38"/>
      <c r="E95" s="38"/>
      <c r="F95" s="38">
        <f t="shared" si="18"/>
        <v>0</v>
      </c>
      <c r="G95" s="38"/>
      <c r="H95" s="38"/>
      <c r="I95" s="38"/>
      <c r="J95" s="38"/>
      <c r="K95" s="38"/>
      <c r="L95" s="38"/>
      <c r="M95" s="59">
        <f t="shared" si="15"/>
        <v>2302737</v>
      </c>
      <c r="N95" s="57"/>
      <c r="O95" s="63"/>
    </row>
    <row r="96" spans="1:15" s="58" customFormat="1" ht="12.75">
      <c r="A96" s="40" t="s">
        <v>154</v>
      </c>
      <c r="B96" s="64" t="s">
        <v>55</v>
      </c>
      <c r="C96" s="38">
        <f>C97+C98</f>
        <v>0</v>
      </c>
      <c r="D96" s="38">
        <f>D97+D98</f>
        <v>0</v>
      </c>
      <c r="E96" s="38">
        <f>E97+E98</f>
        <v>0</v>
      </c>
      <c r="F96" s="38">
        <f t="shared" si="18"/>
        <v>12238342</v>
      </c>
      <c r="G96" s="38">
        <f>G97+G98</f>
        <v>0</v>
      </c>
      <c r="H96" s="38">
        <f>H97+H98</f>
        <v>0</v>
      </c>
      <c r="I96" s="38">
        <f>I97+I98</f>
        <v>0</v>
      </c>
      <c r="J96" s="38">
        <f>J97+J98</f>
        <v>12238342</v>
      </c>
      <c r="K96" s="38">
        <f>K97+K98</f>
        <v>12238342</v>
      </c>
      <c r="L96" s="38">
        <f>L97</f>
        <v>0</v>
      </c>
      <c r="M96" s="59">
        <f t="shared" si="15"/>
        <v>12238342</v>
      </c>
      <c r="N96" s="57"/>
      <c r="O96" s="57"/>
    </row>
    <row r="97" spans="1:15" s="61" customFormat="1" ht="12.75">
      <c r="A97" s="40" t="s">
        <v>121</v>
      </c>
      <c r="B97" s="36" t="s">
        <v>122</v>
      </c>
      <c r="C97" s="38"/>
      <c r="D97" s="38"/>
      <c r="E97" s="38"/>
      <c r="F97" s="38">
        <f t="shared" si="18"/>
        <v>12238342</v>
      </c>
      <c r="G97" s="38"/>
      <c r="H97" s="38"/>
      <c r="I97" s="38"/>
      <c r="J97" s="38">
        <f>K97</f>
        <v>12238342</v>
      </c>
      <c r="K97" s="86">
        <f>16295891+1045026-3380134-1900000-6230+183789</f>
        <v>12238342</v>
      </c>
      <c r="L97" s="38">
        <f>L99</f>
        <v>0</v>
      </c>
      <c r="M97" s="59">
        <f t="shared" si="15"/>
        <v>12238342</v>
      </c>
      <c r="N97" s="57"/>
      <c r="O97" s="60"/>
    </row>
    <row r="98" spans="1:15" ht="12.75" hidden="1">
      <c r="A98" s="40" t="s">
        <v>142</v>
      </c>
      <c r="B98" s="36" t="s">
        <v>143</v>
      </c>
      <c r="C98" s="38"/>
      <c r="D98" s="38"/>
      <c r="E98" s="38"/>
      <c r="F98" s="38">
        <f>G98+J98</f>
        <v>0</v>
      </c>
      <c r="G98" s="38"/>
      <c r="H98" s="38"/>
      <c r="I98" s="38"/>
      <c r="J98" s="38"/>
      <c r="K98" s="38"/>
      <c r="L98" s="38"/>
      <c r="M98" s="59">
        <f t="shared" si="15"/>
        <v>0</v>
      </c>
      <c r="N98" s="57"/>
      <c r="O98" s="63"/>
    </row>
    <row r="99" spans="1:14" s="3" customFormat="1" ht="51" hidden="1">
      <c r="A99" s="40"/>
      <c r="B99" s="83" t="s">
        <v>301</v>
      </c>
      <c r="C99" s="38"/>
      <c r="D99" s="38"/>
      <c r="E99" s="38"/>
      <c r="F99" s="38">
        <f>G99+J99</f>
        <v>0</v>
      </c>
      <c r="G99" s="38"/>
      <c r="H99" s="38"/>
      <c r="I99" s="38"/>
      <c r="J99" s="38"/>
      <c r="K99" s="38">
        <f>J99</f>
        <v>0</v>
      </c>
      <c r="L99" s="38">
        <f>K99</f>
        <v>0</v>
      </c>
      <c r="M99" s="59">
        <f t="shared" si="15"/>
        <v>0</v>
      </c>
      <c r="N99" s="57"/>
    </row>
    <row r="100" spans="1:14" s="3" customFormat="1" ht="12.75" hidden="1">
      <c r="A100" s="40" t="s">
        <v>157</v>
      </c>
      <c r="B100" s="64" t="s">
        <v>161</v>
      </c>
      <c r="C100" s="38">
        <f>C101</f>
        <v>0</v>
      </c>
      <c r="D100" s="38"/>
      <c r="E100" s="38"/>
      <c r="F100" s="38">
        <f t="shared" si="18"/>
        <v>0</v>
      </c>
      <c r="G100" s="38">
        <f>G101</f>
        <v>0</v>
      </c>
      <c r="H100" s="38">
        <f>H101</f>
        <v>0</v>
      </c>
      <c r="I100" s="38">
        <f>I101</f>
        <v>0</v>
      </c>
      <c r="J100" s="38">
        <f>J101</f>
        <v>0</v>
      </c>
      <c r="K100" s="38">
        <f>K101</f>
        <v>0</v>
      </c>
      <c r="L100" s="38"/>
      <c r="M100" s="59">
        <f t="shared" si="15"/>
        <v>0</v>
      </c>
      <c r="N100" s="57"/>
    </row>
    <row r="101" spans="1:14" s="3" customFormat="1" ht="39.75" customHeight="1" hidden="1">
      <c r="A101" s="40" t="s">
        <v>59</v>
      </c>
      <c r="B101" s="64" t="s">
        <v>116</v>
      </c>
      <c r="C101" s="38"/>
      <c r="D101" s="38"/>
      <c r="E101" s="38"/>
      <c r="F101" s="38">
        <f t="shared" si="18"/>
        <v>0</v>
      </c>
      <c r="G101" s="38"/>
      <c r="H101" s="38"/>
      <c r="I101" s="38"/>
      <c r="J101" s="38"/>
      <c r="K101" s="38"/>
      <c r="L101" s="38"/>
      <c r="M101" s="59">
        <f t="shared" si="15"/>
        <v>0</v>
      </c>
      <c r="N101" s="57"/>
    </row>
    <row r="102" spans="1:14" s="3" customFormat="1" ht="41.25" customHeight="1">
      <c r="A102" s="111" t="s">
        <v>322</v>
      </c>
      <c r="B102" s="112" t="s">
        <v>277</v>
      </c>
      <c r="C102" s="154">
        <f>C103+C105+C108+C163+C165+C174+C176</f>
        <v>711137623.3299999</v>
      </c>
      <c r="D102" s="154">
        <f>D103+D105+D108+D163+D165+D174+D176</f>
        <v>25032687</v>
      </c>
      <c r="E102" s="154">
        <f>E103+E105+E108+E163+E165+E174+E176</f>
        <v>2666560</v>
      </c>
      <c r="F102" s="154">
        <f>G102+J102</f>
        <v>6638572.67</v>
      </c>
      <c r="G102" s="154">
        <f aca="true" t="shared" si="20" ref="G102:L102">G103+G105+G108+G163+G165+G174+G176</f>
        <v>223597</v>
      </c>
      <c r="H102" s="154">
        <f t="shared" si="20"/>
        <v>80437</v>
      </c>
      <c r="I102" s="154">
        <f t="shared" si="20"/>
        <v>830</v>
      </c>
      <c r="J102" s="154">
        <f t="shared" si="20"/>
        <v>6414975.67</v>
      </c>
      <c r="K102" s="154">
        <f t="shared" si="20"/>
        <v>6412775.67</v>
      </c>
      <c r="L102" s="154">
        <f t="shared" si="20"/>
        <v>135768.66999999998</v>
      </c>
      <c r="M102" s="155">
        <f t="shared" si="15"/>
        <v>717776195.9999999</v>
      </c>
      <c r="N102" s="57"/>
    </row>
    <row r="103" spans="1:14" s="3" customFormat="1" ht="12.75">
      <c r="A103" s="43" t="s">
        <v>150</v>
      </c>
      <c r="B103" s="44" t="s">
        <v>151</v>
      </c>
      <c r="C103" s="37">
        <f>C104</f>
        <v>23556154</v>
      </c>
      <c r="D103" s="37">
        <f>D104</f>
        <v>15908152</v>
      </c>
      <c r="E103" s="37">
        <f>E104</f>
        <v>1014101</v>
      </c>
      <c r="F103" s="38">
        <f>G103+J103</f>
        <v>607642</v>
      </c>
      <c r="G103" s="37">
        <f aca="true" t="shared" si="21" ref="G103:L103">G104</f>
        <v>0</v>
      </c>
      <c r="H103" s="37">
        <f t="shared" si="21"/>
        <v>0</v>
      </c>
      <c r="I103" s="37">
        <f t="shared" si="21"/>
        <v>0</v>
      </c>
      <c r="J103" s="37">
        <f t="shared" si="21"/>
        <v>607642</v>
      </c>
      <c r="K103" s="37">
        <f t="shared" si="21"/>
        <v>607642</v>
      </c>
      <c r="L103" s="37">
        <f t="shared" si="21"/>
        <v>79642</v>
      </c>
      <c r="M103" s="59">
        <f t="shared" si="15"/>
        <v>24163796</v>
      </c>
      <c r="N103" s="57"/>
    </row>
    <row r="104" spans="1:14" s="3" customFormat="1" ht="12.75">
      <c r="A104" s="40" t="s">
        <v>21</v>
      </c>
      <c r="B104" s="62" t="s">
        <v>22</v>
      </c>
      <c r="C104" s="38">
        <f>20400430+166742-12120+1263622+7500+87100+9800-23+107900-5-6+1515414+9800</f>
        <v>23556154</v>
      </c>
      <c r="D104" s="38">
        <f>13946910-12120+934685-22360-56741+1117778</f>
        <v>15908152</v>
      </c>
      <c r="E104" s="38">
        <f>896430+6000+24605+87100-23-5-6</f>
        <v>1014101</v>
      </c>
      <c r="F104" s="38">
        <f>G104+J104</f>
        <v>607642</v>
      </c>
      <c r="G104" s="38"/>
      <c r="H104" s="38"/>
      <c r="I104" s="38"/>
      <c r="J104" s="86">
        <f>79642+528000</f>
        <v>607642</v>
      </c>
      <c r="K104" s="86">
        <f>J104</f>
        <v>607642</v>
      </c>
      <c r="L104" s="86">
        <v>79642</v>
      </c>
      <c r="M104" s="59">
        <f t="shared" si="15"/>
        <v>24163796</v>
      </c>
      <c r="N104" s="57"/>
    </row>
    <row r="105" spans="1:14" s="3" customFormat="1" ht="12.75">
      <c r="A105" s="9" t="s">
        <v>23</v>
      </c>
      <c r="B105" s="15" t="s">
        <v>24</v>
      </c>
      <c r="C105" s="27">
        <f>C106</f>
        <v>450028</v>
      </c>
      <c r="D105" s="27">
        <f>D106</f>
        <v>0</v>
      </c>
      <c r="E105" s="27">
        <f>E106</f>
        <v>0</v>
      </c>
      <c r="F105" s="27">
        <f>G105+J105</f>
        <v>0</v>
      </c>
      <c r="G105" s="27"/>
      <c r="H105" s="27"/>
      <c r="I105" s="27"/>
      <c r="J105" s="150">
        <f>K105</f>
        <v>0</v>
      </c>
      <c r="K105" s="150">
        <f>L105</f>
        <v>0</v>
      </c>
      <c r="L105" s="150"/>
      <c r="M105" s="26">
        <f t="shared" si="15"/>
        <v>450028</v>
      </c>
      <c r="N105" s="57"/>
    </row>
    <row r="106" spans="1:14" s="3" customFormat="1" ht="27.75" customHeight="1">
      <c r="A106" s="9" t="s">
        <v>15</v>
      </c>
      <c r="B106" s="15" t="s">
        <v>16</v>
      </c>
      <c r="C106" s="27">
        <f>449315+713</f>
        <v>450028</v>
      </c>
      <c r="D106" s="27"/>
      <c r="E106" s="27"/>
      <c r="F106" s="27">
        <f>G106+J106</f>
        <v>0</v>
      </c>
      <c r="G106" s="27"/>
      <c r="H106" s="27"/>
      <c r="I106" s="27"/>
      <c r="J106" s="27"/>
      <c r="K106" s="27"/>
      <c r="L106" s="27"/>
      <c r="M106" s="26">
        <f aca="true" t="shared" si="22" ref="M106:M115">C106+F106</f>
        <v>450028</v>
      </c>
      <c r="N106" s="57"/>
    </row>
    <row r="107" spans="1:14" s="3" customFormat="1" ht="100.5" customHeight="1">
      <c r="A107" s="9"/>
      <c r="B107" s="103" t="s">
        <v>258</v>
      </c>
      <c r="C107" s="27">
        <f>C106</f>
        <v>450028</v>
      </c>
      <c r="D107" s="27"/>
      <c r="E107" s="27"/>
      <c r="F107" s="27"/>
      <c r="G107" s="27"/>
      <c r="H107" s="27"/>
      <c r="I107" s="27"/>
      <c r="J107" s="27"/>
      <c r="K107" s="27"/>
      <c r="L107" s="27"/>
      <c r="M107" s="26">
        <f t="shared" si="22"/>
        <v>450028</v>
      </c>
      <c r="N107" s="57"/>
    </row>
    <row r="108" spans="1:14" s="3" customFormat="1" ht="25.5">
      <c r="A108" s="40" t="s">
        <v>43</v>
      </c>
      <c r="B108" s="64" t="s">
        <v>99</v>
      </c>
      <c r="C108" s="152">
        <f>C109+C111+C113+C115+C118+C121+C123+C125+C127+C129+C131+C133+C135+C137+C139+C141+C143+C145+C147+C149+C151+C153+C155+C157+C158+C160+C161+C159</f>
        <v>620709995.3299999</v>
      </c>
      <c r="D108" s="152">
        <f>D109+D111+D113+D115+D118+D121+D123+D125+D127+D129+D131+D133+D135+D137+D139+D141+D143+D145+D147+D149+D151+D153+D155+D157+D158+D160+D161</f>
        <v>9124535</v>
      </c>
      <c r="E108" s="152">
        <f>E109+E111+E113+E115+E118+E121+E123+E125+E127+E129+E131+E133+E135+E137+E139+E141+E143+E145+E147+E149+E151+E153+E155+E157+E158+E160+E161</f>
        <v>1652459</v>
      </c>
      <c r="F108" s="152">
        <f>G108+J108</f>
        <v>587274.6699999999</v>
      </c>
      <c r="G108" s="152">
        <f aca="true" t="shared" si="23" ref="G108:L108">G109+G111+G113+G115+G118+G121+G123+G125+G127+G129+G131+G133+G135+G137+G139+G141+G143+G145+G147+G149+G151+G153+G155+G157+G158+G160+G161</f>
        <v>123597</v>
      </c>
      <c r="H108" s="152">
        <f t="shared" si="23"/>
        <v>80437</v>
      </c>
      <c r="I108" s="152">
        <f t="shared" si="23"/>
        <v>830</v>
      </c>
      <c r="J108" s="152">
        <f>J109+J111+J113+J115+J118+J121+J123+J125+J127+J129+J131+J133+J135+J137+J139+J141+J143+J145+J147+J149+J151+J153+J155+J157+J158+J160+J161</f>
        <v>463677.67</v>
      </c>
      <c r="K108" s="152">
        <f t="shared" si="23"/>
        <v>463677.67</v>
      </c>
      <c r="L108" s="152">
        <f t="shared" si="23"/>
        <v>56126.67</v>
      </c>
      <c r="M108" s="153">
        <f t="shared" si="22"/>
        <v>621297269.9999999</v>
      </c>
      <c r="N108" s="57"/>
    </row>
    <row r="109" spans="1:14" s="3" customFormat="1" ht="214.5" customHeight="1">
      <c r="A109" s="9" t="s">
        <v>101</v>
      </c>
      <c r="B109" s="41" t="s">
        <v>230</v>
      </c>
      <c r="C109" s="27">
        <f>103193204-6000000</f>
        <v>97193204</v>
      </c>
      <c r="D109" s="27"/>
      <c r="E109" s="27"/>
      <c r="F109" s="27">
        <f>G109+J109</f>
        <v>0</v>
      </c>
      <c r="G109" s="27"/>
      <c r="H109" s="27"/>
      <c r="I109" s="27"/>
      <c r="J109" s="27"/>
      <c r="K109" s="27"/>
      <c r="L109" s="27"/>
      <c r="M109" s="26">
        <f t="shared" si="22"/>
        <v>97193204</v>
      </c>
      <c r="N109" s="57"/>
    </row>
    <row r="110" spans="1:14" s="3" customFormat="1" ht="97.5" customHeight="1">
      <c r="A110" s="9"/>
      <c r="B110" s="103" t="s">
        <v>341</v>
      </c>
      <c r="C110" s="27">
        <f>C109</f>
        <v>97193204</v>
      </c>
      <c r="D110" s="27"/>
      <c r="E110" s="27"/>
      <c r="F110" s="27">
        <f>G110+J110</f>
        <v>0</v>
      </c>
      <c r="G110" s="27">
        <f>G109</f>
        <v>0</v>
      </c>
      <c r="H110" s="27"/>
      <c r="I110" s="27"/>
      <c r="J110" s="27"/>
      <c r="K110" s="27"/>
      <c r="L110" s="27"/>
      <c r="M110" s="26">
        <f t="shared" si="22"/>
        <v>97193204</v>
      </c>
      <c r="N110" s="57"/>
    </row>
    <row r="111" spans="1:14" s="3" customFormat="1" ht="186" customHeight="1">
      <c r="A111" s="9" t="s">
        <v>104</v>
      </c>
      <c r="B111" s="41" t="s">
        <v>231</v>
      </c>
      <c r="C111" s="27">
        <f>97116+3451+21659-1734+327</f>
        <v>120819</v>
      </c>
      <c r="D111" s="27"/>
      <c r="E111" s="27"/>
      <c r="F111" s="27">
        <f>G111+J111</f>
        <v>0</v>
      </c>
      <c r="G111" s="27"/>
      <c r="H111" s="27"/>
      <c r="I111" s="27"/>
      <c r="J111" s="27"/>
      <c r="K111" s="27"/>
      <c r="L111" s="27"/>
      <c r="M111" s="26">
        <f t="shared" si="22"/>
        <v>120819</v>
      </c>
      <c r="N111" s="57"/>
    </row>
    <row r="112" spans="1:14" s="3" customFormat="1" ht="60.75" customHeight="1">
      <c r="A112" s="9"/>
      <c r="B112" s="103" t="s">
        <v>259</v>
      </c>
      <c r="C112" s="27">
        <f>C111</f>
        <v>120819</v>
      </c>
      <c r="D112" s="27"/>
      <c r="E112" s="27"/>
      <c r="F112" s="27"/>
      <c r="G112" s="27"/>
      <c r="H112" s="27"/>
      <c r="I112" s="27"/>
      <c r="J112" s="27"/>
      <c r="K112" s="27"/>
      <c r="L112" s="27"/>
      <c r="M112" s="26">
        <f t="shared" si="22"/>
        <v>120819</v>
      </c>
      <c r="N112" s="57"/>
    </row>
    <row r="113" spans="1:14" s="3" customFormat="1" ht="202.5" customHeight="1">
      <c r="A113" s="9" t="s">
        <v>105</v>
      </c>
      <c r="B113" s="41" t="s">
        <v>232</v>
      </c>
      <c r="C113" s="151">
        <f>1324616-25582-10193+11731+10193.33</f>
        <v>1310765.33</v>
      </c>
      <c r="D113" s="27"/>
      <c r="E113" s="27"/>
      <c r="F113" s="151">
        <f>G113+J113</f>
        <v>25226.67</v>
      </c>
      <c r="G113" s="27"/>
      <c r="H113" s="27"/>
      <c r="I113" s="27"/>
      <c r="J113" s="151">
        <f>K113</f>
        <v>25226.67</v>
      </c>
      <c r="K113" s="151">
        <f>L113</f>
        <v>25226.67</v>
      </c>
      <c r="L113" s="151">
        <f>25582+10193-355-10193.33</f>
        <v>25226.67</v>
      </c>
      <c r="M113" s="26">
        <f t="shared" si="22"/>
        <v>1335992</v>
      </c>
      <c r="N113" s="57"/>
    </row>
    <row r="114" spans="1:14" s="3" customFormat="1" ht="155.25" customHeight="1">
      <c r="A114" s="9"/>
      <c r="B114" s="103" t="s">
        <v>2</v>
      </c>
      <c r="C114" s="27">
        <f>C113</f>
        <v>1310765.33</v>
      </c>
      <c r="D114" s="27">
        <f aca="true" t="shared" si="24" ref="D114:L114">D113</f>
        <v>0</v>
      </c>
      <c r="E114" s="27">
        <f t="shared" si="24"/>
        <v>0</v>
      </c>
      <c r="F114" s="151">
        <f t="shared" si="24"/>
        <v>25226.67</v>
      </c>
      <c r="G114" s="27">
        <f t="shared" si="24"/>
        <v>0</v>
      </c>
      <c r="H114" s="27">
        <f t="shared" si="24"/>
        <v>0</v>
      </c>
      <c r="I114" s="27">
        <f t="shared" si="24"/>
        <v>0</v>
      </c>
      <c r="J114" s="151">
        <f t="shared" si="24"/>
        <v>25226.67</v>
      </c>
      <c r="K114" s="151">
        <f t="shared" si="24"/>
        <v>25226.67</v>
      </c>
      <c r="L114" s="151">
        <f t="shared" si="24"/>
        <v>25226.67</v>
      </c>
      <c r="M114" s="26">
        <f t="shared" si="22"/>
        <v>1335992</v>
      </c>
      <c r="N114" s="57"/>
    </row>
    <row r="115" spans="1:14" s="3" customFormat="1" ht="337.5" customHeight="1">
      <c r="A115" s="92" t="s">
        <v>106</v>
      </c>
      <c r="B115" s="93" t="s">
        <v>90</v>
      </c>
      <c r="C115" s="94">
        <v>11675691</v>
      </c>
      <c r="D115" s="94"/>
      <c r="E115" s="94"/>
      <c r="F115" s="94">
        <f>G115+J115</f>
        <v>0</v>
      </c>
      <c r="G115" s="94"/>
      <c r="H115" s="94"/>
      <c r="I115" s="94"/>
      <c r="J115" s="94"/>
      <c r="K115" s="94"/>
      <c r="L115" s="94"/>
      <c r="M115" s="88">
        <f t="shared" si="22"/>
        <v>11675691</v>
      </c>
      <c r="N115" s="57"/>
    </row>
    <row r="116" spans="1:14" s="3" customFormat="1" ht="237" customHeight="1">
      <c r="A116" s="89"/>
      <c r="B116" s="95" t="s">
        <v>91</v>
      </c>
      <c r="C116" s="91"/>
      <c r="D116" s="91"/>
      <c r="E116" s="91"/>
      <c r="F116" s="91"/>
      <c r="G116" s="91"/>
      <c r="H116" s="91"/>
      <c r="I116" s="91"/>
      <c r="J116" s="91"/>
      <c r="K116" s="91"/>
      <c r="L116" s="91"/>
      <c r="M116" s="87"/>
      <c r="N116" s="57"/>
    </row>
    <row r="117" spans="1:14" s="3" customFormat="1" ht="102" customHeight="1">
      <c r="A117" s="9"/>
      <c r="B117" s="103" t="s">
        <v>0</v>
      </c>
      <c r="C117" s="27">
        <f>C115</f>
        <v>11675691</v>
      </c>
      <c r="D117" s="27"/>
      <c r="E117" s="27"/>
      <c r="F117" s="27">
        <f>G117+J117</f>
        <v>0</v>
      </c>
      <c r="G117" s="27">
        <f>G115</f>
        <v>0</v>
      </c>
      <c r="H117" s="27"/>
      <c r="I117" s="27"/>
      <c r="J117" s="27"/>
      <c r="K117" s="27"/>
      <c r="L117" s="27"/>
      <c r="M117" s="26">
        <f aca="true" t="shared" si="25" ref="M117:M148">C117+F117</f>
        <v>11675691</v>
      </c>
      <c r="N117" s="57"/>
    </row>
    <row r="118" spans="1:14" s="3" customFormat="1" ht="384">
      <c r="A118" s="92" t="s">
        <v>107</v>
      </c>
      <c r="B118" s="93" t="s">
        <v>92</v>
      </c>
      <c r="C118" s="94">
        <f>2630-1205+950+4</f>
        <v>2379</v>
      </c>
      <c r="D118" s="94"/>
      <c r="E118" s="94"/>
      <c r="F118" s="94">
        <f>G118+J118</f>
        <v>0</v>
      </c>
      <c r="G118" s="94"/>
      <c r="H118" s="94"/>
      <c r="I118" s="94"/>
      <c r="J118" s="94"/>
      <c r="K118" s="94"/>
      <c r="L118" s="94"/>
      <c r="M118" s="88">
        <f t="shared" si="25"/>
        <v>2379</v>
      </c>
      <c r="N118" s="57"/>
    </row>
    <row r="119" spans="1:14" s="3" customFormat="1" ht="48" customHeight="1">
      <c r="A119" s="89"/>
      <c r="B119" s="90" t="s">
        <v>93</v>
      </c>
      <c r="C119" s="91"/>
      <c r="D119" s="91"/>
      <c r="E119" s="91"/>
      <c r="F119" s="91">
        <f>G119+J119</f>
        <v>0</v>
      </c>
      <c r="G119" s="91"/>
      <c r="H119" s="91"/>
      <c r="I119" s="91"/>
      <c r="J119" s="91"/>
      <c r="K119" s="91"/>
      <c r="L119" s="91"/>
      <c r="M119" s="87">
        <f t="shared" si="25"/>
        <v>0</v>
      </c>
      <c r="N119" s="57"/>
    </row>
    <row r="120" spans="1:14" s="3" customFormat="1" ht="56.25" customHeight="1">
      <c r="A120" s="9"/>
      <c r="B120" s="103" t="s">
        <v>259</v>
      </c>
      <c r="C120" s="27">
        <f>C118</f>
        <v>2379</v>
      </c>
      <c r="D120" s="27"/>
      <c r="E120" s="27"/>
      <c r="F120" s="27"/>
      <c r="G120" s="27"/>
      <c r="H120" s="27"/>
      <c r="I120" s="27"/>
      <c r="J120" s="27"/>
      <c r="K120" s="27"/>
      <c r="L120" s="27"/>
      <c r="M120" s="26">
        <f t="shared" si="25"/>
        <v>2379</v>
      </c>
      <c r="N120" s="57"/>
    </row>
    <row r="121" spans="1:14" s="3" customFormat="1" ht="72" customHeight="1">
      <c r="A121" s="9" t="s">
        <v>108</v>
      </c>
      <c r="B121" s="42" t="s">
        <v>190</v>
      </c>
      <c r="C121" s="27">
        <v>4713308</v>
      </c>
      <c r="D121" s="27"/>
      <c r="E121" s="27"/>
      <c r="F121" s="27">
        <f>G121+J121</f>
        <v>0</v>
      </c>
      <c r="G121" s="27"/>
      <c r="H121" s="27"/>
      <c r="I121" s="27"/>
      <c r="J121" s="27"/>
      <c r="K121" s="27"/>
      <c r="L121" s="27"/>
      <c r="M121" s="26">
        <f t="shared" si="25"/>
        <v>4713308</v>
      </c>
      <c r="N121" s="57"/>
    </row>
    <row r="122" spans="1:14" s="3" customFormat="1" ht="90" customHeight="1">
      <c r="A122" s="9"/>
      <c r="B122" s="103" t="s">
        <v>0</v>
      </c>
      <c r="C122" s="27">
        <f>C121</f>
        <v>4713308</v>
      </c>
      <c r="D122" s="27"/>
      <c r="E122" s="27"/>
      <c r="F122" s="27">
        <f>G122+J122</f>
        <v>0</v>
      </c>
      <c r="G122" s="27">
        <f>G121</f>
        <v>0</v>
      </c>
      <c r="H122" s="27"/>
      <c r="I122" s="27"/>
      <c r="J122" s="27"/>
      <c r="K122" s="27"/>
      <c r="L122" s="27"/>
      <c r="M122" s="26">
        <f t="shared" si="25"/>
        <v>4713308</v>
      </c>
      <c r="N122" s="57"/>
    </row>
    <row r="123" spans="1:14" s="3" customFormat="1" ht="84">
      <c r="A123" s="9" t="s">
        <v>109</v>
      </c>
      <c r="B123" s="42" t="s">
        <v>191</v>
      </c>
      <c r="C123" s="27">
        <f>3380-1005+475+475+91</f>
        <v>3416</v>
      </c>
      <c r="D123" s="27"/>
      <c r="E123" s="27"/>
      <c r="F123" s="27">
        <f>G123+J123</f>
        <v>0</v>
      </c>
      <c r="G123" s="27"/>
      <c r="H123" s="27"/>
      <c r="I123" s="27"/>
      <c r="J123" s="27"/>
      <c r="K123" s="27"/>
      <c r="L123" s="27"/>
      <c r="M123" s="26">
        <f t="shared" si="25"/>
        <v>3416</v>
      </c>
      <c r="N123" s="57"/>
    </row>
    <row r="124" spans="1:14" s="3" customFormat="1" ht="53.25" customHeight="1">
      <c r="A124" s="9"/>
      <c r="B124" s="103" t="s">
        <v>259</v>
      </c>
      <c r="C124" s="27">
        <f>C123</f>
        <v>3416</v>
      </c>
      <c r="D124" s="27"/>
      <c r="E124" s="27"/>
      <c r="F124" s="27"/>
      <c r="G124" s="27"/>
      <c r="H124" s="27"/>
      <c r="I124" s="27"/>
      <c r="J124" s="27"/>
      <c r="K124" s="27"/>
      <c r="L124" s="27"/>
      <c r="M124" s="26">
        <f t="shared" si="25"/>
        <v>3416</v>
      </c>
      <c r="N124" s="57"/>
    </row>
    <row r="125" spans="1:14" s="3" customFormat="1" ht="72" customHeight="1">
      <c r="A125" s="9" t="s">
        <v>110</v>
      </c>
      <c r="B125" s="42" t="s">
        <v>192</v>
      </c>
      <c r="C125" s="27">
        <f>48839+6164</f>
        <v>55003</v>
      </c>
      <c r="D125" s="27"/>
      <c r="E125" s="27"/>
      <c r="F125" s="27">
        <f aca="true" t="shared" si="26" ref="F125:F133">G125+J125</f>
        <v>0</v>
      </c>
      <c r="G125" s="27"/>
      <c r="H125" s="27"/>
      <c r="I125" s="27"/>
      <c r="J125" s="27"/>
      <c r="K125" s="27"/>
      <c r="L125" s="27"/>
      <c r="M125" s="26">
        <f t="shared" si="25"/>
        <v>55003</v>
      </c>
      <c r="N125" s="57"/>
    </row>
    <row r="126" spans="1:14" s="3" customFormat="1" ht="180.75" customHeight="1">
      <c r="A126" s="9"/>
      <c r="B126" s="103" t="s">
        <v>2</v>
      </c>
      <c r="C126" s="27">
        <f>C125</f>
        <v>55003</v>
      </c>
      <c r="D126" s="27"/>
      <c r="E126" s="27"/>
      <c r="F126" s="27">
        <f t="shared" si="26"/>
        <v>0</v>
      </c>
      <c r="G126" s="27"/>
      <c r="H126" s="27"/>
      <c r="I126" s="27"/>
      <c r="J126" s="27"/>
      <c r="K126" s="27"/>
      <c r="L126" s="27"/>
      <c r="M126" s="26">
        <f t="shared" si="25"/>
        <v>55003</v>
      </c>
      <c r="N126" s="57"/>
    </row>
    <row r="127" spans="1:14" s="3" customFormat="1" ht="25.5">
      <c r="A127" s="9" t="s">
        <v>13</v>
      </c>
      <c r="B127" s="15" t="s">
        <v>14</v>
      </c>
      <c r="C127" s="27">
        <f>4282400+505745</f>
        <v>4788145</v>
      </c>
      <c r="D127" s="27"/>
      <c r="E127" s="27"/>
      <c r="F127" s="27">
        <f t="shared" si="26"/>
        <v>0</v>
      </c>
      <c r="G127" s="27"/>
      <c r="H127" s="27"/>
      <c r="I127" s="27"/>
      <c r="J127" s="27"/>
      <c r="K127" s="27"/>
      <c r="L127" s="27"/>
      <c r="M127" s="26">
        <f t="shared" si="25"/>
        <v>4788145</v>
      </c>
      <c r="N127" s="57"/>
    </row>
    <row r="128" spans="1:14" s="3" customFormat="1" ht="189.75" customHeight="1">
      <c r="A128" s="9"/>
      <c r="B128" s="103" t="s">
        <v>2</v>
      </c>
      <c r="C128" s="27">
        <f>C127</f>
        <v>4788145</v>
      </c>
      <c r="D128" s="27"/>
      <c r="E128" s="27"/>
      <c r="F128" s="27">
        <f t="shared" si="26"/>
        <v>0</v>
      </c>
      <c r="G128" s="27"/>
      <c r="H128" s="27"/>
      <c r="I128" s="27"/>
      <c r="J128" s="27"/>
      <c r="K128" s="27"/>
      <c r="L128" s="27"/>
      <c r="M128" s="26">
        <f t="shared" si="25"/>
        <v>4788145</v>
      </c>
      <c r="N128" s="57"/>
    </row>
    <row r="129" spans="1:14" s="3" customFormat="1" ht="29.25" customHeight="1">
      <c r="A129" s="9" t="s">
        <v>95</v>
      </c>
      <c r="B129" s="15" t="s">
        <v>97</v>
      </c>
      <c r="C129" s="27">
        <v>3922659</v>
      </c>
      <c r="D129" s="27"/>
      <c r="E129" s="27"/>
      <c r="F129" s="27">
        <f t="shared" si="26"/>
        <v>0</v>
      </c>
      <c r="G129" s="27"/>
      <c r="H129" s="27"/>
      <c r="I129" s="27"/>
      <c r="J129" s="27"/>
      <c r="K129" s="27"/>
      <c r="L129" s="27"/>
      <c r="M129" s="26">
        <f t="shared" si="25"/>
        <v>3922659</v>
      </c>
      <c r="N129" s="57"/>
    </row>
    <row r="130" spans="1:14" s="3" customFormat="1" ht="54.75" customHeight="1">
      <c r="A130" s="9"/>
      <c r="B130" s="103" t="s">
        <v>0</v>
      </c>
      <c r="C130" s="27">
        <f>C129</f>
        <v>3922659</v>
      </c>
      <c r="D130" s="27"/>
      <c r="E130" s="27"/>
      <c r="F130" s="27">
        <f t="shared" si="26"/>
        <v>0</v>
      </c>
      <c r="G130" s="27">
        <f>G129</f>
        <v>0</v>
      </c>
      <c r="H130" s="27"/>
      <c r="I130" s="27"/>
      <c r="J130" s="27"/>
      <c r="K130" s="27"/>
      <c r="L130" s="27"/>
      <c r="M130" s="26">
        <f t="shared" si="25"/>
        <v>3922659</v>
      </c>
      <c r="N130" s="57"/>
    </row>
    <row r="131" spans="1:14" s="3" customFormat="1" ht="26.25" customHeight="1">
      <c r="A131" s="9" t="s">
        <v>96</v>
      </c>
      <c r="B131" s="15" t="s">
        <v>115</v>
      </c>
      <c r="C131" s="27">
        <f>10740-3907+3147+1255+397</f>
        <v>11632</v>
      </c>
      <c r="D131" s="27"/>
      <c r="E131" s="27"/>
      <c r="F131" s="27">
        <f t="shared" si="26"/>
        <v>0</v>
      </c>
      <c r="G131" s="27"/>
      <c r="H131" s="27"/>
      <c r="I131" s="27"/>
      <c r="J131" s="27"/>
      <c r="K131" s="27"/>
      <c r="L131" s="27"/>
      <c r="M131" s="26">
        <f t="shared" si="25"/>
        <v>11632</v>
      </c>
      <c r="N131" s="57"/>
    </row>
    <row r="132" spans="1:14" s="3" customFormat="1" ht="57.75" customHeight="1">
      <c r="A132" s="9"/>
      <c r="B132" s="103" t="s">
        <v>259</v>
      </c>
      <c r="C132" s="27">
        <f>C131</f>
        <v>11632</v>
      </c>
      <c r="D132" s="27"/>
      <c r="E132" s="27"/>
      <c r="F132" s="27">
        <f t="shared" si="26"/>
        <v>0</v>
      </c>
      <c r="G132" s="27"/>
      <c r="H132" s="27"/>
      <c r="I132" s="27"/>
      <c r="J132" s="27"/>
      <c r="K132" s="27"/>
      <c r="L132" s="27"/>
      <c r="M132" s="26">
        <f t="shared" si="25"/>
        <v>11632</v>
      </c>
      <c r="N132" s="57"/>
    </row>
    <row r="133" spans="1:14" s="3" customFormat="1" ht="24.75" customHeight="1">
      <c r="A133" s="9" t="s">
        <v>87</v>
      </c>
      <c r="B133" s="15" t="s">
        <v>249</v>
      </c>
      <c r="C133" s="27">
        <f>4942190-385000+70000+221605-105040</f>
        <v>4743755</v>
      </c>
      <c r="D133" s="27"/>
      <c r="E133" s="27"/>
      <c r="F133" s="27">
        <f t="shared" si="26"/>
        <v>0</v>
      </c>
      <c r="G133" s="27"/>
      <c r="H133" s="27"/>
      <c r="I133" s="27"/>
      <c r="J133" s="27"/>
      <c r="K133" s="27"/>
      <c r="L133" s="27"/>
      <c r="M133" s="26">
        <f t="shared" si="25"/>
        <v>4743755</v>
      </c>
      <c r="N133" s="57"/>
    </row>
    <row r="134" spans="1:14" s="3" customFormat="1" ht="58.5" customHeight="1">
      <c r="A134" s="9"/>
      <c r="B134" s="103" t="s">
        <v>260</v>
      </c>
      <c r="C134" s="27">
        <f>C133</f>
        <v>4743755</v>
      </c>
      <c r="D134" s="27"/>
      <c r="E134" s="27"/>
      <c r="F134" s="27"/>
      <c r="G134" s="27"/>
      <c r="H134" s="27"/>
      <c r="I134" s="27"/>
      <c r="J134" s="27"/>
      <c r="K134" s="27"/>
      <c r="L134" s="27"/>
      <c r="M134" s="26">
        <f t="shared" si="25"/>
        <v>4743755</v>
      </c>
      <c r="N134" s="57"/>
    </row>
    <row r="135" spans="1:14" s="3" customFormat="1" ht="27" customHeight="1">
      <c r="A135" s="9" t="s">
        <v>88</v>
      </c>
      <c r="B135" s="15" t="s">
        <v>12</v>
      </c>
      <c r="C135" s="27">
        <f>97984152-16000000-2000000-8500000+4909369+460011</f>
        <v>76853532</v>
      </c>
      <c r="D135" s="27"/>
      <c r="E135" s="27"/>
      <c r="F135" s="27">
        <f>G135+J135</f>
        <v>0</v>
      </c>
      <c r="G135" s="27"/>
      <c r="H135" s="27"/>
      <c r="I135" s="27"/>
      <c r="J135" s="27"/>
      <c r="K135" s="27"/>
      <c r="L135" s="27"/>
      <c r="M135" s="26">
        <f t="shared" si="25"/>
        <v>76853532</v>
      </c>
      <c r="N135" s="57"/>
    </row>
    <row r="136" spans="1:14" s="3" customFormat="1" ht="54.75" customHeight="1">
      <c r="A136" s="9"/>
      <c r="B136" s="103" t="s">
        <v>1</v>
      </c>
      <c r="C136" s="27">
        <f>C135</f>
        <v>76853532</v>
      </c>
      <c r="D136" s="27"/>
      <c r="E136" s="27"/>
      <c r="F136" s="27"/>
      <c r="G136" s="27"/>
      <c r="H136" s="27"/>
      <c r="I136" s="27"/>
      <c r="J136" s="27"/>
      <c r="K136" s="27"/>
      <c r="L136" s="27"/>
      <c r="M136" s="26">
        <f t="shared" si="25"/>
        <v>76853532</v>
      </c>
      <c r="N136" s="57"/>
    </row>
    <row r="137" spans="1:14" s="3" customFormat="1" ht="16.5" customHeight="1">
      <c r="A137" s="9" t="s">
        <v>89</v>
      </c>
      <c r="B137" s="15" t="s">
        <v>114</v>
      </c>
      <c r="C137" s="27">
        <f>170062955+10500000+3750000-320000-1500000+8010500+14115621-173922</f>
        <v>204445154</v>
      </c>
      <c r="D137" s="27"/>
      <c r="E137" s="27"/>
      <c r="F137" s="27">
        <f>G137+J137</f>
        <v>0</v>
      </c>
      <c r="G137" s="27"/>
      <c r="H137" s="27"/>
      <c r="I137" s="27"/>
      <c r="J137" s="27"/>
      <c r="K137" s="27"/>
      <c r="L137" s="27"/>
      <c r="M137" s="26">
        <f t="shared" si="25"/>
        <v>204445154</v>
      </c>
      <c r="N137" s="57"/>
    </row>
    <row r="138" spans="1:14" s="3" customFormat="1" ht="59.25" customHeight="1">
      <c r="A138" s="9"/>
      <c r="B138" s="103" t="s">
        <v>1</v>
      </c>
      <c r="C138" s="27">
        <f>C137</f>
        <v>204445154</v>
      </c>
      <c r="D138" s="27"/>
      <c r="E138" s="27"/>
      <c r="F138" s="27"/>
      <c r="G138" s="27"/>
      <c r="H138" s="27"/>
      <c r="I138" s="27"/>
      <c r="J138" s="27"/>
      <c r="K138" s="27"/>
      <c r="L138" s="27"/>
      <c r="M138" s="26">
        <f t="shared" si="25"/>
        <v>204445154</v>
      </c>
      <c r="N138" s="57"/>
    </row>
    <row r="139" spans="1:14" s="3" customFormat="1" ht="28.5" customHeight="1">
      <c r="A139" s="9" t="s">
        <v>72</v>
      </c>
      <c r="B139" s="76" t="s">
        <v>187</v>
      </c>
      <c r="C139" s="27">
        <f>20345604-1010500+1104201-423941</f>
        <v>20015364</v>
      </c>
      <c r="D139" s="27"/>
      <c r="E139" s="27"/>
      <c r="F139" s="27">
        <f>G139+J139</f>
        <v>0</v>
      </c>
      <c r="G139" s="27"/>
      <c r="H139" s="27"/>
      <c r="I139" s="27"/>
      <c r="J139" s="27"/>
      <c r="K139" s="27"/>
      <c r="L139" s="27"/>
      <c r="M139" s="26">
        <f t="shared" si="25"/>
        <v>20015364</v>
      </c>
      <c r="N139" s="57"/>
    </row>
    <row r="140" spans="1:14" s="3" customFormat="1" ht="57.75" customHeight="1">
      <c r="A140" s="9"/>
      <c r="B140" s="103" t="s">
        <v>1</v>
      </c>
      <c r="C140" s="27">
        <f>C139</f>
        <v>20015364</v>
      </c>
      <c r="D140" s="27"/>
      <c r="E140" s="27"/>
      <c r="F140" s="27"/>
      <c r="G140" s="27"/>
      <c r="H140" s="27"/>
      <c r="I140" s="27"/>
      <c r="J140" s="27"/>
      <c r="K140" s="27"/>
      <c r="L140" s="27"/>
      <c r="M140" s="26">
        <f t="shared" si="25"/>
        <v>20015364</v>
      </c>
      <c r="N140" s="57"/>
    </row>
    <row r="141" spans="1:14" s="3" customFormat="1" ht="27.75" customHeight="1">
      <c r="A141" s="9" t="s">
        <v>118</v>
      </c>
      <c r="B141" s="15" t="s">
        <v>111</v>
      </c>
      <c r="C141" s="27">
        <f>44515629+2500000+1000000-2000000+3175352+820006</f>
        <v>50010987</v>
      </c>
      <c r="D141" s="27"/>
      <c r="E141" s="27"/>
      <c r="F141" s="27">
        <f>G141+J141</f>
        <v>0</v>
      </c>
      <c r="G141" s="27"/>
      <c r="H141" s="27"/>
      <c r="I141" s="27"/>
      <c r="J141" s="27"/>
      <c r="K141" s="27"/>
      <c r="L141" s="27"/>
      <c r="M141" s="26">
        <f t="shared" si="25"/>
        <v>50010987</v>
      </c>
      <c r="N141" s="57"/>
    </row>
    <row r="142" spans="1:14" s="3" customFormat="1" ht="59.25" customHeight="1">
      <c r="A142" s="9"/>
      <c r="B142" s="103" t="s">
        <v>1</v>
      </c>
      <c r="C142" s="27">
        <f>C141</f>
        <v>50010987</v>
      </c>
      <c r="D142" s="27"/>
      <c r="E142" s="27"/>
      <c r="F142" s="27"/>
      <c r="G142" s="27"/>
      <c r="H142" s="27"/>
      <c r="I142" s="27"/>
      <c r="J142" s="27"/>
      <c r="K142" s="27"/>
      <c r="L142" s="27"/>
      <c r="M142" s="26">
        <f t="shared" si="25"/>
        <v>50010987</v>
      </c>
      <c r="N142" s="57"/>
    </row>
    <row r="143" spans="1:14" s="3" customFormat="1" ht="25.5" customHeight="1">
      <c r="A143" s="9" t="s">
        <v>226</v>
      </c>
      <c r="B143" s="15" t="s">
        <v>227</v>
      </c>
      <c r="C143" s="27">
        <f>5334388+500000+250000+425333+57946</f>
        <v>6567667</v>
      </c>
      <c r="D143" s="27"/>
      <c r="E143" s="27"/>
      <c r="F143" s="27"/>
      <c r="G143" s="27"/>
      <c r="H143" s="27"/>
      <c r="I143" s="27"/>
      <c r="J143" s="27"/>
      <c r="K143" s="27"/>
      <c r="L143" s="27"/>
      <c r="M143" s="26">
        <f t="shared" si="25"/>
        <v>6567667</v>
      </c>
      <c r="N143" s="57"/>
    </row>
    <row r="144" spans="1:15" ht="60" customHeight="1">
      <c r="A144" s="9"/>
      <c r="B144" s="103" t="s">
        <v>1</v>
      </c>
      <c r="C144" s="27">
        <f>C143</f>
        <v>6567667</v>
      </c>
      <c r="D144" s="27"/>
      <c r="E144" s="27"/>
      <c r="F144" s="27"/>
      <c r="G144" s="27"/>
      <c r="H144" s="27"/>
      <c r="I144" s="27"/>
      <c r="J144" s="27"/>
      <c r="K144" s="27"/>
      <c r="L144" s="27"/>
      <c r="M144" s="26">
        <f t="shared" si="25"/>
        <v>6567667</v>
      </c>
      <c r="N144" s="57"/>
      <c r="O144" s="63"/>
    </row>
    <row r="145" spans="1:15" ht="12.75">
      <c r="A145" s="9" t="s">
        <v>188</v>
      </c>
      <c r="B145" s="15" t="s">
        <v>189</v>
      </c>
      <c r="C145" s="27">
        <f>639851-28000+100000+14166</f>
        <v>726017</v>
      </c>
      <c r="D145" s="27"/>
      <c r="E145" s="27"/>
      <c r="F145" s="27"/>
      <c r="G145" s="27"/>
      <c r="H145" s="27"/>
      <c r="I145" s="27"/>
      <c r="J145" s="27"/>
      <c r="K145" s="27"/>
      <c r="L145" s="27"/>
      <c r="M145" s="26">
        <f t="shared" si="25"/>
        <v>726017</v>
      </c>
      <c r="N145" s="57"/>
      <c r="O145" s="63"/>
    </row>
    <row r="146" spans="1:14" s="3" customFormat="1" ht="54.75" customHeight="1">
      <c r="A146" s="9"/>
      <c r="B146" s="103" t="s">
        <v>1</v>
      </c>
      <c r="C146" s="27">
        <f>C145</f>
        <v>726017</v>
      </c>
      <c r="D146" s="27"/>
      <c r="E146" s="27"/>
      <c r="F146" s="27"/>
      <c r="G146" s="27"/>
      <c r="H146" s="27"/>
      <c r="I146" s="27"/>
      <c r="J146" s="27"/>
      <c r="K146" s="27"/>
      <c r="L146" s="27"/>
      <c r="M146" s="26">
        <f t="shared" si="25"/>
        <v>726017</v>
      </c>
      <c r="N146" s="57"/>
    </row>
    <row r="147" spans="1:14" s="3" customFormat="1" ht="28.5" customHeight="1">
      <c r="A147" s="9" t="s">
        <v>112</v>
      </c>
      <c r="B147" s="15" t="s">
        <v>193</v>
      </c>
      <c r="C147" s="27">
        <f>2950678+500000+80127+150000+1500000+555106+21468</f>
        <v>5757379</v>
      </c>
      <c r="D147" s="27"/>
      <c r="E147" s="27"/>
      <c r="F147" s="27">
        <f>G147+J147</f>
        <v>0</v>
      </c>
      <c r="G147" s="27"/>
      <c r="H147" s="27"/>
      <c r="I147" s="27"/>
      <c r="J147" s="27"/>
      <c r="K147" s="27"/>
      <c r="L147" s="27"/>
      <c r="M147" s="26">
        <f t="shared" si="25"/>
        <v>5757379</v>
      </c>
      <c r="N147" s="57"/>
    </row>
    <row r="148" spans="1:15" ht="61.5" customHeight="1">
      <c r="A148" s="9"/>
      <c r="B148" s="103" t="s">
        <v>1</v>
      </c>
      <c r="C148" s="27">
        <f>C147</f>
        <v>5757379</v>
      </c>
      <c r="D148" s="27"/>
      <c r="E148" s="27"/>
      <c r="F148" s="27"/>
      <c r="G148" s="27"/>
      <c r="H148" s="27"/>
      <c r="I148" s="27"/>
      <c r="J148" s="27"/>
      <c r="K148" s="27"/>
      <c r="L148" s="27"/>
      <c r="M148" s="26">
        <f t="shared" si="25"/>
        <v>5757379</v>
      </c>
      <c r="N148" s="57"/>
      <c r="O148" s="63"/>
    </row>
    <row r="149" spans="1:15" ht="38.25">
      <c r="A149" s="9" t="s">
        <v>73</v>
      </c>
      <c r="B149" s="76" t="s">
        <v>184</v>
      </c>
      <c r="C149" s="27">
        <f>39016638-2300000</f>
        <v>36716638</v>
      </c>
      <c r="D149" s="27"/>
      <c r="E149" s="27"/>
      <c r="F149" s="27">
        <f>G149+J149</f>
        <v>0</v>
      </c>
      <c r="G149" s="27"/>
      <c r="H149" s="27"/>
      <c r="I149" s="27"/>
      <c r="J149" s="27"/>
      <c r="K149" s="27"/>
      <c r="L149" s="27"/>
      <c r="M149" s="26">
        <f aca="true" t="shared" si="27" ref="M149:M178">C149+F149</f>
        <v>36716638</v>
      </c>
      <c r="N149" s="57"/>
      <c r="O149" s="63"/>
    </row>
    <row r="150" spans="1:15" ht="89.25" customHeight="1">
      <c r="A150" s="9"/>
      <c r="B150" s="103" t="s">
        <v>0</v>
      </c>
      <c r="C150" s="27">
        <f>C149</f>
        <v>36716638</v>
      </c>
      <c r="D150" s="27"/>
      <c r="E150" s="27"/>
      <c r="F150" s="27">
        <f>G150+J150</f>
        <v>0</v>
      </c>
      <c r="G150" s="27">
        <f>G149</f>
        <v>0</v>
      </c>
      <c r="H150" s="27"/>
      <c r="I150" s="27"/>
      <c r="J150" s="27"/>
      <c r="K150" s="27"/>
      <c r="L150" s="27"/>
      <c r="M150" s="26">
        <f t="shared" si="27"/>
        <v>36716638</v>
      </c>
      <c r="N150" s="57"/>
      <c r="O150" s="63"/>
    </row>
    <row r="151" spans="1:15" ht="51">
      <c r="A151" s="9" t="s">
        <v>185</v>
      </c>
      <c r="B151" s="4" t="s">
        <v>186</v>
      </c>
      <c r="C151" s="27">
        <f>45776+16110+9660+780</f>
        <v>72326</v>
      </c>
      <c r="D151" s="27"/>
      <c r="E151" s="27"/>
      <c r="F151" s="27">
        <f>G151+J151</f>
        <v>0</v>
      </c>
      <c r="G151" s="27"/>
      <c r="H151" s="27"/>
      <c r="I151" s="27"/>
      <c r="J151" s="27"/>
      <c r="K151" s="27"/>
      <c r="L151" s="27"/>
      <c r="M151" s="26">
        <f t="shared" si="27"/>
        <v>72326</v>
      </c>
      <c r="N151" s="57"/>
      <c r="O151" s="63"/>
    </row>
    <row r="152" spans="1:14" s="3" customFormat="1" ht="61.5" customHeight="1">
      <c r="A152" s="9"/>
      <c r="B152" s="103" t="s">
        <v>259</v>
      </c>
      <c r="C152" s="27">
        <f>C151</f>
        <v>72326</v>
      </c>
      <c r="D152" s="27"/>
      <c r="E152" s="27"/>
      <c r="F152" s="27">
        <f>G152+J152</f>
        <v>0</v>
      </c>
      <c r="G152" s="27">
        <f>G151</f>
        <v>0</v>
      </c>
      <c r="H152" s="27"/>
      <c r="I152" s="27"/>
      <c r="J152" s="27"/>
      <c r="K152" s="27"/>
      <c r="L152" s="27"/>
      <c r="M152" s="26">
        <f t="shared" si="27"/>
        <v>72326</v>
      </c>
      <c r="N152" s="57"/>
    </row>
    <row r="153" spans="1:14" s="3" customFormat="1" ht="29.25" customHeight="1">
      <c r="A153" s="40" t="s">
        <v>44</v>
      </c>
      <c r="B153" s="36" t="s">
        <v>113</v>
      </c>
      <c r="C153" s="38">
        <f>5707900+188149+(1294250)+(491000)+(33000)+(671500)+(55000)+(25000)+(96000)+(33997)+(20000)-(24000)+(55000)-(23760)+(85000)+400000+(147500)+(14000)+(99500)+(39500)+(114100)+(20000)+(12000)+92932+(61270)+(66660)+(137900)+(49000)</f>
        <v>9962398</v>
      </c>
      <c r="D153" s="38"/>
      <c r="E153" s="38"/>
      <c r="F153" s="38">
        <f>G153+J153</f>
        <v>0</v>
      </c>
      <c r="G153" s="38"/>
      <c r="H153" s="38"/>
      <c r="I153" s="38"/>
      <c r="J153" s="38"/>
      <c r="K153" s="38">
        <f>J153</f>
        <v>0</v>
      </c>
      <c r="L153" s="38">
        <f>K153</f>
        <v>0</v>
      </c>
      <c r="M153" s="59">
        <f t="shared" si="27"/>
        <v>9962398</v>
      </c>
      <c r="N153" s="57"/>
    </row>
    <row r="154" spans="1:15" ht="25.5" hidden="1">
      <c r="A154" s="40"/>
      <c r="B154" s="78" t="s">
        <v>238</v>
      </c>
      <c r="C154" s="38"/>
      <c r="D154" s="38"/>
      <c r="E154" s="38"/>
      <c r="F154" s="38"/>
      <c r="G154" s="38"/>
      <c r="H154" s="38"/>
      <c r="I154" s="38"/>
      <c r="J154" s="38"/>
      <c r="K154" s="38"/>
      <c r="L154" s="38"/>
      <c r="M154" s="59">
        <f t="shared" si="27"/>
        <v>0</v>
      </c>
      <c r="N154" s="57"/>
      <c r="O154" s="63"/>
    </row>
    <row r="155" spans="1:15" ht="76.5">
      <c r="A155" s="9" t="s">
        <v>200</v>
      </c>
      <c r="B155" s="4" t="s">
        <v>94</v>
      </c>
      <c r="C155" s="27">
        <f>53258-13444+4309+262</f>
        <v>44385</v>
      </c>
      <c r="D155" s="27"/>
      <c r="E155" s="27"/>
      <c r="F155" s="27"/>
      <c r="G155" s="27"/>
      <c r="H155" s="27"/>
      <c r="I155" s="27"/>
      <c r="J155" s="27"/>
      <c r="K155" s="27"/>
      <c r="L155" s="27"/>
      <c r="M155" s="26">
        <f t="shared" si="27"/>
        <v>44385</v>
      </c>
      <c r="N155" s="57"/>
      <c r="O155" s="63"/>
    </row>
    <row r="156" spans="1:15" ht="58.5" customHeight="1">
      <c r="A156" s="9"/>
      <c r="B156" s="103" t="s">
        <v>259</v>
      </c>
      <c r="C156" s="27">
        <f>C155</f>
        <v>44385</v>
      </c>
      <c r="D156" s="27"/>
      <c r="E156" s="27"/>
      <c r="F156" s="27">
        <f>G156+J156</f>
        <v>0</v>
      </c>
      <c r="G156" s="27"/>
      <c r="H156" s="27"/>
      <c r="I156" s="27"/>
      <c r="J156" s="27"/>
      <c r="K156" s="27"/>
      <c r="L156" s="27"/>
      <c r="M156" s="26">
        <f t="shared" si="27"/>
        <v>44385</v>
      </c>
      <c r="N156" s="57"/>
      <c r="O156" s="63"/>
    </row>
    <row r="157" spans="1:15" ht="76.5">
      <c r="A157" s="40" t="s">
        <v>141</v>
      </c>
      <c r="B157" s="36" t="s">
        <v>225</v>
      </c>
      <c r="C157" s="38">
        <f>2784000-17198</f>
        <v>2766802</v>
      </c>
      <c r="D157" s="38"/>
      <c r="E157" s="38"/>
      <c r="F157" s="38">
        <f>G157+J157</f>
        <v>0</v>
      </c>
      <c r="G157" s="38"/>
      <c r="H157" s="38"/>
      <c r="I157" s="38"/>
      <c r="J157" s="38"/>
      <c r="K157" s="38"/>
      <c r="L157" s="38"/>
      <c r="M157" s="59">
        <f t="shared" si="27"/>
        <v>2766802</v>
      </c>
      <c r="N157" s="57"/>
      <c r="O157" s="63"/>
    </row>
    <row r="158" spans="1:15" ht="39" customHeight="1">
      <c r="A158" s="40" t="s">
        <v>46</v>
      </c>
      <c r="B158" s="78" t="s">
        <v>250</v>
      </c>
      <c r="C158" s="38">
        <f>14131300+105120+76781-11-4888+(13000)+(41000)+(3000)+158291-158291+453118+220195+47533-(3000)+39200+242300-9800</f>
        <v>15354848</v>
      </c>
      <c r="D158" s="38">
        <f>8967885+177800-21150</f>
        <v>9124535</v>
      </c>
      <c r="E158" s="38">
        <f>1199341+453118</f>
        <v>1652459</v>
      </c>
      <c r="F158" s="38">
        <f>G158+J158</f>
        <v>562048</v>
      </c>
      <c r="G158" s="38">
        <v>123597</v>
      </c>
      <c r="H158" s="38">
        <v>80437</v>
      </c>
      <c r="I158" s="38">
        <v>830</v>
      </c>
      <c r="J158" s="38">
        <f>(4400)+(4000)+(13000)+158291+227260+(6000)+22000+(3500)</f>
        <v>438451</v>
      </c>
      <c r="K158" s="38">
        <f>J158</f>
        <v>438451</v>
      </c>
      <c r="L158" s="38">
        <f>179691-158291+(6000)+(3500)</f>
        <v>30900</v>
      </c>
      <c r="M158" s="59">
        <f t="shared" si="27"/>
        <v>15916896</v>
      </c>
      <c r="N158" s="57"/>
      <c r="O158" s="63"/>
    </row>
    <row r="159" spans="1:15" ht="89.25">
      <c r="A159" s="84" t="s">
        <v>265</v>
      </c>
      <c r="B159" s="78" t="s">
        <v>255</v>
      </c>
      <c r="C159" s="38">
        <f>2581000-471870</f>
        <v>2109130</v>
      </c>
      <c r="D159" s="38"/>
      <c r="E159" s="38"/>
      <c r="F159" s="38"/>
      <c r="G159" s="38"/>
      <c r="H159" s="38"/>
      <c r="I159" s="38"/>
      <c r="J159" s="38"/>
      <c r="K159" s="38"/>
      <c r="L159" s="38"/>
      <c r="M159" s="59">
        <f t="shared" si="27"/>
        <v>2109130</v>
      </c>
      <c r="N159" s="57"/>
      <c r="O159" s="63"/>
    </row>
    <row r="160" spans="1:15" ht="25.5" customHeight="1">
      <c r="A160" s="40" t="s">
        <v>102</v>
      </c>
      <c r="B160" s="102" t="s">
        <v>251</v>
      </c>
      <c r="C160" s="38">
        <f>550000+110766+(3000)+(40000)+24415</f>
        <v>728181</v>
      </c>
      <c r="D160" s="38"/>
      <c r="E160" s="38"/>
      <c r="F160" s="38">
        <f>G160+J160</f>
        <v>0</v>
      </c>
      <c r="G160" s="38"/>
      <c r="H160" s="38"/>
      <c r="I160" s="38"/>
      <c r="J160" s="38"/>
      <c r="K160" s="38"/>
      <c r="L160" s="38"/>
      <c r="M160" s="59">
        <f t="shared" si="27"/>
        <v>728181</v>
      </c>
      <c r="N160" s="57"/>
      <c r="O160" s="63"/>
    </row>
    <row r="161" spans="1:15" ht="42.75" customHeight="1">
      <c r="A161" s="9" t="s">
        <v>84</v>
      </c>
      <c r="B161" s="15" t="s">
        <v>100</v>
      </c>
      <c r="C161" s="27">
        <f>52511166+2413000+2000000+3500000+270773-656528</f>
        <v>60038411</v>
      </c>
      <c r="D161" s="27"/>
      <c r="E161" s="27"/>
      <c r="F161" s="27">
        <f>G161+J161</f>
        <v>0</v>
      </c>
      <c r="G161" s="27"/>
      <c r="H161" s="27"/>
      <c r="I161" s="27"/>
      <c r="J161" s="27"/>
      <c r="K161" s="27"/>
      <c r="L161" s="27"/>
      <c r="M161" s="26">
        <f t="shared" si="27"/>
        <v>60038411</v>
      </c>
      <c r="N161" s="57"/>
      <c r="O161" s="63"/>
    </row>
    <row r="162" spans="1:15" ht="60" customHeight="1">
      <c r="A162" s="9"/>
      <c r="B162" s="103" t="s">
        <v>1</v>
      </c>
      <c r="C162" s="27">
        <f>C161</f>
        <v>60038411</v>
      </c>
      <c r="D162" s="27"/>
      <c r="E162" s="27"/>
      <c r="F162" s="27"/>
      <c r="G162" s="27"/>
      <c r="H162" s="27"/>
      <c r="I162" s="27"/>
      <c r="J162" s="27"/>
      <c r="K162" s="27"/>
      <c r="L162" s="27"/>
      <c r="M162" s="26">
        <f t="shared" si="27"/>
        <v>60038411</v>
      </c>
      <c r="N162" s="57"/>
      <c r="O162" s="63"/>
    </row>
    <row r="163" spans="1:15" ht="12.75">
      <c r="A163" s="40" t="s">
        <v>154</v>
      </c>
      <c r="B163" s="69" t="s">
        <v>55</v>
      </c>
      <c r="C163" s="38">
        <f>C164</f>
        <v>0</v>
      </c>
      <c r="D163" s="38">
        <f>D164</f>
        <v>0</v>
      </c>
      <c r="E163" s="38">
        <f>E164</f>
        <v>0</v>
      </c>
      <c r="F163" s="38">
        <f>G163+J163</f>
        <v>5341456</v>
      </c>
      <c r="G163" s="38">
        <f>G164</f>
        <v>0</v>
      </c>
      <c r="H163" s="38">
        <f>H164</f>
        <v>0</v>
      </c>
      <c r="I163" s="38">
        <f>I164</f>
        <v>0</v>
      </c>
      <c r="J163" s="38">
        <f>J164</f>
        <v>5341456</v>
      </c>
      <c r="K163" s="38">
        <f>K164</f>
        <v>5341456</v>
      </c>
      <c r="L163" s="38"/>
      <c r="M163" s="59">
        <f t="shared" si="27"/>
        <v>5341456</v>
      </c>
      <c r="N163" s="57"/>
      <c r="O163" s="63"/>
    </row>
    <row r="164" spans="1:15" ht="12.75">
      <c r="A164" s="40" t="s">
        <v>121</v>
      </c>
      <c r="B164" s="69" t="s">
        <v>122</v>
      </c>
      <c r="C164" s="38"/>
      <c r="D164" s="38"/>
      <c r="E164" s="38"/>
      <c r="F164" s="38">
        <f>G164+J164</f>
        <v>5341456</v>
      </c>
      <c r="G164" s="38"/>
      <c r="H164" s="38"/>
      <c r="I164" s="38"/>
      <c r="J164" s="38">
        <f>K164</f>
        <v>5341456</v>
      </c>
      <c r="K164" s="86">
        <f>5051456+290000</f>
        <v>5341456</v>
      </c>
      <c r="L164" s="38"/>
      <c r="M164" s="59">
        <f t="shared" si="27"/>
        <v>5341456</v>
      </c>
      <c r="N164" s="57"/>
      <c r="O164" s="63"/>
    </row>
    <row r="165" spans="1:15" ht="38.25">
      <c r="A165" s="40" t="s">
        <v>155</v>
      </c>
      <c r="B165" s="36" t="s">
        <v>156</v>
      </c>
      <c r="C165" s="38">
        <f>C168+C170+C172+C166</f>
        <v>66421446</v>
      </c>
      <c r="D165" s="38">
        <f>D168+D170+D172</f>
        <v>0</v>
      </c>
      <c r="E165" s="38">
        <f>E168+E170+E172</f>
        <v>0</v>
      </c>
      <c r="F165" s="38">
        <f>G165+J165</f>
        <v>0</v>
      </c>
      <c r="G165" s="38">
        <f>G168+G170+G172</f>
        <v>0</v>
      </c>
      <c r="H165" s="38">
        <f>H168+H170+H172</f>
        <v>0</v>
      </c>
      <c r="I165" s="38">
        <f>I168+I170+I172</f>
        <v>0</v>
      </c>
      <c r="J165" s="38"/>
      <c r="K165" s="38">
        <f>K168+K170+K172</f>
        <v>0</v>
      </c>
      <c r="L165" s="38"/>
      <c r="M165" s="59">
        <f t="shared" si="27"/>
        <v>66421446</v>
      </c>
      <c r="N165" s="57"/>
      <c r="O165" s="63"/>
    </row>
    <row r="166" spans="1:15" ht="56.25" customHeight="1">
      <c r="A166" s="40" t="s">
        <v>85</v>
      </c>
      <c r="B166" s="36" t="s">
        <v>7</v>
      </c>
      <c r="C166" s="86">
        <f>158220+3750000+278970+354498-417976-12617+478843</f>
        <v>4589938</v>
      </c>
      <c r="D166" s="38"/>
      <c r="E166" s="38"/>
      <c r="F166" s="38">
        <f>G166+J166</f>
        <v>0</v>
      </c>
      <c r="G166" s="38"/>
      <c r="H166" s="38"/>
      <c r="I166" s="38"/>
      <c r="J166" s="38"/>
      <c r="K166" s="38"/>
      <c r="L166" s="38"/>
      <c r="M166" s="59">
        <f t="shared" si="27"/>
        <v>4589938</v>
      </c>
      <c r="N166" s="57"/>
      <c r="O166" s="63"/>
    </row>
    <row r="167" spans="1:14" s="3" customFormat="1" ht="186" customHeight="1">
      <c r="A167" s="40"/>
      <c r="B167" s="103" t="s">
        <v>2</v>
      </c>
      <c r="C167" s="86">
        <f>C166-158220-78970-565285+417976+12617</f>
        <v>4218056</v>
      </c>
      <c r="D167" s="38"/>
      <c r="E167" s="38"/>
      <c r="F167" s="38"/>
      <c r="G167" s="38"/>
      <c r="H167" s="38"/>
      <c r="I167" s="38"/>
      <c r="J167" s="38"/>
      <c r="K167" s="38"/>
      <c r="L167" s="38"/>
      <c r="M167" s="59">
        <f t="shared" si="27"/>
        <v>4218056</v>
      </c>
      <c r="N167" s="57"/>
    </row>
    <row r="168" spans="1:15" ht="38.25">
      <c r="A168" s="40" t="s">
        <v>214</v>
      </c>
      <c r="B168" s="36" t="s">
        <v>228</v>
      </c>
      <c r="C168" s="38">
        <f>900000+346000-100000-16921</f>
        <v>1129079</v>
      </c>
      <c r="D168" s="38"/>
      <c r="E168" s="38"/>
      <c r="F168" s="38">
        <f>G168+J168</f>
        <v>0</v>
      </c>
      <c r="G168" s="38"/>
      <c r="H168" s="38"/>
      <c r="I168" s="38"/>
      <c r="J168" s="38"/>
      <c r="K168" s="38"/>
      <c r="L168" s="38"/>
      <c r="M168" s="59">
        <f t="shared" si="27"/>
        <v>1129079</v>
      </c>
      <c r="N168" s="57"/>
      <c r="O168" s="63"/>
    </row>
    <row r="169" spans="1:14" s="3" customFormat="1" ht="173.25" customHeight="1">
      <c r="A169" s="40"/>
      <c r="B169" s="103" t="s">
        <v>2</v>
      </c>
      <c r="C169" s="38">
        <f>C168-900000+565285</f>
        <v>794364</v>
      </c>
      <c r="D169" s="38"/>
      <c r="E169" s="38"/>
      <c r="F169" s="38"/>
      <c r="G169" s="38"/>
      <c r="H169" s="38"/>
      <c r="I169" s="38"/>
      <c r="J169" s="38"/>
      <c r="K169" s="38"/>
      <c r="L169" s="38"/>
      <c r="M169" s="59">
        <f t="shared" si="27"/>
        <v>794364</v>
      </c>
      <c r="N169" s="57"/>
    </row>
    <row r="170" spans="1:14" s="3" customFormat="1" ht="38.25">
      <c r="A170" s="40" t="s">
        <v>212</v>
      </c>
      <c r="B170" s="64" t="s">
        <v>213</v>
      </c>
      <c r="C170" s="38">
        <f>1621345+782600</f>
        <v>2403945</v>
      </c>
      <c r="D170" s="38"/>
      <c r="E170" s="38"/>
      <c r="F170" s="38"/>
      <c r="G170" s="38"/>
      <c r="H170" s="38"/>
      <c r="I170" s="38"/>
      <c r="J170" s="38"/>
      <c r="K170" s="38"/>
      <c r="L170" s="38"/>
      <c r="M170" s="59">
        <f t="shared" si="27"/>
        <v>2403945</v>
      </c>
      <c r="N170" s="57"/>
    </row>
    <row r="171" spans="1:14" s="3" customFormat="1" ht="180" customHeight="1">
      <c r="A171" s="40"/>
      <c r="B171" s="103" t="s">
        <v>2</v>
      </c>
      <c r="C171" s="38">
        <f>C170</f>
        <v>2403945</v>
      </c>
      <c r="D171" s="38"/>
      <c r="E171" s="38"/>
      <c r="F171" s="38"/>
      <c r="G171" s="38"/>
      <c r="H171" s="38"/>
      <c r="I171" s="38"/>
      <c r="J171" s="38"/>
      <c r="K171" s="38"/>
      <c r="L171" s="38"/>
      <c r="M171" s="59">
        <f t="shared" si="27"/>
        <v>2403945</v>
      </c>
      <c r="N171" s="57"/>
    </row>
    <row r="172" spans="1:14" s="3" customFormat="1" ht="38.25">
      <c r="A172" s="40" t="s">
        <v>86</v>
      </c>
      <c r="B172" s="36" t="s">
        <v>229</v>
      </c>
      <c r="C172" s="86">
        <f>791100+42565000-278970+3000000+5045000-254498+417976+2875000-63117+4200993</f>
        <v>58298484</v>
      </c>
      <c r="D172" s="38"/>
      <c r="E172" s="38"/>
      <c r="F172" s="38">
        <f>G172+J172</f>
        <v>0</v>
      </c>
      <c r="G172" s="38"/>
      <c r="H172" s="38"/>
      <c r="I172" s="38"/>
      <c r="J172" s="38"/>
      <c r="K172" s="38"/>
      <c r="L172" s="38"/>
      <c r="M172" s="59">
        <f t="shared" si="27"/>
        <v>58298484</v>
      </c>
      <c r="N172" s="57"/>
    </row>
    <row r="173" spans="1:14" s="3" customFormat="1" ht="195.75" customHeight="1">
      <c r="A173" s="40"/>
      <c r="B173" s="103" t="s">
        <v>2</v>
      </c>
      <c r="C173" s="38">
        <f>C172-791100+78970-3000000-5045000-417976-2875000+63117</f>
        <v>46311495</v>
      </c>
      <c r="D173" s="38"/>
      <c r="E173" s="38"/>
      <c r="F173" s="38"/>
      <c r="G173" s="38"/>
      <c r="H173" s="38"/>
      <c r="I173" s="38"/>
      <c r="J173" s="38"/>
      <c r="K173" s="38"/>
      <c r="L173" s="38"/>
      <c r="M173" s="59">
        <f t="shared" si="27"/>
        <v>46311495</v>
      </c>
      <c r="N173" s="57"/>
    </row>
    <row r="174" spans="1:15" s="58" customFormat="1" ht="12.75">
      <c r="A174" s="40" t="s">
        <v>157</v>
      </c>
      <c r="B174" s="36" t="s">
        <v>161</v>
      </c>
      <c r="C174" s="38">
        <f>C175</f>
        <v>0</v>
      </c>
      <c r="D174" s="38">
        <f>D175</f>
        <v>0</v>
      </c>
      <c r="E174" s="38">
        <f>E175</f>
        <v>0</v>
      </c>
      <c r="F174" s="38">
        <f>G174+J174</f>
        <v>100000</v>
      </c>
      <c r="G174" s="38">
        <f>G175</f>
        <v>100000</v>
      </c>
      <c r="H174" s="38">
        <f>H175</f>
        <v>0</v>
      </c>
      <c r="I174" s="38">
        <f>I175</f>
        <v>0</v>
      </c>
      <c r="J174" s="38">
        <f>J175</f>
        <v>0</v>
      </c>
      <c r="K174" s="38">
        <f>K175</f>
        <v>0</v>
      </c>
      <c r="L174" s="38"/>
      <c r="M174" s="59">
        <f t="shared" si="27"/>
        <v>100000</v>
      </c>
      <c r="N174" s="57"/>
      <c r="O174" s="57"/>
    </row>
    <row r="175" spans="1:15" s="61" customFormat="1" ht="25.5">
      <c r="A175" s="40" t="s">
        <v>59</v>
      </c>
      <c r="B175" s="64" t="s">
        <v>116</v>
      </c>
      <c r="C175" s="38"/>
      <c r="D175" s="38"/>
      <c r="E175" s="38"/>
      <c r="F175" s="38">
        <f>G175+J175</f>
        <v>100000</v>
      </c>
      <c r="G175" s="38">
        <v>100000</v>
      </c>
      <c r="H175" s="38"/>
      <c r="I175" s="38"/>
      <c r="J175" s="38"/>
      <c r="K175" s="38"/>
      <c r="L175" s="38"/>
      <c r="M175" s="59">
        <f t="shared" si="27"/>
        <v>100000</v>
      </c>
      <c r="N175" s="57"/>
      <c r="O175" s="60"/>
    </row>
    <row r="176" spans="1:15" ht="25.5">
      <c r="A176" s="9" t="s">
        <v>159</v>
      </c>
      <c r="B176" s="6" t="s">
        <v>160</v>
      </c>
      <c r="C176" s="27">
        <f>C177+C178</f>
        <v>0</v>
      </c>
      <c r="D176" s="27">
        <f>D177+D178</f>
        <v>0</v>
      </c>
      <c r="E176" s="27">
        <f>E177+E178</f>
        <v>0</v>
      </c>
      <c r="F176" s="27">
        <f>F178</f>
        <v>2200</v>
      </c>
      <c r="G176" s="27">
        <f>G177+G178</f>
        <v>0</v>
      </c>
      <c r="H176" s="27">
        <f>H177+H178</f>
        <v>0</v>
      </c>
      <c r="I176" s="27">
        <f>I177+I178</f>
        <v>0</v>
      </c>
      <c r="J176" s="27">
        <f>J177+J178</f>
        <v>2200</v>
      </c>
      <c r="K176" s="27">
        <f>K177+K178</f>
        <v>0</v>
      </c>
      <c r="L176" s="27"/>
      <c r="M176" s="26">
        <f t="shared" si="27"/>
        <v>2200</v>
      </c>
      <c r="N176" s="57"/>
      <c r="O176" s="63"/>
    </row>
    <row r="177" spans="1:15" ht="53.25" customHeight="1" hidden="1">
      <c r="A177" s="40" t="s">
        <v>60</v>
      </c>
      <c r="B177" s="36" t="s">
        <v>98</v>
      </c>
      <c r="C177" s="38"/>
      <c r="D177" s="38"/>
      <c r="E177" s="38"/>
      <c r="F177" s="38">
        <f>G177+J177</f>
        <v>0</v>
      </c>
      <c r="G177" s="38"/>
      <c r="H177" s="38"/>
      <c r="I177" s="38"/>
      <c r="J177" s="38"/>
      <c r="K177" s="38"/>
      <c r="L177" s="38"/>
      <c r="M177" s="59">
        <f t="shared" si="27"/>
        <v>0</v>
      </c>
      <c r="N177" s="57"/>
      <c r="O177" s="63"/>
    </row>
    <row r="178" spans="1:15" ht="153.75" customHeight="1">
      <c r="A178" s="9" t="s">
        <v>176</v>
      </c>
      <c r="B178" s="6" t="s">
        <v>177</v>
      </c>
      <c r="C178" s="27"/>
      <c r="D178" s="27"/>
      <c r="E178" s="27"/>
      <c r="F178" s="27">
        <f>G178+J178</f>
        <v>2200</v>
      </c>
      <c r="G178" s="27"/>
      <c r="H178" s="27"/>
      <c r="I178" s="27"/>
      <c r="J178" s="27">
        <f>6300-4100</f>
        <v>2200</v>
      </c>
      <c r="K178" s="27"/>
      <c r="L178" s="27"/>
      <c r="M178" s="26">
        <f t="shared" si="27"/>
        <v>2200</v>
      </c>
      <c r="N178" s="57"/>
      <c r="O178" s="63"/>
    </row>
    <row r="179" spans="1:15" ht="111.75" customHeight="1">
      <c r="A179" s="9"/>
      <c r="B179" s="104" t="s">
        <v>261</v>
      </c>
      <c r="C179" s="27"/>
      <c r="D179" s="27"/>
      <c r="E179" s="27"/>
      <c r="F179" s="27">
        <f>G179+J179</f>
        <v>2200</v>
      </c>
      <c r="G179" s="27">
        <f>G178</f>
        <v>0</v>
      </c>
      <c r="H179" s="27">
        <f>H178</f>
        <v>0</v>
      </c>
      <c r="I179" s="27">
        <f>I178</f>
        <v>0</v>
      </c>
      <c r="J179" s="27">
        <f>J178</f>
        <v>2200</v>
      </c>
      <c r="K179" s="27">
        <f>K178</f>
        <v>0</v>
      </c>
      <c r="L179" s="27"/>
      <c r="M179" s="26">
        <f>C179+F179</f>
        <v>2200</v>
      </c>
      <c r="N179" s="57"/>
      <c r="O179" s="63"/>
    </row>
    <row r="180" spans="1:15" s="58" customFormat="1" ht="25.5" hidden="1">
      <c r="A180" s="114" t="s">
        <v>43</v>
      </c>
      <c r="B180" s="115" t="s">
        <v>99</v>
      </c>
      <c r="C180" s="116">
        <f>C181+C182+C183</f>
        <v>0</v>
      </c>
      <c r="D180" s="116">
        <f>D181+D182+D183</f>
        <v>0</v>
      </c>
      <c r="E180" s="116">
        <f>E181+E182+E183</f>
        <v>0</v>
      </c>
      <c r="F180" s="116">
        <f aca="true" t="shared" si="28" ref="F180:F187">G180+J180</f>
        <v>0</v>
      </c>
      <c r="G180" s="116">
        <f>G181+G182+G183</f>
        <v>0</v>
      </c>
      <c r="H180" s="116">
        <f>H181+H182+H183</f>
        <v>0</v>
      </c>
      <c r="I180" s="116">
        <f>I181+I182+I183</f>
        <v>0</v>
      </c>
      <c r="J180" s="116">
        <f>J181+J182+J183</f>
        <v>0</v>
      </c>
      <c r="K180" s="116">
        <f>K181+K182+K183</f>
        <v>0</v>
      </c>
      <c r="L180" s="116"/>
      <c r="M180" s="117">
        <f aca="true" t="shared" si="29" ref="M180:M190">C180+F180</f>
        <v>0</v>
      </c>
      <c r="N180" s="57"/>
      <c r="O180" s="57"/>
    </row>
    <row r="181" spans="1:15" s="61" customFormat="1" ht="25.5" hidden="1">
      <c r="A181" s="114" t="s">
        <v>126</v>
      </c>
      <c r="B181" s="118" t="s">
        <v>209</v>
      </c>
      <c r="C181" s="116"/>
      <c r="D181" s="116"/>
      <c r="E181" s="116"/>
      <c r="F181" s="116">
        <f t="shared" si="28"/>
        <v>0</v>
      </c>
      <c r="G181" s="116"/>
      <c r="H181" s="116"/>
      <c r="I181" s="116"/>
      <c r="J181" s="116"/>
      <c r="K181" s="116"/>
      <c r="L181" s="116"/>
      <c r="M181" s="117">
        <f t="shared" si="29"/>
        <v>0</v>
      </c>
      <c r="N181" s="57"/>
      <c r="O181" s="60"/>
    </row>
    <row r="182" spans="1:15" ht="25.5" hidden="1">
      <c r="A182" s="114" t="s">
        <v>127</v>
      </c>
      <c r="B182" s="118" t="s">
        <v>215</v>
      </c>
      <c r="C182" s="116"/>
      <c r="D182" s="116"/>
      <c r="E182" s="116"/>
      <c r="F182" s="116">
        <f t="shared" si="28"/>
        <v>0</v>
      </c>
      <c r="G182" s="116"/>
      <c r="H182" s="116"/>
      <c r="I182" s="116"/>
      <c r="J182" s="116"/>
      <c r="K182" s="116"/>
      <c r="L182" s="116"/>
      <c r="M182" s="117">
        <f t="shared" si="29"/>
        <v>0</v>
      </c>
      <c r="N182" s="57"/>
      <c r="O182" s="63"/>
    </row>
    <row r="183" spans="1:15" ht="26.25" customHeight="1" hidden="1">
      <c r="A183" s="114" t="s">
        <v>45</v>
      </c>
      <c r="B183" s="118" t="s">
        <v>171</v>
      </c>
      <c r="C183" s="116"/>
      <c r="D183" s="116"/>
      <c r="E183" s="116"/>
      <c r="F183" s="116">
        <f t="shared" si="28"/>
        <v>0</v>
      </c>
      <c r="G183" s="116"/>
      <c r="H183" s="116"/>
      <c r="I183" s="116"/>
      <c r="J183" s="116"/>
      <c r="K183" s="116"/>
      <c r="L183" s="116"/>
      <c r="M183" s="117">
        <f t="shared" si="29"/>
        <v>0</v>
      </c>
      <c r="N183" s="57"/>
      <c r="O183" s="63"/>
    </row>
    <row r="184" spans="1:15" ht="63.75" hidden="1">
      <c r="A184" s="40" t="s">
        <v>203</v>
      </c>
      <c r="B184" s="36" t="s">
        <v>204</v>
      </c>
      <c r="C184" s="38"/>
      <c r="D184" s="38"/>
      <c r="E184" s="38"/>
      <c r="F184" s="38">
        <f t="shared" si="28"/>
        <v>0</v>
      </c>
      <c r="G184" s="38"/>
      <c r="H184" s="38"/>
      <c r="I184" s="38"/>
      <c r="J184" s="38"/>
      <c r="K184" s="38"/>
      <c r="L184" s="38"/>
      <c r="M184" s="59">
        <f t="shared" si="29"/>
        <v>0</v>
      </c>
      <c r="N184" s="57"/>
      <c r="O184" s="63"/>
    </row>
    <row r="185" spans="1:15" ht="25.5" hidden="1">
      <c r="A185" s="40" t="s">
        <v>59</v>
      </c>
      <c r="B185" s="64" t="s">
        <v>116</v>
      </c>
      <c r="C185" s="38"/>
      <c r="D185" s="38"/>
      <c r="E185" s="38"/>
      <c r="F185" s="38">
        <f t="shared" si="28"/>
        <v>0</v>
      </c>
      <c r="G185" s="38"/>
      <c r="H185" s="38"/>
      <c r="I185" s="38"/>
      <c r="J185" s="38"/>
      <c r="K185" s="38"/>
      <c r="L185" s="38"/>
      <c r="M185" s="59">
        <f t="shared" si="29"/>
        <v>0</v>
      </c>
      <c r="N185" s="57"/>
      <c r="O185" s="63"/>
    </row>
    <row r="186" spans="1:15" ht="25.5">
      <c r="A186" s="111" t="s">
        <v>323</v>
      </c>
      <c r="B186" s="112" t="s">
        <v>293</v>
      </c>
      <c r="C186" s="55">
        <f aca="true" t="shared" si="30" ref="C186:E187">C187</f>
        <v>2129913</v>
      </c>
      <c r="D186" s="55">
        <f t="shared" si="30"/>
        <v>1474502</v>
      </c>
      <c r="E186" s="55">
        <f t="shared" si="30"/>
        <v>0</v>
      </c>
      <c r="F186" s="55">
        <f t="shared" si="28"/>
        <v>16170</v>
      </c>
      <c r="G186" s="55"/>
      <c r="H186" s="55"/>
      <c r="I186" s="55"/>
      <c r="J186" s="55">
        <f aca="true" t="shared" si="31" ref="J186:L187">J187</f>
        <v>16170</v>
      </c>
      <c r="K186" s="55">
        <f t="shared" si="31"/>
        <v>16170</v>
      </c>
      <c r="L186" s="55">
        <f t="shared" si="31"/>
        <v>10170</v>
      </c>
      <c r="M186" s="56">
        <f>C186+F186</f>
        <v>2146083</v>
      </c>
      <c r="N186" s="57"/>
      <c r="O186" s="63"/>
    </row>
    <row r="187" spans="1:15" ht="12.75">
      <c r="A187" s="43" t="s">
        <v>150</v>
      </c>
      <c r="B187" s="44" t="s">
        <v>151</v>
      </c>
      <c r="C187" s="38">
        <f t="shared" si="30"/>
        <v>2129913</v>
      </c>
      <c r="D187" s="38">
        <f t="shared" si="30"/>
        <v>1474502</v>
      </c>
      <c r="E187" s="38">
        <f t="shared" si="30"/>
        <v>0</v>
      </c>
      <c r="F187" s="38">
        <f t="shared" si="28"/>
        <v>16170</v>
      </c>
      <c r="G187" s="38"/>
      <c r="H187" s="38"/>
      <c r="I187" s="38"/>
      <c r="J187" s="38">
        <f t="shared" si="31"/>
        <v>16170</v>
      </c>
      <c r="K187" s="38">
        <f t="shared" si="31"/>
        <v>16170</v>
      </c>
      <c r="L187" s="38">
        <f t="shared" si="31"/>
        <v>10170</v>
      </c>
      <c r="M187" s="59">
        <f>C187+F187</f>
        <v>2146083</v>
      </c>
      <c r="N187" s="57"/>
      <c r="O187" s="63"/>
    </row>
    <row r="188" spans="1:15" ht="12.75">
      <c r="A188" s="40" t="s">
        <v>21</v>
      </c>
      <c r="B188" s="62" t="s">
        <v>22</v>
      </c>
      <c r="C188" s="38">
        <f>2021028+14450+17874+62755+34806-21000</f>
        <v>2129913</v>
      </c>
      <c r="D188" s="38">
        <f>1420860+46042+7600</f>
        <v>1474502</v>
      </c>
      <c r="E188" s="37"/>
      <c r="F188" s="38">
        <f>G188+J188</f>
        <v>16170</v>
      </c>
      <c r="G188" s="38"/>
      <c r="H188" s="38"/>
      <c r="I188" s="38"/>
      <c r="J188" s="38">
        <f>6000+10170</f>
        <v>16170</v>
      </c>
      <c r="K188" s="38">
        <f>J188</f>
        <v>16170</v>
      </c>
      <c r="L188" s="38">
        <f>16170-6000</f>
        <v>10170</v>
      </c>
      <c r="M188" s="59">
        <f>C188+F188</f>
        <v>2146083</v>
      </c>
      <c r="N188" s="57"/>
      <c r="O188" s="63"/>
    </row>
    <row r="189" spans="1:15" ht="12.75" hidden="1">
      <c r="A189" s="40" t="s">
        <v>157</v>
      </c>
      <c r="B189" s="36" t="s">
        <v>161</v>
      </c>
      <c r="C189" s="38"/>
      <c r="D189" s="38"/>
      <c r="E189" s="38"/>
      <c r="F189" s="38">
        <f>G189+J189</f>
        <v>0</v>
      </c>
      <c r="G189" s="38">
        <f>G190</f>
        <v>0</v>
      </c>
      <c r="H189" s="38">
        <f>H190</f>
        <v>0</v>
      </c>
      <c r="I189" s="38">
        <f>I190</f>
        <v>0</v>
      </c>
      <c r="J189" s="38">
        <f>J190</f>
        <v>0</v>
      </c>
      <c r="K189" s="38">
        <f>K190</f>
        <v>0</v>
      </c>
      <c r="L189" s="38"/>
      <c r="M189" s="59">
        <f t="shared" si="29"/>
        <v>0</v>
      </c>
      <c r="N189" s="57"/>
      <c r="O189" s="63"/>
    </row>
    <row r="190" spans="1:15" ht="25.5" hidden="1">
      <c r="A190" s="40" t="s">
        <v>59</v>
      </c>
      <c r="B190" s="36" t="s">
        <v>116</v>
      </c>
      <c r="C190" s="38"/>
      <c r="D190" s="38"/>
      <c r="E190" s="38"/>
      <c r="F190" s="38">
        <f>G190+J190</f>
        <v>0</v>
      </c>
      <c r="G190" s="38"/>
      <c r="H190" s="38"/>
      <c r="I190" s="38"/>
      <c r="J190" s="38"/>
      <c r="K190" s="38"/>
      <c r="L190" s="38"/>
      <c r="M190" s="59">
        <f t="shared" si="29"/>
        <v>0</v>
      </c>
      <c r="N190" s="57"/>
      <c r="O190" s="63"/>
    </row>
    <row r="191" spans="1:14" s="3" customFormat="1" ht="51">
      <c r="A191" s="18" t="s">
        <v>319</v>
      </c>
      <c r="B191" s="20" t="s">
        <v>270</v>
      </c>
      <c r="C191" s="31">
        <f aca="true" t="shared" si="32" ref="C191:E192">C192</f>
        <v>661820</v>
      </c>
      <c r="D191" s="31">
        <f t="shared" si="32"/>
        <v>394713</v>
      </c>
      <c r="E191" s="31">
        <f t="shared" si="32"/>
        <v>0</v>
      </c>
      <c r="F191" s="31">
        <f>G191+J191</f>
        <v>5254</v>
      </c>
      <c r="G191" s="31">
        <f>G192</f>
        <v>0</v>
      </c>
      <c r="H191" s="31"/>
      <c r="I191" s="31"/>
      <c r="J191" s="31">
        <f aca="true" t="shared" si="33" ref="J191:L192">J192</f>
        <v>5254</v>
      </c>
      <c r="K191" s="31">
        <f t="shared" si="33"/>
        <v>5254</v>
      </c>
      <c r="L191" s="31">
        <f t="shared" si="33"/>
        <v>5254</v>
      </c>
      <c r="M191" s="56">
        <f>C191+F191</f>
        <v>667074</v>
      </c>
      <c r="N191" s="57"/>
    </row>
    <row r="192" spans="1:14" s="3" customFormat="1" ht="12.75">
      <c r="A192" s="79" t="s">
        <v>150</v>
      </c>
      <c r="B192" s="80" t="s">
        <v>151</v>
      </c>
      <c r="C192" s="27">
        <f t="shared" si="32"/>
        <v>661820</v>
      </c>
      <c r="D192" s="27">
        <f t="shared" si="32"/>
        <v>394713</v>
      </c>
      <c r="E192" s="27">
        <f t="shared" si="32"/>
        <v>0</v>
      </c>
      <c r="F192" s="27">
        <f>F193</f>
        <v>5254</v>
      </c>
      <c r="G192" s="27">
        <f>G193</f>
        <v>0</v>
      </c>
      <c r="H192" s="27"/>
      <c r="I192" s="27"/>
      <c r="J192" s="27">
        <f t="shared" si="33"/>
        <v>5254</v>
      </c>
      <c r="K192" s="27">
        <f t="shared" si="33"/>
        <v>5254</v>
      </c>
      <c r="L192" s="27">
        <f t="shared" si="33"/>
        <v>5254</v>
      </c>
      <c r="M192" s="59">
        <f>C192+F192</f>
        <v>667074</v>
      </c>
      <c r="N192" s="57"/>
    </row>
    <row r="193" spans="1:14" s="3" customFormat="1" ht="12.75">
      <c r="A193" s="7" t="s">
        <v>21</v>
      </c>
      <c r="B193" s="81" t="s">
        <v>22</v>
      </c>
      <c r="C193" s="27">
        <f>754150+11452-32617-3377-18393+9305-58700</f>
        <v>661820</v>
      </c>
      <c r="D193" s="27">
        <f>473315-26408-13494-38700</f>
        <v>394713</v>
      </c>
      <c r="E193" s="27"/>
      <c r="F193" s="27">
        <f>G193+J193</f>
        <v>5254</v>
      </c>
      <c r="G193" s="143"/>
      <c r="H193" s="27"/>
      <c r="I193" s="27"/>
      <c r="J193" s="27">
        <v>5254</v>
      </c>
      <c r="K193" s="27">
        <f>J193</f>
        <v>5254</v>
      </c>
      <c r="L193" s="27">
        <f>K193</f>
        <v>5254</v>
      </c>
      <c r="M193" s="59">
        <f>C193+F193</f>
        <v>667074</v>
      </c>
      <c r="N193" s="57"/>
    </row>
    <row r="194" spans="1:15" ht="25.5">
      <c r="A194" s="111" t="s">
        <v>329</v>
      </c>
      <c r="B194" s="124" t="s">
        <v>275</v>
      </c>
      <c r="C194" s="55">
        <f>C195+C197+C206+C208+C210</f>
        <v>71095572</v>
      </c>
      <c r="D194" s="55">
        <f>D195+D197+D206+D208+D210</f>
        <v>42109003</v>
      </c>
      <c r="E194" s="55">
        <f>E195+E197+E206+E208+E210</f>
        <v>4633693</v>
      </c>
      <c r="F194" s="55">
        <f>G194+J194</f>
        <v>7754607</v>
      </c>
      <c r="G194" s="55">
        <f aca="true" t="shared" si="34" ref="G194:L194">G195+G197+G206+G208+G210</f>
        <v>4537369</v>
      </c>
      <c r="H194" s="55">
        <f t="shared" si="34"/>
        <v>1636699</v>
      </c>
      <c r="I194" s="55">
        <f t="shared" si="34"/>
        <v>737573</v>
      </c>
      <c r="J194" s="55">
        <f t="shared" si="34"/>
        <v>3217238</v>
      </c>
      <c r="K194" s="55">
        <f t="shared" si="34"/>
        <v>2555667</v>
      </c>
      <c r="L194" s="55">
        <f t="shared" si="34"/>
        <v>153795</v>
      </c>
      <c r="M194" s="56">
        <f aca="true" t="shared" si="35" ref="M194:M212">C194+F194</f>
        <v>78850179</v>
      </c>
      <c r="N194" s="57"/>
      <c r="O194" s="63"/>
    </row>
    <row r="195" spans="1:15" ht="15" customHeight="1">
      <c r="A195" s="43" t="s">
        <v>150</v>
      </c>
      <c r="B195" s="70" t="s">
        <v>151</v>
      </c>
      <c r="C195" s="37">
        <f>C196</f>
        <v>723349</v>
      </c>
      <c r="D195" s="37">
        <f>D196</f>
        <v>487069</v>
      </c>
      <c r="E195" s="37">
        <f>E196</f>
        <v>63277</v>
      </c>
      <c r="F195" s="38">
        <f aca="true" t="shared" si="36" ref="F195:F211">G195+J195</f>
        <v>0</v>
      </c>
      <c r="G195" s="37"/>
      <c r="H195" s="37"/>
      <c r="I195" s="37"/>
      <c r="J195" s="37"/>
      <c r="K195" s="37"/>
      <c r="L195" s="37"/>
      <c r="M195" s="59">
        <f t="shared" si="35"/>
        <v>723349</v>
      </c>
      <c r="N195" s="57"/>
      <c r="O195" s="63"/>
    </row>
    <row r="196" spans="1:15" ht="12.75">
      <c r="A196" s="40" t="s">
        <v>21</v>
      </c>
      <c r="B196" s="85" t="s">
        <v>22</v>
      </c>
      <c r="C196" s="38">
        <f>638450+1100+44257+10900-11675+40317</f>
        <v>723349</v>
      </c>
      <c r="D196" s="38">
        <f>423930+32470+8000-7441+30110</f>
        <v>487069</v>
      </c>
      <c r="E196" s="38">
        <f>60650+2627</f>
        <v>63277</v>
      </c>
      <c r="F196" s="38">
        <f t="shared" si="36"/>
        <v>0</v>
      </c>
      <c r="G196" s="38"/>
      <c r="H196" s="38"/>
      <c r="I196" s="38"/>
      <c r="J196" s="38"/>
      <c r="K196" s="38"/>
      <c r="L196" s="38"/>
      <c r="M196" s="59">
        <f t="shared" si="35"/>
        <v>723349</v>
      </c>
      <c r="N196" s="57"/>
      <c r="O196" s="63"/>
    </row>
    <row r="197" spans="1:15" ht="12.75">
      <c r="A197" s="40" t="s">
        <v>47</v>
      </c>
      <c r="B197" s="36" t="s">
        <v>4</v>
      </c>
      <c r="C197" s="38">
        <f>SUM(C198:C205)</f>
        <v>70372223</v>
      </c>
      <c r="D197" s="38">
        <f>SUM(D198:D205)</f>
        <v>41621934</v>
      </c>
      <c r="E197" s="38">
        <f>SUM(E198:E205)</f>
        <v>4570416</v>
      </c>
      <c r="F197" s="38">
        <f t="shared" si="36"/>
        <v>7544607</v>
      </c>
      <c r="G197" s="38">
        <f aca="true" t="shared" si="37" ref="G197:L197">SUM(G198:G205)</f>
        <v>4537369</v>
      </c>
      <c r="H197" s="38">
        <f t="shared" si="37"/>
        <v>1636699</v>
      </c>
      <c r="I197" s="38">
        <f t="shared" si="37"/>
        <v>737573</v>
      </c>
      <c r="J197" s="38">
        <f t="shared" si="37"/>
        <v>3007238</v>
      </c>
      <c r="K197" s="38">
        <f t="shared" si="37"/>
        <v>2345667</v>
      </c>
      <c r="L197" s="38">
        <f t="shared" si="37"/>
        <v>153795</v>
      </c>
      <c r="M197" s="59">
        <f t="shared" si="35"/>
        <v>77916830</v>
      </c>
      <c r="N197" s="57"/>
      <c r="O197" s="63"/>
    </row>
    <row r="198" spans="1:15" ht="12.75">
      <c r="A198" s="40">
        <v>110102</v>
      </c>
      <c r="B198" s="78" t="s">
        <v>48</v>
      </c>
      <c r="C198" s="38">
        <v>3710082</v>
      </c>
      <c r="D198" s="38"/>
      <c r="E198" s="38"/>
      <c r="F198" s="38">
        <f t="shared" si="36"/>
        <v>686157</v>
      </c>
      <c r="G198" s="38"/>
      <c r="H198" s="38"/>
      <c r="I198" s="38"/>
      <c r="J198" s="38">
        <f>1306673-617598-2918</f>
        <v>686157</v>
      </c>
      <c r="K198" s="38">
        <f>1306673-617598-2918</f>
        <v>686157</v>
      </c>
      <c r="L198" s="38">
        <f>1306673-1290348</f>
        <v>16325</v>
      </c>
      <c r="M198" s="59">
        <f t="shared" si="35"/>
        <v>4396239</v>
      </c>
      <c r="N198" s="57"/>
      <c r="O198" s="63"/>
    </row>
    <row r="199" spans="1:15" ht="12.75">
      <c r="A199" s="40">
        <v>110201</v>
      </c>
      <c r="B199" s="78" t="s">
        <v>49</v>
      </c>
      <c r="C199" s="38">
        <f>13744999+(22500)-12190-(1000)-(5000)-9116+(2000)+(6000)-57780-358209-181570</f>
        <v>13150634</v>
      </c>
      <c r="D199" s="38">
        <f>7668846-112107</f>
        <v>7556739</v>
      </c>
      <c r="E199" s="38">
        <f>1133445+71509</f>
        <v>1204954</v>
      </c>
      <c r="F199" s="38">
        <f>G199+J199</f>
        <v>1187850</v>
      </c>
      <c r="G199" s="38">
        <v>9321</v>
      </c>
      <c r="H199" s="38"/>
      <c r="I199" s="38">
        <v>9321</v>
      </c>
      <c r="J199" s="38">
        <f>63121+1461581+(32100)+(13000)+(5000)+(18000)-(2000)-(1000)+91700-406598-88567-7808</f>
        <v>1178529</v>
      </c>
      <c r="K199" s="38">
        <f>1461581+(32100)+(13000)+(5000)+(18000)-(2000)-(1000)+91700-406598-88567-7808</f>
        <v>1115408</v>
      </c>
      <c r="L199" s="38">
        <f>1461581+(32100)+(13000)+(5000)+(18000)-(2000)-(1000)-1461581</f>
        <v>65100</v>
      </c>
      <c r="M199" s="59">
        <f t="shared" si="35"/>
        <v>14338484</v>
      </c>
      <c r="N199" s="57"/>
      <c r="O199" s="63"/>
    </row>
    <row r="200" spans="1:15" ht="26.25" customHeight="1">
      <c r="A200" s="40">
        <v>110204</v>
      </c>
      <c r="B200" s="78" t="s">
        <v>134</v>
      </c>
      <c r="C200" s="38">
        <f>7208622+(3000)+25642+139002</f>
        <v>7376266</v>
      </c>
      <c r="D200" s="38">
        <v>3686069</v>
      </c>
      <c r="E200" s="38">
        <f>1827499+89002</f>
        <v>1916501</v>
      </c>
      <c r="F200" s="38">
        <f t="shared" si="36"/>
        <v>2632266</v>
      </c>
      <c r="G200" s="38">
        <v>2272498</v>
      </c>
      <c r="H200" s="38">
        <v>702571</v>
      </c>
      <c r="I200" s="38">
        <v>527755</v>
      </c>
      <c r="J200" s="38">
        <f>166000+1026819-542703+(20000)+(5000)+55000-370348</f>
        <v>359768</v>
      </c>
      <c r="K200" s="38">
        <f>1026819-542703+(20000)+(5000)+55000-370348</f>
        <v>193768</v>
      </c>
      <c r="L200" s="38">
        <f>509116-460940</f>
        <v>48176</v>
      </c>
      <c r="M200" s="59">
        <f t="shared" si="35"/>
        <v>10008532</v>
      </c>
      <c r="N200" s="57"/>
      <c r="O200" s="63"/>
    </row>
    <row r="201" spans="1:15" ht="12.75">
      <c r="A201" s="40">
        <v>110205</v>
      </c>
      <c r="B201" s="78" t="s">
        <v>50</v>
      </c>
      <c r="C201" s="38">
        <f>41299029-34346+(5000)+69207+149676+(3000)</f>
        <v>41491566</v>
      </c>
      <c r="D201" s="38">
        <f>29125581+139445</f>
        <v>29265026</v>
      </c>
      <c r="E201" s="38">
        <f>1329571+69207</f>
        <v>1398778</v>
      </c>
      <c r="F201" s="38">
        <f t="shared" si="36"/>
        <v>2950138</v>
      </c>
      <c r="G201" s="38">
        <v>2255550</v>
      </c>
      <c r="H201" s="38">
        <v>934128</v>
      </c>
      <c r="I201" s="38">
        <v>200497</v>
      </c>
      <c r="J201" s="38">
        <f>432450+488385-281597+(5000)+50350</f>
        <v>694588</v>
      </c>
      <c r="K201" s="38">
        <f>488385-281597+(5000)+50350</f>
        <v>262138</v>
      </c>
      <c r="L201" s="38">
        <f>211788-206788</f>
        <v>5000</v>
      </c>
      <c r="M201" s="59">
        <f t="shared" si="35"/>
        <v>44441704</v>
      </c>
      <c r="N201" s="57"/>
      <c r="O201" s="63"/>
    </row>
    <row r="202" spans="1:15" ht="102" hidden="1">
      <c r="A202" s="40" t="s">
        <v>220</v>
      </c>
      <c r="B202" s="36" t="s">
        <v>219</v>
      </c>
      <c r="C202" s="38"/>
      <c r="D202" s="38"/>
      <c r="E202" s="38"/>
      <c r="F202" s="38">
        <f t="shared" si="36"/>
        <v>0</v>
      </c>
      <c r="G202" s="38"/>
      <c r="H202" s="38"/>
      <c r="I202" s="38"/>
      <c r="J202" s="38"/>
      <c r="K202" s="38"/>
      <c r="L202" s="38"/>
      <c r="M202" s="59">
        <f t="shared" si="35"/>
        <v>0</v>
      </c>
      <c r="N202" s="57"/>
      <c r="O202" s="63"/>
    </row>
    <row r="203" spans="1:15" ht="25.5" hidden="1">
      <c r="A203" s="40"/>
      <c r="B203" s="36" t="s">
        <v>170</v>
      </c>
      <c r="C203" s="38"/>
      <c r="D203" s="38"/>
      <c r="E203" s="38"/>
      <c r="F203" s="38"/>
      <c r="G203" s="38"/>
      <c r="H203" s="38"/>
      <c r="I203" s="38"/>
      <c r="J203" s="38"/>
      <c r="K203" s="38"/>
      <c r="L203" s="38"/>
      <c r="M203" s="59">
        <f t="shared" si="35"/>
        <v>0</v>
      </c>
      <c r="N203" s="57"/>
      <c r="O203" s="63"/>
    </row>
    <row r="204" spans="1:15" ht="12.75">
      <c r="A204" s="40" t="s">
        <v>182</v>
      </c>
      <c r="B204" s="36" t="s">
        <v>183</v>
      </c>
      <c r="C204" s="38">
        <f>804900+43462+32138+31894</f>
        <v>912394</v>
      </c>
      <c r="D204" s="38"/>
      <c r="E204" s="38"/>
      <c r="F204" s="38"/>
      <c r="G204" s="38"/>
      <c r="H204" s="38"/>
      <c r="I204" s="38"/>
      <c r="J204" s="38"/>
      <c r="K204" s="38"/>
      <c r="L204" s="38"/>
      <c r="M204" s="59">
        <f t="shared" si="35"/>
        <v>912394</v>
      </c>
      <c r="N204" s="57"/>
      <c r="O204" s="63"/>
    </row>
    <row r="205" spans="1:15" ht="25.5">
      <c r="A205" s="40">
        <v>110502</v>
      </c>
      <c r="B205" s="36" t="s">
        <v>51</v>
      </c>
      <c r="C205" s="38">
        <f>3665587+65694</f>
        <v>3731281</v>
      </c>
      <c r="D205" s="38">
        <v>1114100</v>
      </c>
      <c r="E205" s="38">
        <v>50183</v>
      </c>
      <c r="F205" s="38">
        <f t="shared" si="36"/>
        <v>88196</v>
      </c>
      <c r="G205" s="38"/>
      <c r="H205" s="38"/>
      <c r="I205" s="38"/>
      <c r="J205" s="38">
        <f>106723-18527</f>
        <v>88196</v>
      </c>
      <c r="K205" s="38">
        <f>106723-18527</f>
        <v>88196</v>
      </c>
      <c r="L205" s="38">
        <f>106723-87529</f>
        <v>19194</v>
      </c>
      <c r="M205" s="59">
        <f t="shared" si="35"/>
        <v>3819477</v>
      </c>
      <c r="N205" s="57"/>
      <c r="O205" s="63"/>
    </row>
    <row r="206" spans="1:15" ht="12.75">
      <c r="A206" s="40" t="s">
        <v>154</v>
      </c>
      <c r="B206" s="36" t="s">
        <v>55</v>
      </c>
      <c r="C206" s="38"/>
      <c r="D206" s="38"/>
      <c r="E206" s="38"/>
      <c r="F206" s="38">
        <f t="shared" si="36"/>
        <v>210000</v>
      </c>
      <c r="G206" s="38"/>
      <c r="H206" s="38"/>
      <c r="I206" s="38"/>
      <c r="J206" s="38">
        <f>J207</f>
        <v>210000</v>
      </c>
      <c r="K206" s="38">
        <f>K207</f>
        <v>210000</v>
      </c>
      <c r="L206" s="38"/>
      <c r="M206" s="59">
        <f t="shared" si="35"/>
        <v>210000</v>
      </c>
      <c r="N206" s="57"/>
      <c r="O206" s="63"/>
    </row>
    <row r="207" spans="1:15" s="58" customFormat="1" ht="12.75">
      <c r="A207" s="40" t="s">
        <v>121</v>
      </c>
      <c r="B207" s="36" t="s">
        <v>122</v>
      </c>
      <c r="C207" s="38"/>
      <c r="D207" s="38"/>
      <c r="E207" s="38"/>
      <c r="F207" s="38">
        <f t="shared" si="36"/>
        <v>210000</v>
      </c>
      <c r="G207" s="38"/>
      <c r="H207" s="38"/>
      <c r="I207" s="38"/>
      <c r="J207" s="38">
        <f>K207</f>
        <v>210000</v>
      </c>
      <c r="K207" s="86">
        <f>100000+110000</f>
        <v>210000</v>
      </c>
      <c r="L207" s="38"/>
      <c r="M207" s="59">
        <f t="shared" si="35"/>
        <v>210000</v>
      </c>
      <c r="N207" s="57"/>
      <c r="O207" s="57"/>
    </row>
    <row r="208" spans="1:15" s="61" customFormat="1" ht="12.75" hidden="1">
      <c r="A208" s="40" t="s">
        <v>157</v>
      </c>
      <c r="B208" s="36" t="s">
        <v>161</v>
      </c>
      <c r="C208" s="38">
        <f>C209</f>
        <v>0</v>
      </c>
      <c r="D208" s="38">
        <f>D209</f>
        <v>0</v>
      </c>
      <c r="E208" s="38">
        <f>E209</f>
        <v>0</v>
      </c>
      <c r="F208" s="38">
        <f t="shared" si="36"/>
        <v>0</v>
      </c>
      <c r="G208" s="38">
        <f>G209</f>
        <v>0</v>
      </c>
      <c r="H208" s="38">
        <f>H209</f>
        <v>0</v>
      </c>
      <c r="I208" s="38">
        <f>I209</f>
        <v>0</v>
      </c>
      <c r="J208" s="38">
        <f>J209</f>
        <v>0</v>
      </c>
      <c r="K208" s="38">
        <f>K209</f>
        <v>0</v>
      </c>
      <c r="L208" s="38"/>
      <c r="M208" s="59">
        <f t="shared" si="35"/>
        <v>0</v>
      </c>
      <c r="N208" s="57"/>
      <c r="O208" s="60"/>
    </row>
    <row r="209" spans="1:15" ht="25.5" hidden="1">
      <c r="A209" s="40" t="s">
        <v>59</v>
      </c>
      <c r="B209" s="64" t="s">
        <v>116</v>
      </c>
      <c r="C209" s="38"/>
      <c r="D209" s="38"/>
      <c r="E209" s="38"/>
      <c r="F209" s="38">
        <f t="shared" si="36"/>
        <v>0</v>
      </c>
      <c r="G209" s="38"/>
      <c r="H209" s="38"/>
      <c r="I209" s="38"/>
      <c r="J209" s="38"/>
      <c r="K209" s="38"/>
      <c r="L209" s="38"/>
      <c r="M209" s="59">
        <f t="shared" si="35"/>
        <v>0</v>
      </c>
      <c r="N209" s="57"/>
      <c r="O209" s="63"/>
    </row>
    <row r="210" spans="1:15" ht="25.5" hidden="1">
      <c r="A210" s="40" t="s">
        <v>159</v>
      </c>
      <c r="B210" s="44" t="s">
        <v>160</v>
      </c>
      <c r="C210" s="38">
        <f>C211</f>
        <v>0</v>
      </c>
      <c r="D210" s="38">
        <f>D211</f>
        <v>0</v>
      </c>
      <c r="E210" s="38">
        <f>E211</f>
        <v>0</v>
      </c>
      <c r="F210" s="38">
        <f t="shared" si="36"/>
        <v>0</v>
      </c>
      <c r="G210" s="38">
        <f>G211</f>
        <v>0</v>
      </c>
      <c r="H210" s="38">
        <f>H211</f>
        <v>0</v>
      </c>
      <c r="I210" s="38">
        <f>I211</f>
        <v>0</v>
      </c>
      <c r="J210" s="38">
        <f>J211</f>
        <v>0</v>
      </c>
      <c r="K210" s="38">
        <f>K211</f>
        <v>0</v>
      </c>
      <c r="L210" s="38"/>
      <c r="M210" s="59">
        <f t="shared" si="35"/>
        <v>0</v>
      </c>
      <c r="N210" s="57"/>
      <c r="O210" s="63"/>
    </row>
    <row r="211" spans="1:15" ht="12.75" hidden="1">
      <c r="A211" s="40" t="s">
        <v>60</v>
      </c>
      <c r="B211" s="36" t="s">
        <v>98</v>
      </c>
      <c r="C211" s="38"/>
      <c r="D211" s="38"/>
      <c r="E211" s="38"/>
      <c r="F211" s="38">
        <f t="shared" si="36"/>
        <v>0</v>
      </c>
      <c r="G211" s="38"/>
      <c r="H211" s="38"/>
      <c r="I211" s="38"/>
      <c r="J211" s="38"/>
      <c r="K211" s="38"/>
      <c r="L211" s="38"/>
      <c r="M211" s="59">
        <f t="shared" si="35"/>
        <v>0</v>
      </c>
      <c r="N211" s="57"/>
      <c r="O211" s="63"/>
    </row>
    <row r="212" spans="1:15" ht="12.75" hidden="1">
      <c r="A212" s="40"/>
      <c r="B212" s="64"/>
      <c r="C212" s="38"/>
      <c r="D212" s="38"/>
      <c r="E212" s="38"/>
      <c r="F212" s="38"/>
      <c r="G212" s="38"/>
      <c r="H212" s="38"/>
      <c r="I212" s="38"/>
      <c r="J212" s="38"/>
      <c r="K212" s="38"/>
      <c r="L212" s="38"/>
      <c r="M212" s="59">
        <f t="shared" si="35"/>
        <v>0</v>
      </c>
      <c r="N212" s="57"/>
      <c r="O212" s="63"/>
    </row>
    <row r="213" spans="1:15" ht="38.25">
      <c r="A213" s="111" t="s">
        <v>328</v>
      </c>
      <c r="B213" s="123" t="s">
        <v>297</v>
      </c>
      <c r="C213" s="55">
        <f>C214+C216+C221+C219</f>
        <v>2091210</v>
      </c>
      <c r="D213" s="55">
        <f>D214+D216+D221+D219</f>
        <v>1189889</v>
      </c>
      <c r="E213" s="55">
        <f>E214+E216+E221+E219</f>
        <v>67985</v>
      </c>
      <c r="F213" s="55">
        <f>G213+J213</f>
        <v>8240</v>
      </c>
      <c r="G213" s="55">
        <f aca="true" t="shared" si="38" ref="G213:L213">G214+G216+G221+G219</f>
        <v>0</v>
      </c>
      <c r="H213" s="55">
        <f t="shared" si="38"/>
        <v>0</v>
      </c>
      <c r="I213" s="55">
        <f t="shared" si="38"/>
        <v>0</v>
      </c>
      <c r="J213" s="55">
        <f t="shared" si="38"/>
        <v>8240</v>
      </c>
      <c r="K213" s="55">
        <f t="shared" si="38"/>
        <v>8240</v>
      </c>
      <c r="L213" s="55">
        <f t="shared" si="38"/>
        <v>0</v>
      </c>
      <c r="M213" s="56">
        <f>C213+F213</f>
        <v>2099450</v>
      </c>
      <c r="N213" s="57"/>
      <c r="O213" s="63"/>
    </row>
    <row r="214" spans="1:15" ht="12.75">
      <c r="A214" s="43" t="s">
        <v>150</v>
      </c>
      <c r="B214" s="44" t="s">
        <v>151</v>
      </c>
      <c r="C214" s="37">
        <f>C215</f>
        <v>1862210</v>
      </c>
      <c r="D214" s="37">
        <f>D215</f>
        <v>1189889</v>
      </c>
      <c r="E214" s="37">
        <f>E215</f>
        <v>67985</v>
      </c>
      <c r="F214" s="38">
        <f aca="true" t="shared" si="39" ref="F214:F220">G214+J214</f>
        <v>8240</v>
      </c>
      <c r="G214" s="37"/>
      <c r="H214" s="37"/>
      <c r="I214" s="37"/>
      <c r="J214" s="37">
        <f>J215</f>
        <v>8240</v>
      </c>
      <c r="K214" s="37">
        <f>K215</f>
        <v>8240</v>
      </c>
      <c r="L214" s="37">
        <f>L215</f>
        <v>0</v>
      </c>
      <c r="M214" s="59">
        <f>C214+F214</f>
        <v>1870450</v>
      </c>
      <c r="N214" s="57"/>
      <c r="O214" s="63"/>
    </row>
    <row r="215" spans="1:15" ht="12.75">
      <c r="A215" s="40" t="s">
        <v>21</v>
      </c>
      <c r="B215" s="62" t="s">
        <v>22</v>
      </c>
      <c r="C215" s="38">
        <f>1624230+27208+27475-56930+117377+9400+29709-4060+99921-12120</f>
        <v>1862210</v>
      </c>
      <c r="D215" s="38">
        <f>1107740-49633+86117-11720-2979+72484-12120</f>
        <v>1189889</v>
      </c>
      <c r="E215" s="38">
        <f>40510+27475</f>
        <v>67985</v>
      </c>
      <c r="F215" s="38">
        <f t="shared" si="39"/>
        <v>8240</v>
      </c>
      <c r="G215" s="38"/>
      <c r="H215" s="38"/>
      <c r="I215" s="38"/>
      <c r="J215" s="38">
        <f>8240</f>
        <v>8240</v>
      </c>
      <c r="K215" s="38">
        <f>J215</f>
        <v>8240</v>
      </c>
      <c r="L215" s="38"/>
      <c r="M215" s="59">
        <f>C215+F215</f>
        <v>1870450</v>
      </c>
      <c r="N215" s="57"/>
      <c r="O215" s="63"/>
    </row>
    <row r="216" spans="1:15" ht="25.5" hidden="1">
      <c r="A216" s="40" t="s">
        <v>165</v>
      </c>
      <c r="B216" s="62" t="s">
        <v>166</v>
      </c>
      <c r="C216" s="108">
        <f>C217</f>
        <v>0</v>
      </c>
      <c r="D216" s="38">
        <f aca="true" t="shared" si="40" ref="D216:L216">D217</f>
        <v>0</v>
      </c>
      <c r="E216" s="38">
        <f t="shared" si="40"/>
        <v>0</v>
      </c>
      <c r="F216" s="38">
        <f t="shared" si="40"/>
        <v>0</v>
      </c>
      <c r="G216" s="38">
        <f t="shared" si="40"/>
        <v>0</v>
      </c>
      <c r="H216" s="38">
        <f t="shared" si="40"/>
        <v>0</v>
      </c>
      <c r="I216" s="38">
        <f t="shared" si="40"/>
        <v>0</v>
      </c>
      <c r="J216" s="38">
        <f t="shared" si="40"/>
        <v>0</v>
      </c>
      <c r="K216" s="38">
        <f t="shared" si="40"/>
        <v>0</v>
      </c>
      <c r="L216" s="38">
        <f t="shared" si="40"/>
        <v>0</v>
      </c>
      <c r="M216" s="109">
        <f>C216+F217</f>
        <v>0</v>
      </c>
      <c r="N216" s="57"/>
      <c r="O216" s="63"/>
    </row>
    <row r="217" spans="1:15" ht="25.5" hidden="1">
      <c r="A217" s="40" t="s">
        <v>56</v>
      </c>
      <c r="B217" s="78" t="s">
        <v>253</v>
      </c>
      <c r="C217" s="38"/>
      <c r="D217" s="38"/>
      <c r="E217" s="38"/>
      <c r="F217" s="38">
        <f>G217+J217</f>
        <v>0</v>
      </c>
      <c r="G217" s="38"/>
      <c r="H217" s="38"/>
      <c r="I217" s="38"/>
      <c r="J217" s="38"/>
      <c r="K217" s="38"/>
      <c r="L217" s="38"/>
      <c r="M217" s="59">
        <f>C217+F219</f>
        <v>0</v>
      </c>
      <c r="N217" s="57"/>
      <c r="O217" s="63"/>
    </row>
    <row r="218" spans="1:15" s="58" customFormat="1" ht="25.5" hidden="1">
      <c r="A218" s="84" t="s">
        <v>76</v>
      </c>
      <c r="B218" s="78" t="s">
        <v>77</v>
      </c>
      <c r="C218" s="38"/>
      <c r="D218" s="38"/>
      <c r="E218" s="38"/>
      <c r="F218" s="38"/>
      <c r="G218" s="38"/>
      <c r="H218" s="38"/>
      <c r="I218" s="38"/>
      <c r="J218" s="38"/>
      <c r="K218" s="38"/>
      <c r="L218" s="38"/>
      <c r="M218" s="59">
        <f>C218+F220</f>
        <v>0</v>
      </c>
      <c r="N218" s="57"/>
      <c r="O218" s="57"/>
    </row>
    <row r="219" spans="1:15" s="61" customFormat="1" ht="12.75" hidden="1">
      <c r="A219" s="40" t="s">
        <v>157</v>
      </c>
      <c r="B219" s="64" t="s">
        <v>161</v>
      </c>
      <c r="C219" s="38"/>
      <c r="D219" s="38"/>
      <c r="E219" s="38"/>
      <c r="F219" s="38">
        <f t="shared" si="39"/>
        <v>0</v>
      </c>
      <c r="G219" s="38">
        <f>G220</f>
        <v>0</v>
      </c>
      <c r="H219" s="38"/>
      <c r="I219" s="38"/>
      <c r="J219" s="38"/>
      <c r="K219" s="38"/>
      <c r="L219" s="38"/>
      <c r="M219" s="59">
        <f>C219+F220</f>
        <v>0</v>
      </c>
      <c r="N219" s="57"/>
      <c r="O219" s="60"/>
    </row>
    <row r="220" spans="1:15" ht="25.5" hidden="1">
      <c r="A220" s="40" t="s">
        <v>59</v>
      </c>
      <c r="B220" s="64" t="s">
        <v>116</v>
      </c>
      <c r="C220" s="38"/>
      <c r="D220" s="38"/>
      <c r="E220" s="38"/>
      <c r="F220" s="38">
        <f t="shared" si="39"/>
        <v>0</v>
      </c>
      <c r="G220" s="38"/>
      <c r="H220" s="38"/>
      <c r="I220" s="38"/>
      <c r="J220" s="38"/>
      <c r="K220" s="38"/>
      <c r="L220" s="38"/>
      <c r="M220" s="59">
        <f aca="true" t="shared" si="41" ref="M220:M244">C220+F220</f>
        <v>0</v>
      </c>
      <c r="N220" s="57"/>
      <c r="O220" s="63"/>
    </row>
    <row r="221" spans="1:15" ht="25.5">
      <c r="A221" s="40" t="s">
        <v>159</v>
      </c>
      <c r="B221" s="64" t="s">
        <v>160</v>
      </c>
      <c r="C221" s="38">
        <f>C222</f>
        <v>229000</v>
      </c>
      <c r="D221" s="38"/>
      <c r="E221" s="38"/>
      <c r="F221" s="38"/>
      <c r="G221" s="38"/>
      <c r="H221" s="38"/>
      <c r="I221" s="38"/>
      <c r="J221" s="38"/>
      <c r="K221" s="38"/>
      <c r="L221" s="38"/>
      <c r="M221" s="59">
        <f t="shared" si="41"/>
        <v>229000</v>
      </c>
      <c r="N221" s="57"/>
      <c r="O221" s="63"/>
    </row>
    <row r="222" spans="1:15" ht="12.75">
      <c r="A222" s="40" t="s">
        <v>60</v>
      </c>
      <c r="B222" s="36" t="s">
        <v>98</v>
      </c>
      <c r="C222" s="38">
        <f>C223</f>
        <v>229000</v>
      </c>
      <c r="D222" s="38"/>
      <c r="E222" s="38"/>
      <c r="F222" s="38"/>
      <c r="G222" s="38"/>
      <c r="H222" s="38"/>
      <c r="I222" s="38"/>
      <c r="J222" s="38"/>
      <c r="K222" s="38"/>
      <c r="L222" s="38"/>
      <c r="M222" s="59">
        <f t="shared" si="41"/>
        <v>229000</v>
      </c>
      <c r="N222" s="57"/>
      <c r="O222" s="63"/>
    </row>
    <row r="223" spans="1:15" ht="25.5" hidden="1">
      <c r="A223" s="40"/>
      <c r="B223" s="36" t="s">
        <v>6</v>
      </c>
      <c r="C223" s="38">
        <f>156500+72500</f>
        <v>229000</v>
      </c>
      <c r="D223" s="38"/>
      <c r="E223" s="38"/>
      <c r="F223" s="38"/>
      <c r="G223" s="38"/>
      <c r="H223" s="38"/>
      <c r="I223" s="38"/>
      <c r="J223" s="38"/>
      <c r="K223" s="38"/>
      <c r="L223" s="38"/>
      <c r="M223" s="59">
        <f t="shared" si="41"/>
        <v>229000</v>
      </c>
      <c r="N223" s="57"/>
      <c r="O223" s="63"/>
    </row>
    <row r="224" spans="1:15" ht="25.5">
      <c r="A224" s="111" t="s">
        <v>337</v>
      </c>
      <c r="B224" s="126" t="s">
        <v>278</v>
      </c>
      <c r="C224" s="55">
        <f>C226</f>
        <v>1086869</v>
      </c>
      <c r="D224" s="55">
        <f aca="true" t="shared" si="42" ref="D224:L224">D226</f>
        <v>735994</v>
      </c>
      <c r="E224" s="55">
        <f t="shared" si="42"/>
        <v>0</v>
      </c>
      <c r="F224" s="55">
        <f t="shared" si="42"/>
        <v>168214</v>
      </c>
      <c r="G224" s="55">
        <f t="shared" si="42"/>
        <v>125164</v>
      </c>
      <c r="H224" s="55">
        <f t="shared" si="42"/>
        <v>0</v>
      </c>
      <c r="I224" s="55">
        <f t="shared" si="42"/>
        <v>0</v>
      </c>
      <c r="J224" s="55">
        <f t="shared" si="42"/>
        <v>43050</v>
      </c>
      <c r="K224" s="55">
        <f t="shared" si="42"/>
        <v>43050</v>
      </c>
      <c r="L224" s="55">
        <f t="shared" si="42"/>
        <v>0</v>
      </c>
      <c r="M224" s="56">
        <f t="shared" si="41"/>
        <v>1255083</v>
      </c>
      <c r="N224" s="57"/>
      <c r="O224" s="63"/>
    </row>
    <row r="225" spans="1:15" ht="12.75">
      <c r="A225" s="43" t="s">
        <v>150</v>
      </c>
      <c r="B225" s="44" t="s">
        <v>151</v>
      </c>
      <c r="C225" s="37">
        <f>C226</f>
        <v>1086869</v>
      </c>
      <c r="D225" s="37">
        <f>D226</f>
        <v>735994</v>
      </c>
      <c r="E225" s="37">
        <f>E226</f>
        <v>0</v>
      </c>
      <c r="F225" s="37">
        <f>F226</f>
        <v>168214</v>
      </c>
      <c r="G225" s="37">
        <f>G226</f>
        <v>125164</v>
      </c>
      <c r="H225" s="37"/>
      <c r="I225" s="37"/>
      <c r="J225" s="37">
        <f>J226</f>
        <v>43050</v>
      </c>
      <c r="K225" s="37">
        <f>K226</f>
        <v>43050</v>
      </c>
      <c r="L225" s="37">
        <f>L226</f>
        <v>0</v>
      </c>
      <c r="M225" s="59">
        <f t="shared" si="41"/>
        <v>1255083</v>
      </c>
      <c r="N225" s="57"/>
      <c r="O225" s="63"/>
    </row>
    <row r="226" spans="1:15" ht="12.75">
      <c r="A226" s="40" t="s">
        <v>21</v>
      </c>
      <c r="B226" s="62" t="s">
        <v>22</v>
      </c>
      <c r="C226" s="38">
        <f>973926+10610-10730+55439-14990-11020+64397+19237</f>
        <v>1086869</v>
      </c>
      <c r="D226" s="38">
        <f>675550-10730+40674-14990-11020+43203+13307</f>
        <v>735994</v>
      </c>
      <c r="E226" s="37"/>
      <c r="F226" s="38">
        <f>G226+J226</f>
        <v>168214</v>
      </c>
      <c r="G226" s="86">
        <v>125164</v>
      </c>
      <c r="H226" s="38"/>
      <c r="I226" s="38"/>
      <c r="J226" s="86">
        <v>43050</v>
      </c>
      <c r="K226" s="86">
        <f>J226</f>
        <v>43050</v>
      </c>
      <c r="L226" s="148"/>
      <c r="M226" s="59">
        <f t="shared" si="41"/>
        <v>1255083</v>
      </c>
      <c r="N226" s="57"/>
      <c r="O226" s="63"/>
    </row>
    <row r="227" spans="1:15" ht="38.25">
      <c r="A227" s="111" t="s">
        <v>325</v>
      </c>
      <c r="B227" s="110" t="s">
        <v>299</v>
      </c>
      <c r="C227" s="55">
        <f>C228+C230+C237+C241+C244+C247</f>
        <v>20455765</v>
      </c>
      <c r="D227" s="55">
        <f>D228+D230+D237+D241+D244+D247</f>
        <v>1249003</v>
      </c>
      <c r="E227" s="55">
        <f>E228+E230+E237+E241+E244+E247</f>
        <v>122060</v>
      </c>
      <c r="F227" s="55">
        <f>G227+J227</f>
        <v>55807227</v>
      </c>
      <c r="G227" s="55">
        <f>G228+G230+G237+G241+G244+G247</f>
        <v>0</v>
      </c>
      <c r="H227" s="55">
        <f>H228+H230+H237+H241+H244+H247</f>
        <v>0</v>
      </c>
      <c r="I227" s="55">
        <f>I228+I230+I237+I241+I244+I247</f>
        <v>0</v>
      </c>
      <c r="J227" s="55">
        <f>J228+J230+J237+J241+J247</f>
        <v>55807227</v>
      </c>
      <c r="K227" s="55">
        <f>K228+K230+K237+K241+K247</f>
        <v>55807227</v>
      </c>
      <c r="L227" s="55">
        <f>L228+L230+L237+L241+L247</f>
        <v>589000</v>
      </c>
      <c r="M227" s="56">
        <f t="shared" si="41"/>
        <v>76262992</v>
      </c>
      <c r="N227" s="57"/>
      <c r="O227" s="63"/>
    </row>
    <row r="228" spans="1:15" ht="12.75">
      <c r="A228" s="43" t="s">
        <v>150</v>
      </c>
      <c r="B228" s="44" t="s">
        <v>151</v>
      </c>
      <c r="C228" s="37">
        <f>C229</f>
        <v>1958451</v>
      </c>
      <c r="D228" s="37">
        <f>D229</f>
        <v>1249003</v>
      </c>
      <c r="E228" s="37">
        <f>E229</f>
        <v>122060</v>
      </c>
      <c r="F228" s="38">
        <f aca="true" t="shared" si="43" ref="F228:F261">G228+J228</f>
        <v>0</v>
      </c>
      <c r="G228" s="37"/>
      <c r="H228" s="37"/>
      <c r="I228" s="37"/>
      <c r="J228" s="37"/>
      <c r="K228" s="37"/>
      <c r="L228" s="37"/>
      <c r="M228" s="59">
        <f t="shared" si="41"/>
        <v>1958451</v>
      </c>
      <c r="N228" s="57"/>
      <c r="O228" s="63"/>
    </row>
    <row r="229" spans="1:15" ht="12.75">
      <c r="A229" s="40" t="s">
        <v>21</v>
      </c>
      <c r="B229" s="62" t="s">
        <v>22</v>
      </c>
      <c r="C229" s="38">
        <f>1836140+20554+56137+8550+4772-21575-2828+70888-14187</f>
        <v>1958451</v>
      </c>
      <c r="D229" s="38">
        <f>1192240+41186-15829-2075+34598+9470-10587</f>
        <v>1249003</v>
      </c>
      <c r="E229" s="38">
        <v>122060</v>
      </c>
      <c r="F229" s="38">
        <f t="shared" si="43"/>
        <v>0</v>
      </c>
      <c r="G229" s="38"/>
      <c r="H229" s="38"/>
      <c r="I229" s="38"/>
      <c r="J229" s="38"/>
      <c r="K229" s="38"/>
      <c r="L229" s="38"/>
      <c r="M229" s="59">
        <f t="shared" si="41"/>
        <v>1958451</v>
      </c>
      <c r="N229" s="57"/>
      <c r="O229" s="63"/>
    </row>
    <row r="230" spans="1:15" ht="13.5" customHeight="1">
      <c r="A230" s="40" t="s">
        <v>162</v>
      </c>
      <c r="B230" s="62" t="s">
        <v>163</v>
      </c>
      <c r="C230" s="38">
        <f>C231+C232+C233+C234</f>
        <v>0</v>
      </c>
      <c r="D230" s="38">
        <f>D231+D232+D233+D234</f>
        <v>0</v>
      </c>
      <c r="E230" s="38">
        <f>E231+E232+E233+E234</f>
        <v>0</v>
      </c>
      <c r="F230" s="38">
        <f t="shared" si="43"/>
        <v>35984090</v>
      </c>
      <c r="G230" s="38">
        <f aca="true" t="shared" si="44" ref="G230:L230">G231+G232+G233+G234+G236</f>
        <v>0</v>
      </c>
      <c r="H230" s="38">
        <f t="shared" si="44"/>
        <v>0</v>
      </c>
      <c r="I230" s="38">
        <f t="shared" si="44"/>
        <v>0</v>
      </c>
      <c r="J230" s="38">
        <f t="shared" si="44"/>
        <v>35984090</v>
      </c>
      <c r="K230" s="38">
        <f t="shared" si="44"/>
        <v>35984090</v>
      </c>
      <c r="L230" s="38">
        <f t="shared" si="44"/>
        <v>368000</v>
      </c>
      <c r="M230" s="59">
        <f t="shared" si="41"/>
        <v>35984090</v>
      </c>
      <c r="N230" s="57"/>
      <c r="O230" s="63"/>
    </row>
    <row r="231" spans="1:15" ht="28.5" customHeight="1">
      <c r="A231" s="40" t="s">
        <v>174</v>
      </c>
      <c r="B231" s="78" t="s">
        <v>246</v>
      </c>
      <c r="C231" s="38"/>
      <c r="D231" s="38"/>
      <c r="E231" s="38"/>
      <c r="F231" s="38">
        <f t="shared" si="43"/>
        <v>35984090</v>
      </c>
      <c r="G231" s="38"/>
      <c r="H231" s="38"/>
      <c r="I231" s="38"/>
      <c r="J231" s="38">
        <f>30000000+4524864+262100+(617000)+(140000)+(15000)-(204000)+(4000)+4602770-(130000)+245556+980700-(27000)-(10000)-1954900-2885000+(20000)-160000+(11000)-(30000)-(20000)-(18000)</f>
        <v>35984090</v>
      </c>
      <c r="K231" s="86">
        <f>30000000+4524864+262100+(617000)+(140000)+(15000)-(204000)+(4000)+4602770-(130000)+245556+980700-(27000)-(10000)-1954900-2885000+(20000)-160000+(11000)-(30000)-(20000)-(18000)</f>
        <v>35984090</v>
      </c>
      <c r="L231" s="86">
        <f>30000000+4524864+262100+(617000)+(140000)+(15000)-(204000)+(4000)-12000000-(130000)+245556-119200+980700-1535247-(27000)+809178-1146700-(10000)-298520-1954900-13295947+1178164-12860-372312+1750-1831350+7500-8+(20000)-160000+150000+(11000)-3743610+6-(30000)-1689164-(20000)-(18000)</f>
        <v>368000</v>
      </c>
      <c r="M231" s="59">
        <f t="shared" si="41"/>
        <v>35984090</v>
      </c>
      <c r="N231" s="57"/>
      <c r="O231" s="63"/>
    </row>
    <row r="232" spans="1:15" ht="20.25" customHeight="1" hidden="1">
      <c r="A232" s="40" t="s">
        <v>10</v>
      </c>
      <c r="B232" s="36" t="s">
        <v>11</v>
      </c>
      <c r="C232" s="38"/>
      <c r="D232" s="38"/>
      <c r="E232" s="38"/>
      <c r="F232" s="38">
        <f>G232+J232</f>
        <v>0</v>
      </c>
      <c r="G232" s="38"/>
      <c r="H232" s="38"/>
      <c r="I232" s="38"/>
      <c r="J232" s="38"/>
      <c r="K232" s="38"/>
      <c r="L232" s="38"/>
      <c r="M232" s="59">
        <f t="shared" si="41"/>
        <v>0</v>
      </c>
      <c r="N232" s="57"/>
      <c r="O232" s="63"/>
    </row>
    <row r="233" spans="1:15" ht="25.5" customHeight="1" hidden="1">
      <c r="A233" s="40" t="s">
        <v>206</v>
      </c>
      <c r="B233" s="36" t="s">
        <v>207</v>
      </c>
      <c r="C233" s="38"/>
      <c r="D233" s="38"/>
      <c r="E233" s="38"/>
      <c r="F233" s="38">
        <f>G233+J233</f>
        <v>0</v>
      </c>
      <c r="G233" s="38"/>
      <c r="H233" s="38"/>
      <c r="I233" s="38"/>
      <c r="J233" s="38"/>
      <c r="K233" s="38"/>
      <c r="L233" s="38"/>
      <c r="M233" s="59">
        <f t="shared" si="41"/>
        <v>0</v>
      </c>
      <c r="N233" s="57"/>
      <c r="O233" s="63"/>
    </row>
    <row r="234" spans="1:15" ht="165.75" hidden="1">
      <c r="A234" s="40" t="s">
        <v>178</v>
      </c>
      <c r="B234" s="36" t="s">
        <v>199</v>
      </c>
      <c r="C234" s="38"/>
      <c r="D234" s="38"/>
      <c r="E234" s="38"/>
      <c r="F234" s="38">
        <f t="shared" si="43"/>
        <v>0</v>
      </c>
      <c r="G234" s="38"/>
      <c r="H234" s="38"/>
      <c r="I234" s="38"/>
      <c r="J234" s="38"/>
      <c r="K234" s="38"/>
      <c r="L234" s="38"/>
      <c r="M234" s="59">
        <f t="shared" si="41"/>
        <v>0</v>
      </c>
      <c r="N234" s="57"/>
      <c r="O234" s="63"/>
    </row>
    <row r="235" spans="1:15" ht="25.5" hidden="1">
      <c r="A235" s="40"/>
      <c r="B235" s="36" t="s">
        <v>170</v>
      </c>
      <c r="C235" s="38"/>
      <c r="D235" s="38"/>
      <c r="E235" s="38"/>
      <c r="F235" s="38">
        <f t="shared" si="43"/>
        <v>0</v>
      </c>
      <c r="G235" s="38">
        <f>G234</f>
        <v>0</v>
      </c>
      <c r="H235" s="38">
        <f>H234</f>
        <v>0</v>
      </c>
      <c r="I235" s="38">
        <f>I234</f>
        <v>0</v>
      </c>
      <c r="J235" s="38"/>
      <c r="K235" s="38">
        <f>K234</f>
        <v>0</v>
      </c>
      <c r="L235" s="38"/>
      <c r="M235" s="59">
        <f t="shared" si="41"/>
        <v>0</v>
      </c>
      <c r="N235" s="57"/>
      <c r="O235" s="63"/>
    </row>
    <row r="236" spans="1:15" ht="27" customHeight="1" hidden="1">
      <c r="A236" s="84" t="s">
        <v>243</v>
      </c>
      <c r="B236" s="78" t="s">
        <v>244</v>
      </c>
      <c r="C236" s="38"/>
      <c r="D236" s="38"/>
      <c r="E236" s="38"/>
      <c r="F236" s="38">
        <f t="shared" si="43"/>
        <v>0</v>
      </c>
      <c r="G236" s="38"/>
      <c r="H236" s="38"/>
      <c r="I236" s="38"/>
      <c r="J236" s="38"/>
      <c r="K236" s="38">
        <f>J236</f>
        <v>0</v>
      </c>
      <c r="L236" s="38">
        <f>K236</f>
        <v>0</v>
      </c>
      <c r="M236" s="59">
        <f t="shared" si="41"/>
        <v>0</v>
      </c>
      <c r="N236" s="57"/>
      <c r="O236" s="63"/>
    </row>
    <row r="237" spans="1:15" ht="13.5" customHeight="1">
      <c r="A237" s="40" t="s">
        <v>154</v>
      </c>
      <c r="B237" s="36" t="s">
        <v>55</v>
      </c>
      <c r="C237" s="38"/>
      <c r="D237" s="38"/>
      <c r="E237" s="38"/>
      <c r="F237" s="38">
        <f>G237+J237</f>
        <v>14470494</v>
      </c>
      <c r="G237" s="38">
        <f>G240+G238</f>
        <v>0</v>
      </c>
      <c r="H237" s="38">
        <f>H240+H238</f>
        <v>0</v>
      </c>
      <c r="I237" s="38">
        <f>I240+I238</f>
        <v>0</v>
      </c>
      <c r="J237" s="38">
        <f>J240+J238+J239</f>
        <v>14470494</v>
      </c>
      <c r="K237" s="38">
        <f>K240+K238+K239</f>
        <v>14470494</v>
      </c>
      <c r="L237" s="38">
        <f>L238</f>
        <v>0</v>
      </c>
      <c r="M237" s="59">
        <f t="shared" si="41"/>
        <v>14470494</v>
      </c>
      <c r="N237" s="57"/>
      <c r="O237" s="63"/>
    </row>
    <row r="238" spans="1:15" ht="15" customHeight="1">
      <c r="A238" s="40" t="s">
        <v>121</v>
      </c>
      <c r="B238" s="36" t="s">
        <v>122</v>
      </c>
      <c r="C238" s="38"/>
      <c r="D238" s="38"/>
      <c r="E238" s="38"/>
      <c r="F238" s="38">
        <f t="shared" si="43"/>
        <v>11567999</v>
      </c>
      <c r="G238" s="38"/>
      <c r="H238" s="38"/>
      <c r="I238" s="38"/>
      <c r="J238" s="38">
        <f>K238</f>
        <v>11567999</v>
      </c>
      <c r="K238" s="86">
        <f>18272047-290000+412555+98000-998000-1757056+809178-1146700-298520-582758-3270739+320000-8</f>
        <v>11567999</v>
      </c>
      <c r="L238" s="38">
        <f>412555+98000-98000-183165-229390</f>
        <v>0</v>
      </c>
      <c r="M238" s="59">
        <f t="shared" si="41"/>
        <v>11567999</v>
      </c>
      <c r="N238" s="57"/>
      <c r="O238" s="63"/>
    </row>
    <row r="239" spans="1:15" ht="26.25" customHeight="1">
      <c r="A239" s="84" t="s">
        <v>263</v>
      </c>
      <c r="B239" s="36" t="s">
        <v>264</v>
      </c>
      <c r="C239" s="38"/>
      <c r="D239" s="38"/>
      <c r="E239" s="38"/>
      <c r="F239" s="38">
        <f t="shared" si="43"/>
        <v>2902495</v>
      </c>
      <c r="G239" s="38"/>
      <c r="H239" s="38"/>
      <c r="I239" s="38"/>
      <c r="J239" s="38">
        <f>K239</f>
        <v>2902495</v>
      </c>
      <c r="K239" s="86">
        <f>2774495+128000</f>
        <v>2902495</v>
      </c>
      <c r="L239" s="38"/>
      <c r="M239" s="59">
        <f t="shared" si="41"/>
        <v>2902495</v>
      </c>
      <c r="N239" s="57"/>
      <c r="O239" s="63"/>
    </row>
    <row r="240" spans="1:15" ht="20.25" customHeight="1" hidden="1">
      <c r="A240" s="40" t="s">
        <v>142</v>
      </c>
      <c r="B240" s="62" t="s">
        <v>143</v>
      </c>
      <c r="C240" s="38"/>
      <c r="D240" s="38"/>
      <c r="E240" s="38"/>
      <c r="F240" s="38">
        <f t="shared" si="43"/>
        <v>0</v>
      </c>
      <c r="G240" s="38"/>
      <c r="H240" s="38"/>
      <c r="I240" s="38"/>
      <c r="J240" s="38"/>
      <c r="K240" s="38"/>
      <c r="L240" s="38"/>
      <c r="M240" s="59">
        <f t="shared" si="41"/>
        <v>0</v>
      </c>
      <c r="N240" s="57"/>
      <c r="O240" s="63"/>
    </row>
    <row r="241" spans="1:15" ht="25.5" customHeight="1">
      <c r="A241" s="40" t="s">
        <v>165</v>
      </c>
      <c r="B241" s="62" t="s">
        <v>166</v>
      </c>
      <c r="C241" s="38">
        <f>C242+C244</f>
        <v>0</v>
      </c>
      <c r="D241" s="38">
        <f>D242</f>
        <v>0</v>
      </c>
      <c r="E241" s="38">
        <f>E242</f>
        <v>0</v>
      </c>
      <c r="F241" s="38">
        <f>G241+J241</f>
        <v>3248800</v>
      </c>
      <c r="G241" s="38">
        <f aca="true" t="shared" si="45" ref="G241:L241">G242+G244</f>
        <v>0</v>
      </c>
      <c r="H241" s="38">
        <f t="shared" si="45"/>
        <v>0</v>
      </c>
      <c r="I241" s="38">
        <f t="shared" si="45"/>
        <v>0</v>
      </c>
      <c r="J241" s="38">
        <f t="shared" si="45"/>
        <v>3248800</v>
      </c>
      <c r="K241" s="38">
        <f>K242+K244</f>
        <v>3248800</v>
      </c>
      <c r="L241" s="38">
        <f t="shared" si="45"/>
        <v>0</v>
      </c>
      <c r="M241" s="59">
        <f>C241+F241</f>
        <v>3248800</v>
      </c>
      <c r="N241" s="57"/>
      <c r="O241" s="63"/>
    </row>
    <row r="242" spans="1:15" ht="25.5" hidden="1">
      <c r="A242" s="40" t="s">
        <v>8</v>
      </c>
      <c r="B242" s="78" t="s">
        <v>9</v>
      </c>
      <c r="C242" s="38"/>
      <c r="D242" s="38"/>
      <c r="E242" s="38"/>
      <c r="F242" s="38">
        <f>G242+J242</f>
        <v>0</v>
      </c>
      <c r="G242" s="38"/>
      <c r="H242" s="38"/>
      <c r="I242" s="38"/>
      <c r="J242" s="38">
        <f>K242</f>
        <v>0</v>
      </c>
      <c r="K242" s="38"/>
      <c r="L242" s="38"/>
      <c r="M242" s="59">
        <f t="shared" si="41"/>
        <v>0</v>
      </c>
      <c r="N242" s="57"/>
      <c r="O242" s="63"/>
    </row>
    <row r="243" spans="1:15" ht="25.5" hidden="1">
      <c r="A243" s="40"/>
      <c r="B243" s="64" t="s">
        <v>170</v>
      </c>
      <c r="C243" s="38"/>
      <c r="D243" s="38"/>
      <c r="E243" s="38"/>
      <c r="F243" s="38">
        <f>G243+J243</f>
        <v>0</v>
      </c>
      <c r="G243" s="38"/>
      <c r="H243" s="38"/>
      <c r="I243" s="38"/>
      <c r="J243" s="38">
        <f>J242</f>
        <v>0</v>
      </c>
      <c r="K243" s="38"/>
      <c r="L243" s="38"/>
      <c r="M243" s="59">
        <f t="shared" si="41"/>
        <v>0</v>
      </c>
      <c r="N243" s="57"/>
      <c r="O243" s="63"/>
    </row>
    <row r="244" spans="1:15" ht="66" customHeight="1">
      <c r="A244" s="84" t="s">
        <v>139</v>
      </c>
      <c r="B244" s="83" t="s">
        <v>252</v>
      </c>
      <c r="C244" s="38">
        <f aca="true" t="shared" si="46" ref="C244:I244">C245</f>
        <v>0</v>
      </c>
      <c r="D244" s="38">
        <f t="shared" si="46"/>
        <v>0</v>
      </c>
      <c r="E244" s="38">
        <f t="shared" si="46"/>
        <v>0</v>
      </c>
      <c r="F244" s="38">
        <f>G244+J244</f>
        <v>3248800</v>
      </c>
      <c r="G244" s="38">
        <f t="shared" si="46"/>
        <v>0</v>
      </c>
      <c r="H244" s="38">
        <f t="shared" si="46"/>
        <v>0</v>
      </c>
      <c r="I244" s="38">
        <f t="shared" si="46"/>
        <v>0</v>
      </c>
      <c r="J244" s="38">
        <f>K244</f>
        <v>3248800</v>
      </c>
      <c r="K244" s="38">
        <f>6299400-2730600-320000</f>
        <v>3248800</v>
      </c>
      <c r="L244" s="38">
        <f>L245</f>
        <v>0</v>
      </c>
      <c r="M244" s="59">
        <f t="shared" si="41"/>
        <v>3248800</v>
      </c>
      <c r="N244" s="57"/>
      <c r="O244" s="63"/>
    </row>
    <row r="245" spans="1:15" ht="36.75" customHeight="1" hidden="1">
      <c r="A245" s="84"/>
      <c r="B245" s="64"/>
      <c r="C245" s="38"/>
      <c r="D245" s="38"/>
      <c r="E245" s="38"/>
      <c r="F245" s="38">
        <f>G245+J245</f>
        <v>0</v>
      </c>
      <c r="G245" s="38"/>
      <c r="H245" s="38"/>
      <c r="I245" s="38"/>
      <c r="J245" s="38"/>
      <c r="K245" s="38"/>
      <c r="L245" s="38"/>
      <c r="M245" s="59">
        <f aca="true" t="shared" si="47" ref="M245:M261">C245+F245</f>
        <v>0</v>
      </c>
      <c r="N245" s="57"/>
      <c r="O245" s="63"/>
    </row>
    <row r="246" spans="1:15" ht="30.75" customHeight="1" hidden="1">
      <c r="A246" s="40" t="s">
        <v>59</v>
      </c>
      <c r="B246" s="64" t="s">
        <v>116</v>
      </c>
      <c r="C246" s="38"/>
      <c r="D246" s="38"/>
      <c r="E246" s="38"/>
      <c r="F246" s="38">
        <f t="shared" si="43"/>
        <v>0</v>
      </c>
      <c r="G246" s="38"/>
      <c r="H246" s="38"/>
      <c r="I246" s="38"/>
      <c r="J246" s="38"/>
      <c r="K246" s="38"/>
      <c r="L246" s="38"/>
      <c r="M246" s="59">
        <f t="shared" si="47"/>
        <v>0</v>
      </c>
      <c r="N246" s="57"/>
      <c r="O246" s="63"/>
    </row>
    <row r="247" spans="1:15" ht="26.25" customHeight="1">
      <c r="A247" s="40" t="s">
        <v>159</v>
      </c>
      <c r="B247" s="64" t="s">
        <v>160</v>
      </c>
      <c r="C247" s="38">
        <f aca="true" t="shared" si="48" ref="C247:L247">C248</f>
        <v>18497314</v>
      </c>
      <c r="D247" s="38">
        <f t="shared" si="48"/>
        <v>0</v>
      </c>
      <c r="E247" s="38">
        <f t="shared" si="48"/>
        <v>0</v>
      </c>
      <c r="F247" s="38">
        <f t="shared" si="48"/>
        <v>2103843</v>
      </c>
      <c r="G247" s="38">
        <f t="shared" si="48"/>
        <v>0</v>
      </c>
      <c r="H247" s="38">
        <f t="shared" si="48"/>
        <v>0</v>
      </c>
      <c r="I247" s="38">
        <f t="shared" si="48"/>
        <v>0</v>
      </c>
      <c r="J247" s="38">
        <f t="shared" si="48"/>
        <v>2103843</v>
      </c>
      <c r="K247" s="38">
        <f t="shared" si="48"/>
        <v>2103843</v>
      </c>
      <c r="L247" s="38">
        <f t="shared" si="48"/>
        <v>221000</v>
      </c>
      <c r="M247" s="59">
        <f t="shared" si="47"/>
        <v>20601157</v>
      </c>
      <c r="N247" s="57"/>
      <c r="O247" s="63"/>
    </row>
    <row r="248" spans="1:15" ht="15.75" customHeight="1">
      <c r="A248" s="40" t="s">
        <v>60</v>
      </c>
      <c r="B248" s="36" t="s">
        <v>98</v>
      </c>
      <c r="C248" s="86">
        <f>SUM(C249:C261)</f>
        <v>18497314</v>
      </c>
      <c r="D248" s="38">
        <f aca="true" t="shared" si="49" ref="D248:K248">SUM(D249:D261)</f>
        <v>0</v>
      </c>
      <c r="E248" s="38">
        <f t="shared" si="49"/>
        <v>0</v>
      </c>
      <c r="F248" s="38">
        <f t="shared" si="49"/>
        <v>2103843</v>
      </c>
      <c r="G248" s="38">
        <f t="shared" si="49"/>
        <v>0</v>
      </c>
      <c r="H248" s="38">
        <f t="shared" si="49"/>
        <v>0</v>
      </c>
      <c r="I248" s="38">
        <f t="shared" si="49"/>
        <v>0</v>
      </c>
      <c r="J248" s="38">
        <f t="shared" si="49"/>
        <v>2103843</v>
      </c>
      <c r="K248" s="38">
        <f t="shared" si="49"/>
        <v>2103843</v>
      </c>
      <c r="L248" s="38">
        <f>SUM(L249:L261)</f>
        <v>221000</v>
      </c>
      <c r="M248" s="59">
        <f t="shared" si="47"/>
        <v>20601157</v>
      </c>
      <c r="N248" s="57"/>
      <c r="O248" s="63"/>
    </row>
    <row r="249" spans="1:15" s="58" customFormat="1" ht="54" customHeight="1" hidden="1">
      <c r="A249" s="40"/>
      <c r="B249" s="78" t="s">
        <v>346</v>
      </c>
      <c r="C249" s="86">
        <f>150000</f>
        <v>150000</v>
      </c>
      <c r="D249" s="38"/>
      <c r="E249" s="38"/>
      <c r="F249" s="38">
        <f t="shared" si="43"/>
        <v>0</v>
      </c>
      <c r="G249" s="38"/>
      <c r="H249" s="38"/>
      <c r="I249" s="38"/>
      <c r="J249" s="38"/>
      <c r="K249" s="38"/>
      <c r="L249" s="38"/>
      <c r="M249" s="59">
        <f t="shared" si="47"/>
        <v>150000</v>
      </c>
      <c r="N249" s="57"/>
      <c r="O249" s="57"/>
    </row>
    <row r="250" spans="1:15" s="61" customFormat="1" ht="89.25" hidden="1">
      <c r="A250" s="40"/>
      <c r="B250" s="78" t="s">
        <v>361</v>
      </c>
      <c r="C250" s="148">
        <f>2792900-2792900</f>
        <v>0</v>
      </c>
      <c r="D250" s="38"/>
      <c r="E250" s="38"/>
      <c r="F250" s="38">
        <f t="shared" si="43"/>
        <v>0</v>
      </c>
      <c r="G250" s="38"/>
      <c r="H250" s="38"/>
      <c r="I250" s="38"/>
      <c r="J250" s="38"/>
      <c r="K250" s="38">
        <f>J250</f>
        <v>0</v>
      </c>
      <c r="L250" s="38">
        <f>K250</f>
        <v>0</v>
      </c>
      <c r="M250" s="59">
        <f t="shared" si="47"/>
        <v>0</v>
      </c>
      <c r="N250" s="57"/>
      <c r="O250" s="60"/>
    </row>
    <row r="251" spans="1:15" ht="76.5" hidden="1">
      <c r="A251" s="40"/>
      <c r="B251" s="78" t="s">
        <v>343</v>
      </c>
      <c r="C251" s="86">
        <v>92400</v>
      </c>
      <c r="D251" s="38"/>
      <c r="E251" s="38"/>
      <c r="F251" s="38">
        <f t="shared" si="43"/>
        <v>0</v>
      </c>
      <c r="G251" s="38"/>
      <c r="H251" s="38"/>
      <c r="I251" s="38"/>
      <c r="J251" s="38"/>
      <c r="K251" s="38"/>
      <c r="L251" s="38"/>
      <c r="M251" s="59">
        <f t="shared" si="47"/>
        <v>92400</v>
      </c>
      <c r="N251" s="57"/>
      <c r="O251" s="63"/>
    </row>
    <row r="252" spans="1:15" ht="63.75" hidden="1">
      <c r="A252" s="40"/>
      <c r="B252" s="78" t="s">
        <v>308</v>
      </c>
      <c r="C252" s="86">
        <f>325100+36954</f>
        <v>362054</v>
      </c>
      <c r="D252" s="38"/>
      <c r="E252" s="38"/>
      <c r="F252" s="38">
        <f t="shared" si="43"/>
        <v>0</v>
      </c>
      <c r="G252" s="38"/>
      <c r="H252" s="38"/>
      <c r="I252" s="38"/>
      <c r="J252" s="38"/>
      <c r="K252" s="38"/>
      <c r="L252" s="38"/>
      <c r="M252" s="59">
        <f t="shared" si="47"/>
        <v>362054</v>
      </c>
      <c r="N252" s="57"/>
      <c r="O252" s="63"/>
    </row>
    <row r="253" spans="1:15" ht="51" hidden="1">
      <c r="A253" s="40"/>
      <c r="B253" s="142" t="s">
        <v>360</v>
      </c>
      <c r="C253" s="86">
        <f>385279+87500+(1148003)+(175000)-(43000)-(16000)+(747600)-(3000)+(9600)+(135000)+10514+(50000)+(18000)+(52500)+(4000)+200000+(6000)+(179800)+(15000)-(2500)+59000+(19300)-(39000)-(20000)-(34500)+(18500)-(49000)-(205900)-(24000)</f>
        <v>2883696</v>
      </c>
      <c r="D253" s="38"/>
      <c r="E253" s="38"/>
      <c r="F253" s="38">
        <f t="shared" si="43"/>
        <v>0</v>
      </c>
      <c r="G253" s="38"/>
      <c r="H253" s="38"/>
      <c r="I253" s="38"/>
      <c r="J253" s="38"/>
      <c r="K253" s="38"/>
      <c r="L253" s="38"/>
      <c r="M253" s="59">
        <f t="shared" si="47"/>
        <v>2883696</v>
      </c>
      <c r="N253" s="57"/>
      <c r="O253" s="63"/>
    </row>
    <row r="254" spans="1:15" ht="51" hidden="1">
      <c r="A254" s="40"/>
      <c r="B254" s="78" t="s">
        <v>295</v>
      </c>
      <c r="C254" s="86">
        <f>35518+10320</f>
        <v>45838</v>
      </c>
      <c r="D254" s="38"/>
      <c r="E254" s="38"/>
      <c r="F254" s="38">
        <f t="shared" si="43"/>
        <v>0</v>
      </c>
      <c r="G254" s="38"/>
      <c r="H254" s="38"/>
      <c r="I254" s="38"/>
      <c r="J254" s="38"/>
      <c r="K254" s="38"/>
      <c r="L254" s="38"/>
      <c r="M254" s="59">
        <f t="shared" si="47"/>
        <v>45838</v>
      </c>
      <c r="N254" s="57"/>
      <c r="O254" s="63"/>
    </row>
    <row r="255" spans="1:15" ht="51" hidden="1">
      <c r="A255" s="40"/>
      <c r="B255" s="142" t="s">
        <v>344</v>
      </c>
      <c r="C255" s="86">
        <f>975200</f>
        <v>975200</v>
      </c>
      <c r="D255" s="38"/>
      <c r="E255" s="38"/>
      <c r="F255" s="38"/>
      <c r="G255" s="38"/>
      <c r="H255" s="38"/>
      <c r="I255" s="38"/>
      <c r="J255" s="38"/>
      <c r="K255" s="38"/>
      <c r="L255" s="38"/>
      <c r="M255" s="59">
        <f t="shared" si="47"/>
        <v>975200</v>
      </c>
      <c r="N255" s="57"/>
      <c r="O255" s="63"/>
    </row>
    <row r="256" spans="1:15" ht="38.25" hidden="1">
      <c r="A256" s="40"/>
      <c r="B256" s="142" t="s">
        <v>354</v>
      </c>
      <c r="C256" s="148"/>
      <c r="D256" s="38"/>
      <c r="E256" s="38"/>
      <c r="F256" s="38">
        <f t="shared" si="43"/>
        <v>2103843</v>
      </c>
      <c r="G256" s="38"/>
      <c r="H256" s="38"/>
      <c r="I256" s="38"/>
      <c r="J256" s="38">
        <f>221000+299843+998000+585000</f>
        <v>2103843</v>
      </c>
      <c r="K256" s="38">
        <f>J256</f>
        <v>2103843</v>
      </c>
      <c r="L256" s="107">
        <f>K256-998000-299843-585000</f>
        <v>221000</v>
      </c>
      <c r="M256" s="59">
        <f t="shared" si="47"/>
        <v>2103843</v>
      </c>
      <c r="N256" s="57"/>
      <c r="O256" s="63"/>
    </row>
    <row r="257" spans="1:15" ht="51" hidden="1">
      <c r="A257" s="40"/>
      <c r="B257" s="78" t="s">
        <v>359</v>
      </c>
      <c r="C257" s="86">
        <f>1400600-10320+1362000+2792900+1000000+139700+3000000+10946-317653+8000-34640</f>
        <v>9351533</v>
      </c>
      <c r="D257" s="38"/>
      <c r="E257" s="38"/>
      <c r="F257" s="38">
        <f t="shared" si="43"/>
        <v>0</v>
      </c>
      <c r="G257" s="38"/>
      <c r="H257" s="38"/>
      <c r="I257" s="38"/>
      <c r="J257" s="38"/>
      <c r="K257" s="38"/>
      <c r="L257" s="38"/>
      <c r="M257" s="59">
        <f t="shared" si="47"/>
        <v>9351533</v>
      </c>
      <c r="N257" s="57"/>
      <c r="O257" s="63"/>
    </row>
    <row r="258" spans="1:15" ht="38.25" hidden="1">
      <c r="A258" s="40"/>
      <c r="B258" s="78" t="s">
        <v>366</v>
      </c>
      <c r="C258" s="86">
        <f>48200+6874+1379</f>
        <v>56453</v>
      </c>
      <c r="D258" s="38"/>
      <c r="E258" s="38"/>
      <c r="F258" s="38"/>
      <c r="G258" s="38"/>
      <c r="H258" s="38"/>
      <c r="I258" s="38"/>
      <c r="J258" s="38"/>
      <c r="K258" s="38"/>
      <c r="L258" s="38"/>
      <c r="M258" s="59">
        <f t="shared" si="47"/>
        <v>56453</v>
      </c>
      <c r="N258" s="57"/>
      <c r="O258" s="63"/>
    </row>
    <row r="259" spans="1:15" ht="38.25" hidden="1">
      <c r="A259" s="40"/>
      <c r="B259" s="78" t="s">
        <v>367</v>
      </c>
      <c r="C259" s="86">
        <f>2250</f>
        <v>2250</v>
      </c>
      <c r="D259" s="38"/>
      <c r="E259" s="38"/>
      <c r="F259" s="38"/>
      <c r="G259" s="38"/>
      <c r="H259" s="38"/>
      <c r="I259" s="38"/>
      <c r="J259" s="38"/>
      <c r="K259" s="38"/>
      <c r="L259" s="38"/>
      <c r="M259" s="59">
        <f t="shared" si="47"/>
        <v>2250</v>
      </c>
      <c r="N259" s="57"/>
      <c r="O259" s="63"/>
    </row>
    <row r="260" spans="1:15" ht="12.75" hidden="1">
      <c r="A260" s="40"/>
      <c r="B260" s="149"/>
      <c r="C260" s="148"/>
      <c r="D260" s="38"/>
      <c r="E260" s="38"/>
      <c r="F260" s="38"/>
      <c r="G260" s="38"/>
      <c r="H260" s="38"/>
      <c r="I260" s="38"/>
      <c r="J260" s="38"/>
      <c r="K260" s="38"/>
      <c r="L260" s="38"/>
      <c r="M260" s="59"/>
      <c r="N260" s="57"/>
      <c r="O260" s="63"/>
    </row>
    <row r="261" spans="1:15" ht="51" hidden="1">
      <c r="A261" s="40"/>
      <c r="B261" s="78" t="s">
        <v>345</v>
      </c>
      <c r="C261" s="86">
        <f>77890+5000000-500000</f>
        <v>4577890</v>
      </c>
      <c r="D261" s="38"/>
      <c r="E261" s="38"/>
      <c r="F261" s="38">
        <f t="shared" si="43"/>
        <v>0</v>
      </c>
      <c r="G261" s="38"/>
      <c r="H261" s="38"/>
      <c r="I261" s="38"/>
      <c r="J261" s="38"/>
      <c r="K261" s="38"/>
      <c r="L261" s="38"/>
      <c r="M261" s="59">
        <f t="shared" si="47"/>
        <v>4577890</v>
      </c>
      <c r="N261" s="57"/>
      <c r="O261" s="63"/>
    </row>
    <row r="262" spans="1:15" ht="38.25">
      <c r="A262" s="111" t="s">
        <v>327</v>
      </c>
      <c r="B262" s="112" t="s">
        <v>271</v>
      </c>
      <c r="C262" s="55">
        <f>C263+C265+C268+C271+C275+C278+C280+C283</f>
        <v>83313287</v>
      </c>
      <c r="D262" s="55">
        <f>D263+D265+D268+D271+D275+D278+D280+D283</f>
        <v>861065</v>
      </c>
      <c r="E262" s="55">
        <f>E263+E265+E268+E271+E275+E278+E280+E283</f>
        <v>42310647</v>
      </c>
      <c r="F262" s="55">
        <f>G262+J262</f>
        <v>76719595</v>
      </c>
      <c r="G262" s="55">
        <f aca="true" t="shared" si="50" ref="G262:L262">G263+G265+G268+G271+G275+G278+G280+G283</f>
        <v>12696925</v>
      </c>
      <c r="H262" s="55">
        <f t="shared" si="50"/>
        <v>0</v>
      </c>
      <c r="I262" s="55">
        <f t="shared" si="50"/>
        <v>2700000</v>
      </c>
      <c r="J262" s="55">
        <f>J263+J265+J268+J271+J275+J278+J280+J283</f>
        <v>64022670</v>
      </c>
      <c r="K262" s="55">
        <f t="shared" si="50"/>
        <v>39149871</v>
      </c>
      <c r="L262" s="55">
        <f t="shared" si="50"/>
        <v>605523</v>
      </c>
      <c r="M262" s="56">
        <f aca="true" t="shared" si="51" ref="M262:M275">C262+F262</f>
        <v>160032882</v>
      </c>
      <c r="N262" s="57"/>
      <c r="O262" s="63"/>
    </row>
    <row r="263" spans="1:15" ht="12.75">
      <c r="A263" s="66" t="s">
        <v>150</v>
      </c>
      <c r="B263" s="67" t="s">
        <v>151</v>
      </c>
      <c r="C263" s="59">
        <f>C264</f>
        <v>1439858</v>
      </c>
      <c r="D263" s="59">
        <f>D264</f>
        <v>861065</v>
      </c>
      <c r="E263" s="59">
        <f>E264</f>
        <v>110790</v>
      </c>
      <c r="F263" s="38">
        <f>G263+J263</f>
        <v>0</v>
      </c>
      <c r="G263" s="59">
        <f aca="true" t="shared" si="52" ref="G263:L263">G264</f>
        <v>0</v>
      </c>
      <c r="H263" s="59">
        <f t="shared" si="52"/>
        <v>0</v>
      </c>
      <c r="I263" s="59">
        <f t="shared" si="52"/>
        <v>0</v>
      </c>
      <c r="J263" s="59">
        <f t="shared" si="52"/>
        <v>0</v>
      </c>
      <c r="K263" s="59">
        <f t="shared" si="52"/>
        <v>0</v>
      </c>
      <c r="L263" s="59">
        <f t="shared" si="52"/>
        <v>0</v>
      </c>
      <c r="M263" s="59">
        <f t="shared" si="51"/>
        <v>1439858</v>
      </c>
      <c r="N263" s="57"/>
      <c r="O263" s="63"/>
    </row>
    <row r="264" spans="1:15" ht="12.75">
      <c r="A264" s="40" t="s">
        <v>21</v>
      </c>
      <c r="B264" s="62" t="s">
        <v>22</v>
      </c>
      <c r="C264" s="59">
        <f>1330555+15278+26134+28200+39691</f>
        <v>1439858</v>
      </c>
      <c r="D264" s="59">
        <f>814450+19174+17961+9480</f>
        <v>861065</v>
      </c>
      <c r="E264" s="59">
        <f>83690+27100</f>
        <v>110790</v>
      </c>
      <c r="F264" s="38">
        <f>G264+J264</f>
        <v>0</v>
      </c>
      <c r="G264" s="38"/>
      <c r="H264" s="38"/>
      <c r="I264" s="38"/>
      <c r="J264" s="38"/>
      <c r="K264" s="38"/>
      <c r="L264" s="38"/>
      <c r="M264" s="59">
        <f t="shared" si="51"/>
        <v>1439858</v>
      </c>
      <c r="N264" s="57"/>
      <c r="O264" s="63"/>
    </row>
    <row r="265" spans="1:15" ht="25.5">
      <c r="A265" s="40" t="s">
        <v>43</v>
      </c>
      <c r="B265" s="62" t="s">
        <v>99</v>
      </c>
      <c r="C265" s="38">
        <f>C266+C267</f>
        <v>161754</v>
      </c>
      <c r="D265" s="38">
        <f>D266+D267</f>
        <v>0</v>
      </c>
      <c r="E265" s="38">
        <f>E266+E267</f>
        <v>0</v>
      </c>
      <c r="F265" s="38">
        <f aca="true" t="shared" si="53" ref="F265:F279">G265+J265</f>
        <v>0</v>
      </c>
      <c r="G265" s="38">
        <f>G266+G267</f>
        <v>0</v>
      </c>
      <c r="H265" s="38">
        <f>H266+H267</f>
        <v>0</v>
      </c>
      <c r="I265" s="38">
        <f>I266+I267</f>
        <v>0</v>
      </c>
      <c r="J265" s="38">
        <f>J266+J267</f>
        <v>0</v>
      </c>
      <c r="K265" s="38">
        <f>K266+K267</f>
        <v>0</v>
      </c>
      <c r="L265" s="38"/>
      <c r="M265" s="59">
        <f t="shared" si="51"/>
        <v>161754</v>
      </c>
      <c r="N265" s="57"/>
      <c r="O265" s="63"/>
    </row>
    <row r="266" spans="1:15" ht="25.5">
      <c r="A266" s="40" t="s">
        <v>44</v>
      </c>
      <c r="B266" s="36" t="s">
        <v>113</v>
      </c>
      <c r="C266" s="38">
        <f>141500+60254-40000</f>
        <v>161754</v>
      </c>
      <c r="D266" s="38"/>
      <c r="E266" s="38"/>
      <c r="F266" s="38">
        <f t="shared" si="53"/>
        <v>0</v>
      </c>
      <c r="G266" s="38"/>
      <c r="H266" s="38"/>
      <c r="I266" s="38"/>
      <c r="J266" s="38"/>
      <c r="K266" s="38"/>
      <c r="L266" s="38"/>
      <c r="M266" s="59">
        <f t="shared" si="51"/>
        <v>161754</v>
      </c>
      <c r="N266" s="57"/>
      <c r="O266" s="63"/>
    </row>
    <row r="267" spans="1:15" ht="25.5" hidden="1">
      <c r="A267" s="40" t="s">
        <v>201</v>
      </c>
      <c r="B267" s="36" t="s">
        <v>202</v>
      </c>
      <c r="C267" s="38"/>
      <c r="D267" s="38"/>
      <c r="E267" s="38"/>
      <c r="F267" s="38">
        <f t="shared" si="53"/>
        <v>0</v>
      </c>
      <c r="G267" s="38"/>
      <c r="H267" s="38"/>
      <c r="I267" s="38"/>
      <c r="J267" s="38"/>
      <c r="K267" s="38"/>
      <c r="L267" s="38"/>
      <c r="M267" s="59">
        <f t="shared" si="51"/>
        <v>0</v>
      </c>
      <c r="N267" s="57"/>
      <c r="O267" s="63"/>
    </row>
    <row r="268" spans="1:15" ht="12.75">
      <c r="A268" s="40" t="s">
        <v>162</v>
      </c>
      <c r="B268" s="36" t="s">
        <v>164</v>
      </c>
      <c r="C268" s="38">
        <f>C269+C270</f>
        <v>73353791</v>
      </c>
      <c r="D268" s="38">
        <f aca="true" t="shared" si="54" ref="D268:L268">D269+D270</f>
        <v>0</v>
      </c>
      <c r="E268" s="37">
        <f t="shared" si="54"/>
        <v>42199857</v>
      </c>
      <c r="F268" s="38">
        <f t="shared" si="54"/>
        <v>4392072</v>
      </c>
      <c r="G268" s="38">
        <f t="shared" si="54"/>
        <v>0</v>
      </c>
      <c r="H268" s="38">
        <f t="shared" si="54"/>
        <v>0</v>
      </c>
      <c r="I268" s="38">
        <f t="shared" si="54"/>
        <v>0</v>
      </c>
      <c r="J268" s="38">
        <f t="shared" si="54"/>
        <v>4392072</v>
      </c>
      <c r="K268" s="38">
        <f t="shared" si="54"/>
        <v>4392072</v>
      </c>
      <c r="L268" s="38">
        <f t="shared" si="54"/>
        <v>372023</v>
      </c>
      <c r="M268" s="59">
        <f t="shared" si="51"/>
        <v>77745863</v>
      </c>
      <c r="N268" s="57"/>
      <c r="O268" s="63"/>
    </row>
    <row r="269" spans="1:15" ht="12.75">
      <c r="A269" s="40">
        <v>100203</v>
      </c>
      <c r="B269" s="78" t="s">
        <v>245</v>
      </c>
      <c r="C269" s="86">
        <f>17134055+32059497+7323250+2025712+223486-223486+(47600)+(38800)+(8000)+(35000)+(2360)+(1200)+(5000)+34759+2490203-40800-136105-809178+(3000)+(24000)+700000+9300000+2500000+29105-148600-(5000)+278300+27200+(5000)+884658+525139+40000-(13728)+119540-872085+(5000)+199793+(30000)+3392-500276</f>
        <v>73353791</v>
      </c>
      <c r="D269" s="38"/>
      <c r="E269" s="37">
        <f>32059497+2015435-809178+9300000+2500000-3000000-148600+27200+525139+230640-500276</f>
        <v>42199857</v>
      </c>
      <c r="F269" s="38">
        <f t="shared" si="53"/>
        <v>4392072</v>
      </c>
      <c r="G269" s="38"/>
      <c r="H269" s="38"/>
      <c r="I269" s="38"/>
      <c r="J269" s="38">
        <f>1583700+352916+600000+196728-700000+995000+(13728)+950000+400000</f>
        <v>4392072</v>
      </c>
      <c r="K269" s="38">
        <f>J269</f>
        <v>4392072</v>
      </c>
      <c r="L269" s="38">
        <f>K269-600000-196728-878321-995000-1350000</f>
        <v>372023</v>
      </c>
      <c r="M269" s="59">
        <f t="shared" si="51"/>
        <v>77745863</v>
      </c>
      <c r="N269" s="57"/>
      <c r="O269" s="63"/>
    </row>
    <row r="270" spans="1:15" ht="51" hidden="1">
      <c r="A270" s="40" t="s">
        <v>222</v>
      </c>
      <c r="B270" s="36" t="s">
        <v>223</v>
      </c>
      <c r="C270" s="38"/>
      <c r="D270" s="38"/>
      <c r="E270" s="38"/>
      <c r="F270" s="38">
        <f t="shared" si="53"/>
        <v>0</v>
      </c>
      <c r="G270" s="38"/>
      <c r="H270" s="38"/>
      <c r="I270" s="38"/>
      <c r="J270" s="38"/>
      <c r="K270" s="38"/>
      <c r="L270" s="38"/>
      <c r="M270" s="59">
        <f t="shared" si="51"/>
        <v>0</v>
      </c>
      <c r="N270" s="57"/>
      <c r="O270" s="63"/>
    </row>
    <row r="271" spans="1:15" ht="12.75">
      <c r="A271" s="40" t="s">
        <v>154</v>
      </c>
      <c r="B271" s="36" t="s">
        <v>55</v>
      </c>
      <c r="C271" s="38"/>
      <c r="D271" s="38"/>
      <c r="E271" s="38"/>
      <c r="F271" s="38">
        <f t="shared" si="53"/>
        <v>23004577</v>
      </c>
      <c r="G271" s="38"/>
      <c r="H271" s="38"/>
      <c r="I271" s="38"/>
      <c r="J271" s="38">
        <f>J272</f>
        <v>23004577</v>
      </c>
      <c r="K271" s="38">
        <f>K272</f>
        <v>23004577</v>
      </c>
      <c r="L271" s="38">
        <f>L272</f>
        <v>233500</v>
      </c>
      <c r="M271" s="59">
        <f t="shared" si="51"/>
        <v>23004577</v>
      </c>
      <c r="N271" s="57"/>
      <c r="O271" s="63"/>
    </row>
    <row r="272" spans="1:15" ht="15.75" customHeight="1">
      <c r="A272" s="40" t="s">
        <v>121</v>
      </c>
      <c r="B272" s="36" t="s">
        <v>122</v>
      </c>
      <c r="C272" s="38"/>
      <c r="D272" s="38"/>
      <c r="E272" s="38"/>
      <c r="F272" s="38">
        <f t="shared" si="53"/>
        <v>23004577</v>
      </c>
      <c r="G272" s="38"/>
      <c r="H272" s="38"/>
      <c r="I272" s="38"/>
      <c r="J272" s="38">
        <f>K272</f>
        <v>23004577</v>
      </c>
      <c r="K272" s="86">
        <f>33165305+644430-5157404+3782+(117000)-117000-39080-200000-(67000)+(90000)+(124500)-9344297+3116592+1637568+400000-1523778+177959-(24000)</f>
        <v>23004577</v>
      </c>
      <c r="L272" s="107">
        <f>(117000)-(67000)+(90000)+(124500)-(7000)-(24000)</f>
        <v>233500</v>
      </c>
      <c r="M272" s="59">
        <f t="shared" si="51"/>
        <v>23004577</v>
      </c>
      <c r="N272" s="57">
        <v>76500</v>
      </c>
      <c r="O272" s="63"/>
    </row>
    <row r="273" spans="1:15" ht="63.75" hidden="1">
      <c r="A273" s="40" t="s">
        <v>137</v>
      </c>
      <c r="B273" s="62" t="s">
        <v>138</v>
      </c>
      <c r="C273" s="38"/>
      <c r="D273" s="38"/>
      <c r="E273" s="38"/>
      <c r="F273" s="38">
        <f t="shared" si="53"/>
        <v>0</v>
      </c>
      <c r="G273" s="38"/>
      <c r="H273" s="38"/>
      <c r="I273" s="38"/>
      <c r="J273" s="38"/>
      <c r="K273" s="38"/>
      <c r="L273" s="38"/>
      <c r="M273" s="59">
        <f t="shared" si="51"/>
        <v>0</v>
      </c>
      <c r="N273" s="57"/>
      <c r="O273" s="63"/>
    </row>
    <row r="274" spans="1:15" ht="51" hidden="1">
      <c r="A274" s="40"/>
      <c r="B274" s="85" t="s">
        <v>304</v>
      </c>
      <c r="C274" s="38"/>
      <c r="D274" s="38"/>
      <c r="E274" s="38"/>
      <c r="F274" s="38">
        <f t="shared" si="53"/>
        <v>0</v>
      </c>
      <c r="G274" s="38"/>
      <c r="H274" s="38"/>
      <c r="I274" s="38"/>
      <c r="J274" s="38"/>
      <c r="K274" s="38">
        <f>J274</f>
        <v>0</v>
      </c>
      <c r="L274" s="38">
        <f>K274</f>
        <v>0</v>
      </c>
      <c r="M274" s="59">
        <f t="shared" si="51"/>
        <v>0</v>
      </c>
      <c r="N274" s="57"/>
      <c r="O274" s="63"/>
    </row>
    <row r="275" spans="1:15" ht="42" customHeight="1">
      <c r="A275" s="40" t="s">
        <v>155</v>
      </c>
      <c r="B275" s="62" t="s">
        <v>156</v>
      </c>
      <c r="C275" s="38"/>
      <c r="D275" s="38"/>
      <c r="E275" s="38"/>
      <c r="F275" s="38">
        <f>G275+J275</f>
        <v>33300880</v>
      </c>
      <c r="G275" s="38">
        <f>G276</f>
        <v>12676425</v>
      </c>
      <c r="H275" s="38">
        <f>H276</f>
        <v>0</v>
      </c>
      <c r="I275" s="38">
        <f>I276</f>
        <v>2700000</v>
      </c>
      <c r="J275" s="38">
        <f>J276</f>
        <v>20624455</v>
      </c>
      <c r="K275" s="38">
        <f>K276</f>
        <v>0</v>
      </c>
      <c r="L275" s="38"/>
      <c r="M275" s="59">
        <f t="shared" si="51"/>
        <v>33300880</v>
      </c>
      <c r="N275" s="57"/>
      <c r="O275" s="63"/>
    </row>
    <row r="276" spans="1:15" ht="51">
      <c r="A276" s="40">
        <v>170703</v>
      </c>
      <c r="B276" s="36" t="s">
        <v>3</v>
      </c>
      <c r="C276" s="38"/>
      <c r="D276" s="38"/>
      <c r="E276" s="38"/>
      <c r="F276" s="38">
        <f t="shared" si="53"/>
        <v>33300880</v>
      </c>
      <c r="G276" s="38">
        <f>G277+871726-1+2700000</f>
        <v>12676425</v>
      </c>
      <c r="H276" s="38"/>
      <c r="I276" s="38">
        <v>2700000</v>
      </c>
      <c r="J276" s="38">
        <f>J277+1130000+107255</f>
        <v>20624455</v>
      </c>
      <c r="K276" s="38"/>
      <c r="L276" s="38"/>
      <c r="M276" s="59">
        <f aca="true" t="shared" si="55" ref="M276:M289">C276+F276</f>
        <v>33300880</v>
      </c>
      <c r="N276" s="57"/>
      <c r="O276" s="63"/>
    </row>
    <row r="277" spans="1:15" ht="90.75" customHeight="1">
      <c r="A277" s="40"/>
      <c r="B277" s="78" t="s">
        <v>309</v>
      </c>
      <c r="C277" s="38"/>
      <c r="D277" s="38"/>
      <c r="E277" s="38"/>
      <c r="F277" s="38">
        <f t="shared" si="53"/>
        <v>28491900</v>
      </c>
      <c r="G277" s="38">
        <f>9117400-12700</f>
        <v>9104700</v>
      </c>
      <c r="H277" s="38"/>
      <c r="I277" s="38"/>
      <c r="J277" s="38">
        <f>19374500+12700</f>
        <v>19387200</v>
      </c>
      <c r="K277" s="38"/>
      <c r="L277" s="38"/>
      <c r="M277" s="59">
        <f t="shared" si="55"/>
        <v>28491900</v>
      </c>
      <c r="N277" s="57"/>
      <c r="O277" s="63"/>
    </row>
    <row r="278" spans="1:15" ht="25.5">
      <c r="A278" s="40" t="s">
        <v>165</v>
      </c>
      <c r="B278" s="62" t="s">
        <v>166</v>
      </c>
      <c r="C278" s="38">
        <f>C279</f>
        <v>0</v>
      </c>
      <c r="D278" s="38">
        <f>D279</f>
        <v>0</v>
      </c>
      <c r="E278" s="38">
        <f>E279</f>
        <v>0</v>
      </c>
      <c r="F278" s="38">
        <f t="shared" si="53"/>
        <v>11753222</v>
      </c>
      <c r="G278" s="38">
        <f aca="true" t="shared" si="56" ref="G278:L278">G279</f>
        <v>0</v>
      </c>
      <c r="H278" s="38">
        <f t="shared" si="56"/>
        <v>0</v>
      </c>
      <c r="I278" s="38">
        <f t="shared" si="56"/>
        <v>0</v>
      </c>
      <c r="J278" s="38">
        <f t="shared" si="56"/>
        <v>11753222</v>
      </c>
      <c r="K278" s="38">
        <f t="shared" si="56"/>
        <v>11753222</v>
      </c>
      <c r="L278" s="38">
        <f t="shared" si="56"/>
        <v>0</v>
      </c>
      <c r="M278" s="59">
        <f t="shared" si="55"/>
        <v>11753222</v>
      </c>
      <c r="N278" s="57"/>
      <c r="O278" s="63"/>
    </row>
    <row r="279" spans="1:15" ht="51">
      <c r="A279" s="40" t="s">
        <v>139</v>
      </c>
      <c r="B279" s="78" t="s">
        <v>252</v>
      </c>
      <c r="C279" s="38"/>
      <c r="D279" s="38"/>
      <c r="E279" s="38"/>
      <c r="F279" s="38">
        <f t="shared" si="53"/>
        <v>11753222</v>
      </c>
      <c r="G279" s="38"/>
      <c r="H279" s="38"/>
      <c r="I279" s="38"/>
      <c r="J279" s="38">
        <f>K279</f>
        <v>11753222</v>
      </c>
      <c r="K279" s="38">
        <f>10847544+990000+2400000-2400000-84322</f>
        <v>11753222</v>
      </c>
      <c r="L279" s="38"/>
      <c r="M279" s="59">
        <f t="shared" si="55"/>
        <v>11753222</v>
      </c>
      <c r="N279" s="57"/>
      <c r="O279" s="63"/>
    </row>
    <row r="280" spans="1:15" ht="12.75">
      <c r="A280" s="40" t="s">
        <v>157</v>
      </c>
      <c r="B280" s="64" t="s">
        <v>161</v>
      </c>
      <c r="C280" s="38">
        <f>C281+C282</f>
        <v>0</v>
      </c>
      <c r="D280" s="38">
        <f>D281+D282</f>
        <v>0</v>
      </c>
      <c r="E280" s="38">
        <f>E281+E282</f>
        <v>0</v>
      </c>
      <c r="F280" s="38">
        <f>G280+J280</f>
        <v>4268844</v>
      </c>
      <c r="G280" s="38">
        <f>G281+G282</f>
        <v>20500</v>
      </c>
      <c r="H280" s="38">
        <f>H281+H282</f>
        <v>0</v>
      </c>
      <c r="I280" s="38">
        <f>I281+I282</f>
        <v>0</v>
      </c>
      <c r="J280" s="38">
        <f>J281+J282</f>
        <v>4248344</v>
      </c>
      <c r="K280" s="38">
        <f>K281+K282</f>
        <v>0</v>
      </c>
      <c r="L280" s="38"/>
      <c r="M280" s="59">
        <f t="shared" si="55"/>
        <v>4268844</v>
      </c>
      <c r="N280" s="57"/>
      <c r="O280" s="63"/>
    </row>
    <row r="281" spans="1:15" ht="25.5">
      <c r="A281" s="40" t="s">
        <v>120</v>
      </c>
      <c r="B281" s="64" t="s">
        <v>136</v>
      </c>
      <c r="C281" s="38"/>
      <c r="D281" s="38"/>
      <c r="E281" s="38"/>
      <c r="F281" s="38">
        <f>G281+J281</f>
        <v>4248344</v>
      </c>
      <c r="G281" s="38"/>
      <c r="H281" s="38"/>
      <c r="I281" s="38"/>
      <c r="J281" s="38">
        <f>4248344</f>
        <v>4248344</v>
      </c>
      <c r="K281" s="38"/>
      <c r="L281" s="38"/>
      <c r="M281" s="59">
        <f t="shared" si="55"/>
        <v>4248344</v>
      </c>
      <c r="N281" s="57"/>
      <c r="O281" s="63"/>
    </row>
    <row r="282" spans="1:15" s="58" customFormat="1" ht="30" customHeight="1">
      <c r="A282" s="40" t="s">
        <v>59</v>
      </c>
      <c r="B282" s="64" t="s">
        <v>116</v>
      </c>
      <c r="C282" s="38"/>
      <c r="D282" s="38"/>
      <c r="E282" s="38"/>
      <c r="F282" s="38">
        <f>G282+J282</f>
        <v>20500</v>
      </c>
      <c r="G282" s="38">
        <v>20500</v>
      </c>
      <c r="H282" s="38"/>
      <c r="I282" s="38"/>
      <c r="J282" s="38"/>
      <c r="K282" s="38"/>
      <c r="L282" s="38"/>
      <c r="M282" s="59">
        <f t="shared" si="55"/>
        <v>20500</v>
      </c>
      <c r="N282" s="57"/>
      <c r="O282" s="57"/>
    </row>
    <row r="283" spans="1:15" s="61" customFormat="1" ht="25.5">
      <c r="A283" s="40" t="s">
        <v>159</v>
      </c>
      <c r="B283" s="64" t="s">
        <v>160</v>
      </c>
      <c r="C283" s="38">
        <f>C284</f>
        <v>8357884</v>
      </c>
      <c r="D283" s="38">
        <f>D284</f>
        <v>0</v>
      </c>
      <c r="E283" s="38">
        <f>E284</f>
        <v>0</v>
      </c>
      <c r="F283" s="38"/>
      <c r="G283" s="38"/>
      <c r="H283" s="38"/>
      <c r="I283" s="38"/>
      <c r="J283" s="38"/>
      <c r="K283" s="38"/>
      <c r="L283" s="38"/>
      <c r="M283" s="59">
        <f t="shared" si="55"/>
        <v>8357884</v>
      </c>
      <c r="N283" s="57"/>
      <c r="O283" s="60"/>
    </row>
    <row r="284" spans="1:15" ht="12.75">
      <c r="A284" s="40" t="s">
        <v>60</v>
      </c>
      <c r="B284" s="64" t="s">
        <v>98</v>
      </c>
      <c r="C284" s="38">
        <f>C285+C289+C288+C286+C287</f>
        <v>8357884</v>
      </c>
      <c r="D284" s="38">
        <f>D285+D289+D288</f>
        <v>0</v>
      </c>
      <c r="E284" s="38">
        <f>E285+E289+E288</f>
        <v>0</v>
      </c>
      <c r="F284" s="38">
        <f>G284+J284</f>
        <v>0</v>
      </c>
      <c r="G284" s="38">
        <f>G285+G289</f>
        <v>0</v>
      </c>
      <c r="H284" s="38">
        <f>H285+H289</f>
        <v>0</v>
      </c>
      <c r="I284" s="38">
        <f>I285+I289</f>
        <v>0</v>
      </c>
      <c r="J284" s="38">
        <f>J285+J289</f>
        <v>0</v>
      </c>
      <c r="K284" s="38">
        <f>K285+K289</f>
        <v>0</v>
      </c>
      <c r="L284" s="38"/>
      <c r="M284" s="59">
        <f t="shared" si="55"/>
        <v>8357884</v>
      </c>
      <c r="N284" s="57"/>
      <c r="O284" s="63"/>
    </row>
    <row r="285" spans="1:15" ht="43.5" customHeight="1" hidden="1">
      <c r="A285" s="40"/>
      <c r="B285" s="83" t="s">
        <v>348</v>
      </c>
      <c r="C285" s="38">
        <f>2050000+1600000+21053+1999600+44300+152000+(4793+4798+7527+6865)+872085+700000+400000</f>
        <v>7863021</v>
      </c>
      <c r="D285" s="38"/>
      <c r="E285" s="38"/>
      <c r="F285" s="38">
        <f>G285+J285</f>
        <v>0</v>
      </c>
      <c r="G285" s="38"/>
      <c r="H285" s="38"/>
      <c r="I285" s="38"/>
      <c r="J285" s="38"/>
      <c r="K285" s="38"/>
      <c r="L285" s="38"/>
      <c r="M285" s="59">
        <f t="shared" si="55"/>
        <v>7863021</v>
      </c>
      <c r="N285" s="57"/>
      <c r="O285" s="63"/>
    </row>
    <row r="286" spans="1:15" ht="55.5" customHeight="1" hidden="1">
      <c r="A286" s="40"/>
      <c r="B286" s="83" t="s">
        <v>355</v>
      </c>
      <c r="C286" s="38">
        <f>45653+120375+136105+96884</f>
        <v>399017</v>
      </c>
      <c r="D286" s="38"/>
      <c r="E286" s="38"/>
      <c r="F286" s="38"/>
      <c r="G286" s="38"/>
      <c r="H286" s="38"/>
      <c r="I286" s="38"/>
      <c r="J286" s="38"/>
      <c r="K286" s="38"/>
      <c r="L286" s="38"/>
      <c r="M286" s="59">
        <f t="shared" si="55"/>
        <v>399017</v>
      </c>
      <c r="N286" s="57"/>
      <c r="O286" s="63"/>
    </row>
    <row r="287" spans="1:15" ht="80.25" customHeight="1" hidden="1">
      <c r="A287" s="40"/>
      <c r="B287" s="83" t="s">
        <v>358</v>
      </c>
      <c r="C287" s="38">
        <f>55046+40800</f>
        <v>95846</v>
      </c>
      <c r="D287" s="38"/>
      <c r="E287" s="38"/>
      <c r="F287" s="38"/>
      <c r="G287" s="38"/>
      <c r="H287" s="38"/>
      <c r="I287" s="38"/>
      <c r="J287" s="38"/>
      <c r="K287" s="38"/>
      <c r="L287" s="38"/>
      <c r="M287" s="59">
        <f t="shared" si="55"/>
        <v>95846</v>
      </c>
      <c r="N287" s="57"/>
      <c r="O287" s="63"/>
    </row>
    <row r="288" spans="1:15" ht="51" hidden="1">
      <c r="A288" s="40"/>
      <c r="B288" s="78" t="s">
        <v>303</v>
      </c>
      <c r="C288" s="38"/>
      <c r="D288" s="38"/>
      <c r="E288" s="38"/>
      <c r="F288" s="38"/>
      <c r="G288" s="38"/>
      <c r="H288" s="38"/>
      <c r="I288" s="38"/>
      <c r="J288" s="38"/>
      <c r="K288" s="38"/>
      <c r="L288" s="38"/>
      <c r="M288" s="59">
        <f t="shared" si="55"/>
        <v>0</v>
      </c>
      <c r="N288" s="57"/>
      <c r="O288" s="63"/>
    </row>
    <row r="289" spans="1:15" ht="24.75" customHeight="1" hidden="1">
      <c r="A289" s="40"/>
      <c r="B289" s="78" t="s">
        <v>300</v>
      </c>
      <c r="C289" s="38"/>
      <c r="D289" s="38"/>
      <c r="E289" s="38"/>
      <c r="F289" s="38"/>
      <c r="G289" s="38"/>
      <c r="H289" s="38"/>
      <c r="I289" s="38"/>
      <c r="J289" s="38"/>
      <c r="K289" s="38"/>
      <c r="L289" s="38"/>
      <c r="M289" s="59">
        <f t="shared" si="55"/>
        <v>0</v>
      </c>
      <c r="N289" s="57"/>
      <c r="O289" s="63"/>
    </row>
    <row r="290" spans="1:15" ht="24">
      <c r="A290" s="111" t="s">
        <v>326</v>
      </c>
      <c r="B290" s="125" t="s">
        <v>268</v>
      </c>
      <c r="C290" s="55">
        <f>C292+C297</f>
        <v>2522385</v>
      </c>
      <c r="D290" s="55">
        <f aca="true" t="shared" si="57" ref="D290:L290">D292+D297</f>
        <v>1281417</v>
      </c>
      <c r="E290" s="55">
        <f t="shared" si="57"/>
        <v>127350</v>
      </c>
      <c r="F290" s="55">
        <f aca="true" t="shared" si="58" ref="F290:F298">G290+J290</f>
        <v>10423</v>
      </c>
      <c r="G290" s="55">
        <f t="shared" si="57"/>
        <v>0</v>
      </c>
      <c r="H290" s="55">
        <f t="shared" si="57"/>
        <v>0</v>
      </c>
      <c r="I290" s="55">
        <f t="shared" si="57"/>
        <v>0</v>
      </c>
      <c r="J290" s="55">
        <f t="shared" si="57"/>
        <v>10423</v>
      </c>
      <c r="K290" s="55">
        <f t="shared" si="57"/>
        <v>10423</v>
      </c>
      <c r="L290" s="55">
        <f t="shared" si="57"/>
        <v>0</v>
      </c>
      <c r="M290" s="56">
        <f aca="true" t="shared" si="59" ref="M290:M327">C290+F290</f>
        <v>2532808</v>
      </c>
      <c r="N290" s="57"/>
      <c r="O290" s="63"/>
    </row>
    <row r="291" spans="1:15" ht="12.75">
      <c r="A291" s="43" t="s">
        <v>150</v>
      </c>
      <c r="B291" s="44" t="s">
        <v>151</v>
      </c>
      <c r="C291" s="37">
        <f>C292</f>
        <v>2431524</v>
      </c>
      <c r="D291" s="37">
        <f>D292</f>
        <v>1281417</v>
      </c>
      <c r="E291" s="37">
        <f>E292</f>
        <v>127350</v>
      </c>
      <c r="F291" s="38">
        <f t="shared" si="58"/>
        <v>0</v>
      </c>
      <c r="G291" s="37"/>
      <c r="H291" s="37"/>
      <c r="I291" s="37"/>
      <c r="J291" s="37"/>
      <c r="K291" s="37"/>
      <c r="L291" s="37"/>
      <c r="M291" s="59">
        <f t="shared" si="59"/>
        <v>2431524</v>
      </c>
      <c r="N291" s="57"/>
      <c r="O291" s="63"/>
    </row>
    <row r="292" spans="1:15" ht="12.75">
      <c r="A292" s="40" t="s">
        <v>21</v>
      </c>
      <c r="B292" s="62" t="s">
        <v>22</v>
      </c>
      <c r="C292" s="38">
        <f>1954060+119536+74976-5635+64380+17084-332+85840+102968+18647</f>
        <v>2431524</v>
      </c>
      <c r="D292" s="38">
        <f>1158880+55008-4134-7111+74204+4570</f>
        <v>1281417</v>
      </c>
      <c r="E292" s="38">
        <v>127350</v>
      </c>
      <c r="F292" s="38">
        <f t="shared" si="58"/>
        <v>10423</v>
      </c>
      <c r="G292" s="38"/>
      <c r="H292" s="38"/>
      <c r="I292" s="38"/>
      <c r="J292" s="86">
        <f>10423</f>
        <v>10423</v>
      </c>
      <c r="K292" s="86">
        <f>J292</f>
        <v>10423</v>
      </c>
      <c r="L292" s="38"/>
      <c r="M292" s="59">
        <f t="shared" si="59"/>
        <v>2441947</v>
      </c>
      <c r="N292" s="57"/>
      <c r="O292" s="63"/>
    </row>
    <row r="293" spans="1:15" ht="12.75" hidden="1">
      <c r="A293" s="40" t="s">
        <v>121</v>
      </c>
      <c r="B293" s="62" t="s">
        <v>122</v>
      </c>
      <c r="C293" s="38"/>
      <c r="D293" s="38"/>
      <c r="E293" s="38"/>
      <c r="F293" s="38">
        <f t="shared" si="58"/>
        <v>0</v>
      </c>
      <c r="G293" s="38"/>
      <c r="H293" s="38"/>
      <c r="I293" s="38"/>
      <c r="J293" s="38"/>
      <c r="K293" s="38"/>
      <c r="L293" s="38"/>
      <c r="M293" s="59">
        <f t="shared" si="59"/>
        <v>0</v>
      </c>
      <c r="N293" s="57"/>
      <c r="O293" s="63"/>
    </row>
    <row r="294" spans="1:15" s="58" customFormat="1" ht="178.5" hidden="1">
      <c r="A294" s="40" t="s">
        <v>217</v>
      </c>
      <c r="B294" s="78" t="s">
        <v>195</v>
      </c>
      <c r="C294" s="38"/>
      <c r="D294" s="38"/>
      <c r="E294" s="38"/>
      <c r="F294" s="38">
        <f t="shared" si="58"/>
        <v>0</v>
      </c>
      <c r="G294" s="38"/>
      <c r="H294" s="38"/>
      <c r="I294" s="38"/>
      <c r="J294" s="38"/>
      <c r="K294" s="38"/>
      <c r="L294" s="38"/>
      <c r="M294" s="59">
        <f t="shared" si="59"/>
        <v>0</v>
      </c>
      <c r="N294" s="57"/>
      <c r="O294" s="57"/>
    </row>
    <row r="295" spans="1:15" ht="12.75" hidden="1">
      <c r="A295" s="40" t="s">
        <v>157</v>
      </c>
      <c r="B295" s="36" t="s">
        <v>161</v>
      </c>
      <c r="C295" s="38"/>
      <c r="D295" s="38"/>
      <c r="E295" s="38"/>
      <c r="F295" s="38">
        <f t="shared" si="58"/>
        <v>0</v>
      </c>
      <c r="G295" s="38">
        <f>G296</f>
        <v>0</v>
      </c>
      <c r="H295" s="38">
        <f>H296</f>
        <v>0</v>
      </c>
      <c r="I295" s="38">
        <f>I296</f>
        <v>0</v>
      </c>
      <c r="J295" s="38">
        <f>J296</f>
        <v>0</v>
      </c>
      <c r="K295" s="38">
        <f>K296</f>
        <v>0</v>
      </c>
      <c r="L295" s="38"/>
      <c r="M295" s="59">
        <f t="shared" si="59"/>
        <v>0</v>
      </c>
      <c r="N295" s="57"/>
      <c r="O295" s="63"/>
    </row>
    <row r="296" spans="1:15" ht="25.5" hidden="1">
      <c r="A296" s="40" t="s">
        <v>59</v>
      </c>
      <c r="B296" s="36" t="s">
        <v>116</v>
      </c>
      <c r="C296" s="38"/>
      <c r="D296" s="38"/>
      <c r="E296" s="38"/>
      <c r="F296" s="38">
        <f t="shared" si="58"/>
        <v>0</v>
      </c>
      <c r="G296" s="38"/>
      <c r="H296" s="38"/>
      <c r="I296" s="38"/>
      <c r="J296" s="38"/>
      <c r="K296" s="38"/>
      <c r="L296" s="38"/>
      <c r="M296" s="59">
        <f t="shared" si="59"/>
        <v>0</v>
      </c>
      <c r="N296" s="57"/>
      <c r="O296" s="63"/>
    </row>
    <row r="297" spans="1:15" ht="25.5">
      <c r="A297" s="40" t="s">
        <v>159</v>
      </c>
      <c r="B297" s="44" t="s">
        <v>160</v>
      </c>
      <c r="C297" s="38">
        <f>C298</f>
        <v>90861</v>
      </c>
      <c r="D297" s="38">
        <f>D298</f>
        <v>0</v>
      </c>
      <c r="E297" s="38">
        <f>E298</f>
        <v>0</v>
      </c>
      <c r="F297" s="38">
        <f t="shared" si="58"/>
        <v>0</v>
      </c>
      <c r="G297" s="38">
        <f>G298</f>
        <v>0</v>
      </c>
      <c r="H297" s="38">
        <f>H298</f>
        <v>0</v>
      </c>
      <c r="I297" s="38">
        <f>I298</f>
        <v>0</v>
      </c>
      <c r="J297" s="38">
        <f>J298</f>
        <v>0</v>
      </c>
      <c r="K297" s="38">
        <f>K298</f>
        <v>0</v>
      </c>
      <c r="L297" s="38"/>
      <c r="M297" s="59">
        <f t="shared" si="59"/>
        <v>90861</v>
      </c>
      <c r="N297" s="57"/>
      <c r="O297" s="63"/>
    </row>
    <row r="298" spans="1:15" ht="12.75">
      <c r="A298" s="40" t="s">
        <v>60</v>
      </c>
      <c r="B298" s="36" t="s">
        <v>98</v>
      </c>
      <c r="C298" s="38">
        <f>C299</f>
        <v>90861</v>
      </c>
      <c r="D298" s="38"/>
      <c r="E298" s="38"/>
      <c r="F298" s="38">
        <f t="shared" si="58"/>
        <v>0</v>
      </c>
      <c r="G298" s="38"/>
      <c r="H298" s="38"/>
      <c r="I298" s="38"/>
      <c r="J298" s="38"/>
      <c r="K298" s="38"/>
      <c r="L298" s="38"/>
      <c r="M298" s="59">
        <f t="shared" si="59"/>
        <v>90861</v>
      </c>
      <c r="N298" s="57"/>
      <c r="O298" s="63"/>
    </row>
    <row r="299" spans="1:15" ht="24" hidden="1">
      <c r="A299" s="40"/>
      <c r="B299" s="39" t="s">
        <v>242</v>
      </c>
      <c r="C299" s="38">
        <f>79121+11740</f>
        <v>90861</v>
      </c>
      <c r="D299" s="38"/>
      <c r="E299" s="38"/>
      <c r="F299" s="38"/>
      <c r="G299" s="38"/>
      <c r="H299" s="38"/>
      <c r="I299" s="38"/>
      <c r="J299" s="38"/>
      <c r="K299" s="38"/>
      <c r="L299" s="38"/>
      <c r="M299" s="59">
        <f t="shared" si="59"/>
        <v>90861</v>
      </c>
      <c r="N299" s="57"/>
      <c r="O299" s="63"/>
    </row>
    <row r="300" spans="1:15" ht="38.25">
      <c r="A300" s="111" t="s">
        <v>331</v>
      </c>
      <c r="B300" s="123" t="s">
        <v>267</v>
      </c>
      <c r="C300" s="55">
        <f>C301+C306</f>
        <v>4070119</v>
      </c>
      <c r="D300" s="55">
        <f>D301+D306</f>
        <v>1252426</v>
      </c>
      <c r="E300" s="55">
        <f>E301+E306</f>
        <v>0</v>
      </c>
      <c r="F300" s="55">
        <f>F302+F306+F304</f>
        <v>0</v>
      </c>
      <c r="G300" s="55">
        <f aca="true" t="shared" si="60" ref="G300:L300">G301+G306</f>
        <v>0</v>
      </c>
      <c r="H300" s="55">
        <f t="shared" si="60"/>
        <v>0</v>
      </c>
      <c r="I300" s="55">
        <f t="shared" si="60"/>
        <v>0</v>
      </c>
      <c r="J300" s="55">
        <f t="shared" si="60"/>
        <v>0</v>
      </c>
      <c r="K300" s="55">
        <f t="shared" si="60"/>
        <v>0</v>
      </c>
      <c r="L300" s="55">
        <f t="shared" si="60"/>
        <v>0</v>
      </c>
      <c r="M300" s="56">
        <f t="shared" si="59"/>
        <v>4070119</v>
      </c>
      <c r="N300" s="57"/>
      <c r="O300" s="63"/>
    </row>
    <row r="301" spans="1:15" ht="12.75">
      <c r="A301" s="43" t="s">
        <v>150</v>
      </c>
      <c r="B301" s="44" t="s">
        <v>151</v>
      </c>
      <c r="C301" s="37">
        <f>C302</f>
        <v>2567500</v>
      </c>
      <c r="D301" s="37">
        <f>D302</f>
        <v>1252426</v>
      </c>
      <c r="E301" s="37"/>
      <c r="F301" s="38">
        <f aca="true" t="shared" si="61" ref="F301:F309">G301+J301</f>
        <v>0</v>
      </c>
      <c r="G301" s="37"/>
      <c r="H301" s="37"/>
      <c r="I301" s="37"/>
      <c r="J301" s="37"/>
      <c r="K301" s="37"/>
      <c r="L301" s="37"/>
      <c r="M301" s="59">
        <f t="shared" si="59"/>
        <v>2567500</v>
      </c>
      <c r="N301" s="57"/>
      <c r="O301" s="63"/>
    </row>
    <row r="302" spans="1:15" ht="12.75">
      <c r="A302" s="40" t="s">
        <v>21</v>
      </c>
      <c r="B302" s="62" t="s">
        <v>22</v>
      </c>
      <c r="C302" s="38">
        <f>2243960+103839+113507+16460+113866-24132</f>
        <v>2567500</v>
      </c>
      <c r="D302" s="38">
        <f>1091280+83277+16460+83541-22132</f>
        <v>1252426</v>
      </c>
      <c r="E302" s="37"/>
      <c r="F302" s="38">
        <f t="shared" si="61"/>
        <v>0</v>
      </c>
      <c r="G302" s="38"/>
      <c r="H302" s="38"/>
      <c r="I302" s="38"/>
      <c r="J302" s="38"/>
      <c r="K302" s="38"/>
      <c r="L302" s="38"/>
      <c r="M302" s="59">
        <f t="shared" si="59"/>
        <v>2567500</v>
      </c>
      <c r="N302" s="57"/>
      <c r="O302" s="63"/>
    </row>
    <row r="303" spans="1:15" s="58" customFormat="1" ht="12.75" hidden="1">
      <c r="A303" s="40" t="s">
        <v>157</v>
      </c>
      <c r="B303" s="62" t="s">
        <v>161</v>
      </c>
      <c r="C303" s="38"/>
      <c r="D303" s="38"/>
      <c r="E303" s="38"/>
      <c r="F303" s="38">
        <f t="shared" si="61"/>
        <v>0</v>
      </c>
      <c r="G303" s="38">
        <f>G304</f>
        <v>0</v>
      </c>
      <c r="H303" s="38"/>
      <c r="I303" s="38"/>
      <c r="J303" s="38"/>
      <c r="K303" s="38"/>
      <c r="L303" s="38"/>
      <c r="M303" s="59">
        <f t="shared" si="59"/>
        <v>0</v>
      </c>
      <c r="N303" s="57"/>
      <c r="O303" s="57"/>
    </row>
    <row r="304" spans="1:15" s="61" customFormat="1" ht="25.5" hidden="1">
      <c r="A304" s="40" t="s">
        <v>59</v>
      </c>
      <c r="B304" s="64" t="s">
        <v>116</v>
      </c>
      <c r="C304" s="38"/>
      <c r="D304" s="38"/>
      <c r="E304" s="38"/>
      <c r="F304" s="38">
        <f t="shared" si="61"/>
        <v>0</v>
      </c>
      <c r="G304" s="38"/>
      <c r="H304" s="38"/>
      <c r="I304" s="38"/>
      <c r="J304" s="38"/>
      <c r="K304" s="38"/>
      <c r="L304" s="38"/>
      <c r="M304" s="59">
        <f t="shared" si="59"/>
        <v>0</v>
      </c>
      <c r="N304" s="57"/>
      <c r="O304" s="60"/>
    </row>
    <row r="305" spans="1:15" ht="25.5">
      <c r="A305" s="40" t="s">
        <v>159</v>
      </c>
      <c r="B305" s="64" t="s">
        <v>160</v>
      </c>
      <c r="C305" s="38">
        <f>C306</f>
        <v>1502619</v>
      </c>
      <c r="D305" s="38"/>
      <c r="E305" s="38"/>
      <c r="F305" s="38">
        <f t="shared" si="61"/>
        <v>0</v>
      </c>
      <c r="G305" s="38"/>
      <c r="H305" s="38"/>
      <c r="I305" s="38"/>
      <c r="J305" s="38"/>
      <c r="K305" s="38"/>
      <c r="L305" s="38"/>
      <c r="M305" s="59">
        <f t="shared" si="59"/>
        <v>1502619</v>
      </c>
      <c r="N305" s="57"/>
      <c r="O305" s="63"/>
    </row>
    <row r="306" spans="1:15" ht="12.75">
      <c r="A306" s="40" t="s">
        <v>60</v>
      </c>
      <c r="B306" s="36" t="s">
        <v>98</v>
      </c>
      <c r="C306" s="38">
        <f>C309+C307+C308</f>
        <v>1502619</v>
      </c>
      <c r="D306" s="38">
        <f>D309+D307</f>
        <v>0</v>
      </c>
      <c r="E306" s="38">
        <f>E309+E307</f>
        <v>0</v>
      </c>
      <c r="F306" s="38">
        <f t="shared" si="61"/>
        <v>0</v>
      </c>
      <c r="G306" s="38"/>
      <c r="H306" s="38"/>
      <c r="I306" s="38"/>
      <c r="J306" s="38"/>
      <c r="K306" s="38"/>
      <c r="L306" s="38"/>
      <c r="M306" s="59">
        <f t="shared" si="59"/>
        <v>1502619</v>
      </c>
      <c r="N306" s="57"/>
      <c r="O306" s="63"/>
    </row>
    <row r="307" spans="1:15" ht="38.25" hidden="1">
      <c r="A307" s="40"/>
      <c r="B307" s="64" t="s">
        <v>173</v>
      </c>
      <c r="C307" s="38">
        <f>198500+6117-140500-27272</f>
        <v>36845</v>
      </c>
      <c r="D307" s="38"/>
      <c r="E307" s="38"/>
      <c r="F307" s="38"/>
      <c r="G307" s="38"/>
      <c r="H307" s="38"/>
      <c r="I307" s="38"/>
      <c r="J307" s="38"/>
      <c r="K307" s="38"/>
      <c r="L307" s="38"/>
      <c r="M307" s="59">
        <f t="shared" si="59"/>
        <v>36845</v>
      </c>
      <c r="N307" s="57"/>
      <c r="O307" s="63"/>
    </row>
    <row r="308" spans="1:15" ht="38.25" hidden="1">
      <c r="A308" s="40"/>
      <c r="B308" s="83" t="s">
        <v>369</v>
      </c>
      <c r="C308" s="38">
        <v>20000</v>
      </c>
      <c r="D308" s="38"/>
      <c r="E308" s="38"/>
      <c r="F308" s="38"/>
      <c r="G308" s="38"/>
      <c r="H308" s="38"/>
      <c r="I308" s="38"/>
      <c r="J308" s="38"/>
      <c r="K308" s="38"/>
      <c r="L308" s="38"/>
      <c r="M308" s="59">
        <f t="shared" si="59"/>
        <v>20000</v>
      </c>
      <c r="N308" s="57"/>
      <c r="O308" s="63"/>
    </row>
    <row r="309" spans="1:15" ht="51" hidden="1">
      <c r="A309" s="40"/>
      <c r="B309" s="36" t="s">
        <v>208</v>
      </c>
      <c r="C309" s="38">
        <f>201341+1145913+298520-200000</f>
        <v>1445774</v>
      </c>
      <c r="D309" s="38"/>
      <c r="E309" s="38"/>
      <c r="F309" s="38">
        <f t="shared" si="61"/>
        <v>0</v>
      </c>
      <c r="G309" s="38"/>
      <c r="H309" s="38"/>
      <c r="I309" s="38"/>
      <c r="J309" s="38"/>
      <c r="K309" s="38"/>
      <c r="L309" s="38"/>
      <c r="M309" s="59">
        <f t="shared" si="59"/>
        <v>1445774</v>
      </c>
      <c r="N309" s="57"/>
      <c r="O309" s="63"/>
    </row>
    <row r="310" spans="1:14" s="61" customFormat="1" ht="25.5">
      <c r="A310" s="111" t="s">
        <v>333</v>
      </c>
      <c r="B310" s="110" t="s">
        <v>286</v>
      </c>
      <c r="C310" s="55">
        <f aca="true" t="shared" si="62" ref="C310:E311">C311</f>
        <v>628587</v>
      </c>
      <c r="D310" s="55">
        <f t="shared" si="62"/>
        <v>398231</v>
      </c>
      <c r="E310" s="55">
        <f t="shared" si="62"/>
        <v>0</v>
      </c>
      <c r="F310" s="55">
        <f aca="true" t="shared" si="63" ref="F310:F317">G310+J310</f>
        <v>0</v>
      </c>
      <c r="G310" s="55"/>
      <c r="H310" s="55"/>
      <c r="I310" s="55"/>
      <c r="J310" s="55">
        <f aca="true" t="shared" si="64" ref="J310:L311">J311</f>
        <v>0</v>
      </c>
      <c r="K310" s="55">
        <f t="shared" si="64"/>
        <v>0</v>
      </c>
      <c r="L310" s="55">
        <f t="shared" si="64"/>
        <v>0</v>
      </c>
      <c r="M310" s="56">
        <f t="shared" si="59"/>
        <v>628587</v>
      </c>
      <c r="N310" s="57"/>
    </row>
    <row r="311" spans="1:14" s="61" customFormat="1" ht="12.75" customHeight="1">
      <c r="A311" s="43" t="s">
        <v>150</v>
      </c>
      <c r="B311" s="44" t="s">
        <v>151</v>
      </c>
      <c r="C311" s="38">
        <f t="shared" si="62"/>
        <v>628587</v>
      </c>
      <c r="D311" s="38">
        <f t="shared" si="62"/>
        <v>398231</v>
      </c>
      <c r="E311" s="38">
        <f t="shared" si="62"/>
        <v>0</v>
      </c>
      <c r="F311" s="38">
        <f t="shared" si="63"/>
        <v>0</v>
      </c>
      <c r="G311" s="38"/>
      <c r="H311" s="38"/>
      <c r="I311" s="38"/>
      <c r="J311" s="38">
        <f t="shared" si="64"/>
        <v>0</v>
      </c>
      <c r="K311" s="38">
        <f t="shared" si="64"/>
        <v>0</v>
      </c>
      <c r="L311" s="38">
        <f t="shared" si="64"/>
        <v>0</v>
      </c>
      <c r="M311" s="59">
        <f t="shared" si="59"/>
        <v>628587</v>
      </c>
      <c r="N311" s="57"/>
    </row>
    <row r="312" spans="1:14" s="61" customFormat="1" ht="12.75">
      <c r="A312" s="40" t="s">
        <v>21</v>
      </c>
      <c r="B312" s="62" t="s">
        <v>22</v>
      </c>
      <c r="C312" s="38">
        <f>569810+2587+45388-20573+31375</f>
        <v>628587</v>
      </c>
      <c r="D312" s="38">
        <f>359510+33300-15094+20515</f>
        <v>398231</v>
      </c>
      <c r="E312" s="37">
        <f>26500-26500</f>
        <v>0</v>
      </c>
      <c r="F312" s="38">
        <f t="shared" si="63"/>
        <v>0</v>
      </c>
      <c r="G312" s="38"/>
      <c r="H312" s="38"/>
      <c r="I312" s="38"/>
      <c r="J312" s="38"/>
      <c r="K312" s="38"/>
      <c r="L312" s="38"/>
      <c r="M312" s="59">
        <f t="shared" si="59"/>
        <v>628587</v>
      </c>
      <c r="N312" s="57"/>
    </row>
    <row r="313" spans="1:15" ht="24.75" customHeight="1">
      <c r="A313" s="111" t="s">
        <v>338</v>
      </c>
      <c r="B313" s="126" t="s">
        <v>287</v>
      </c>
      <c r="C313" s="55">
        <f>C315+C316</f>
        <v>1020419</v>
      </c>
      <c r="D313" s="55">
        <f aca="true" t="shared" si="65" ref="D313:L313">D315+D316</f>
        <v>669151</v>
      </c>
      <c r="E313" s="55">
        <f t="shared" si="65"/>
        <v>0</v>
      </c>
      <c r="F313" s="55">
        <f t="shared" si="63"/>
        <v>1051692</v>
      </c>
      <c r="G313" s="55">
        <f t="shared" si="65"/>
        <v>1051692</v>
      </c>
      <c r="H313" s="55">
        <f t="shared" si="65"/>
        <v>0</v>
      </c>
      <c r="I313" s="55">
        <f t="shared" si="65"/>
        <v>0</v>
      </c>
      <c r="J313" s="55">
        <f t="shared" si="65"/>
        <v>0</v>
      </c>
      <c r="K313" s="55">
        <f t="shared" si="65"/>
        <v>0</v>
      </c>
      <c r="L313" s="55">
        <f t="shared" si="65"/>
        <v>0</v>
      </c>
      <c r="M313" s="55">
        <f t="shared" si="59"/>
        <v>2072111</v>
      </c>
      <c r="N313" s="57"/>
      <c r="O313" s="63"/>
    </row>
    <row r="314" spans="1:15" ht="13.5" customHeight="1">
      <c r="A314" s="40" t="s">
        <v>150</v>
      </c>
      <c r="B314" s="44" t="s">
        <v>151</v>
      </c>
      <c r="C314" s="38">
        <f>C315</f>
        <v>1020419</v>
      </c>
      <c r="D314" s="38">
        <f>D315</f>
        <v>669151</v>
      </c>
      <c r="E314" s="38">
        <f>E315</f>
        <v>0</v>
      </c>
      <c r="F314" s="38">
        <f t="shared" si="63"/>
        <v>0</v>
      </c>
      <c r="G314" s="38">
        <f aca="true" t="shared" si="66" ref="G314:L314">G315</f>
        <v>0</v>
      </c>
      <c r="H314" s="38">
        <f t="shared" si="66"/>
        <v>0</v>
      </c>
      <c r="I314" s="38">
        <f t="shared" si="66"/>
        <v>0</v>
      </c>
      <c r="J314" s="38">
        <f t="shared" si="66"/>
        <v>0</v>
      </c>
      <c r="K314" s="38">
        <f t="shared" si="66"/>
        <v>0</v>
      </c>
      <c r="L314" s="38">
        <f t="shared" si="66"/>
        <v>0</v>
      </c>
      <c r="M314" s="59">
        <f t="shared" si="59"/>
        <v>1020419</v>
      </c>
      <c r="N314" s="57"/>
      <c r="O314" s="63"/>
    </row>
    <row r="315" spans="1:15" ht="13.5" customHeight="1">
      <c r="A315" s="40" t="s">
        <v>21</v>
      </c>
      <c r="B315" s="62" t="s">
        <v>22</v>
      </c>
      <c r="C315" s="38">
        <f>947410+6657+66352</f>
        <v>1020419</v>
      </c>
      <c r="D315" s="38">
        <f>620470+48681</f>
        <v>669151</v>
      </c>
      <c r="E315" s="37"/>
      <c r="F315" s="38">
        <f t="shared" si="63"/>
        <v>0</v>
      </c>
      <c r="G315" s="38"/>
      <c r="H315" s="38"/>
      <c r="I315" s="38"/>
      <c r="J315" s="38">
        <f>K315</f>
        <v>0</v>
      </c>
      <c r="K315" s="38">
        <f>L315</f>
        <v>0</v>
      </c>
      <c r="L315" s="38"/>
      <c r="M315" s="59">
        <f t="shared" si="59"/>
        <v>1020419</v>
      </c>
      <c r="N315" s="57"/>
      <c r="O315" s="63"/>
    </row>
    <row r="316" spans="1:15" s="58" customFormat="1" ht="25.5">
      <c r="A316" s="84" t="s">
        <v>288</v>
      </c>
      <c r="B316" s="83" t="s">
        <v>289</v>
      </c>
      <c r="C316" s="38"/>
      <c r="D316" s="38"/>
      <c r="E316" s="38"/>
      <c r="F316" s="38">
        <f t="shared" si="63"/>
        <v>1051692</v>
      </c>
      <c r="G316" s="38">
        <f>G317</f>
        <v>1051692</v>
      </c>
      <c r="H316" s="38">
        <f>H317</f>
        <v>0</v>
      </c>
      <c r="I316" s="38">
        <f>I317</f>
        <v>0</v>
      </c>
      <c r="J316" s="38">
        <f>J317</f>
        <v>0</v>
      </c>
      <c r="K316" s="38">
        <f>K317</f>
        <v>0</v>
      </c>
      <c r="L316" s="38"/>
      <c r="M316" s="59">
        <f t="shared" si="59"/>
        <v>1051692</v>
      </c>
      <c r="N316" s="57"/>
      <c r="O316" s="57"/>
    </row>
    <row r="317" spans="1:14" ht="12.75">
      <c r="A317" s="84" t="s">
        <v>290</v>
      </c>
      <c r="B317" s="83" t="s">
        <v>291</v>
      </c>
      <c r="C317" s="38"/>
      <c r="D317" s="38"/>
      <c r="E317" s="38"/>
      <c r="F317" s="38">
        <f t="shared" si="63"/>
        <v>1051692</v>
      </c>
      <c r="G317" s="38">
        <v>1051692</v>
      </c>
      <c r="H317" s="38"/>
      <c r="I317" s="38"/>
      <c r="J317" s="38"/>
      <c r="K317" s="38"/>
      <c r="L317" s="38"/>
      <c r="M317" s="59">
        <f t="shared" si="59"/>
        <v>1051692</v>
      </c>
      <c r="N317" s="57"/>
    </row>
    <row r="318" spans="1:15" ht="25.5">
      <c r="A318" s="111" t="s">
        <v>332</v>
      </c>
      <c r="B318" s="123" t="s">
        <v>272</v>
      </c>
      <c r="C318" s="55">
        <f>C320+C322+C324</f>
        <v>728566</v>
      </c>
      <c r="D318" s="55">
        <f aca="true" t="shared" si="67" ref="D318:L318">D320+D322+D324</f>
        <v>445341</v>
      </c>
      <c r="E318" s="55">
        <f t="shared" si="67"/>
        <v>49160</v>
      </c>
      <c r="F318" s="55">
        <f aca="true" t="shared" si="68" ref="F318:F327">G318+J318</f>
        <v>45423676</v>
      </c>
      <c r="G318" s="55">
        <f t="shared" si="67"/>
        <v>710513</v>
      </c>
      <c r="H318" s="55">
        <f t="shared" si="67"/>
        <v>0</v>
      </c>
      <c r="I318" s="55">
        <f t="shared" si="67"/>
        <v>0</v>
      </c>
      <c r="J318" s="55">
        <f t="shared" si="67"/>
        <v>44713163</v>
      </c>
      <c r="K318" s="55">
        <f t="shared" si="67"/>
        <v>0</v>
      </c>
      <c r="L318" s="55">
        <f t="shared" si="67"/>
        <v>0</v>
      </c>
      <c r="M318" s="56">
        <f t="shared" si="59"/>
        <v>46152242</v>
      </c>
      <c r="N318" s="57"/>
      <c r="O318" s="63"/>
    </row>
    <row r="319" spans="1:15" ht="12.75">
      <c r="A319" s="43" t="s">
        <v>150</v>
      </c>
      <c r="B319" s="44" t="s">
        <v>151</v>
      </c>
      <c r="C319" s="37">
        <f>C320</f>
        <v>711833</v>
      </c>
      <c r="D319" s="37">
        <f>D320</f>
        <v>445341</v>
      </c>
      <c r="E319" s="37">
        <f>E320</f>
        <v>49160</v>
      </c>
      <c r="F319" s="38">
        <f t="shared" si="68"/>
        <v>0</v>
      </c>
      <c r="G319" s="37"/>
      <c r="H319" s="37"/>
      <c r="I319" s="37"/>
      <c r="J319" s="37"/>
      <c r="K319" s="37"/>
      <c r="L319" s="37"/>
      <c r="M319" s="59">
        <f t="shared" si="59"/>
        <v>711833</v>
      </c>
      <c r="N319" s="57"/>
      <c r="O319" s="63"/>
    </row>
    <row r="320" spans="1:15" ht="12.75">
      <c r="A320" s="40" t="s">
        <v>21</v>
      </c>
      <c r="B320" s="62" t="s">
        <v>22</v>
      </c>
      <c r="C320" s="38">
        <f>672405+6590+12643+8140+2200+9855</f>
        <v>711833</v>
      </c>
      <c r="D320" s="38">
        <f>430305+9276+5760</f>
        <v>445341</v>
      </c>
      <c r="E320" s="38">
        <f>41160+8000</f>
        <v>49160</v>
      </c>
      <c r="F320" s="38">
        <f t="shared" si="68"/>
        <v>0</v>
      </c>
      <c r="G320" s="38"/>
      <c r="H320" s="38"/>
      <c r="I320" s="38"/>
      <c r="J320" s="38"/>
      <c r="K320" s="38"/>
      <c r="L320" s="38"/>
      <c r="M320" s="59">
        <f t="shared" si="59"/>
        <v>711833</v>
      </c>
      <c r="N320" s="57"/>
      <c r="O320" s="63"/>
    </row>
    <row r="321" spans="1:15" ht="12.75">
      <c r="A321" s="40" t="s">
        <v>157</v>
      </c>
      <c r="B321" s="64" t="s">
        <v>161</v>
      </c>
      <c r="C321" s="38"/>
      <c r="D321" s="38"/>
      <c r="E321" s="38"/>
      <c r="F321" s="38">
        <f t="shared" si="68"/>
        <v>45423676</v>
      </c>
      <c r="G321" s="38">
        <f>G322+G323</f>
        <v>710513</v>
      </c>
      <c r="H321" s="38">
        <f>H322+H323</f>
        <v>0</v>
      </c>
      <c r="I321" s="38">
        <f>I322+I323</f>
        <v>0</v>
      </c>
      <c r="J321" s="38">
        <f>J322+J323</f>
        <v>44713163</v>
      </c>
      <c r="K321" s="38">
        <f>K322+K323</f>
        <v>0</v>
      </c>
      <c r="L321" s="38"/>
      <c r="M321" s="59">
        <f t="shared" si="59"/>
        <v>45423676</v>
      </c>
      <c r="N321" s="57"/>
      <c r="O321" s="63"/>
    </row>
    <row r="322" spans="1:15" ht="25.5">
      <c r="A322" s="40" t="s">
        <v>120</v>
      </c>
      <c r="B322" s="64" t="s">
        <v>136</v>
      </c>
      <c r="C322" s="38"/>
      <c r="D322" s="38"/>
      <c r="E322" s="38"/>
      <c r="F322" s="38">
        <f t="shared" si="68"/>
        <v>45423676</v>
      </c>
      <c r="G322" s="38">
        <f>306000+380493+6000+18020</f>
        <v>710513</v>
      </c>
      <c r="H322" s="38"/>
      <c r="I322" s="38"/>
      <c r="J322" s="38">
        <f>22443500+14853684-1+4000000-6000-18020+3500000-60000</f>
        <v>44713163</v>
      </c>
      <c r="K322" s="38"/>
      <c r="L322" s="38"/>
      <c r="M322" s="59">
        <f t="shared" si="59"/>
        <v>45423676</v>
      </c>
      <c r="N322" s="57"/>
      <c r="O322" s="63"/>
    </row>
    <row r="323" spans="1:15" ht="25.5" hidden="1">
      <c r="A323" s="40" t="s">
        <v>59</v>
      </c>
      <c r="B323" s="64" t="s">
        <v>116</v>
      </c>
      <c r="C323" s="38"/>
      <c r="D323" s="38"/>
      <c r="E323" s="38"/>
      <c r="F323" s="38">
        <f t="shared" si="68"/>
        <v>0</v>
      </c>
      <c r="G323" s="38"/>
      <c r="H323" s="38"/>
      <c r="I323" s="38"/>
      <c r="J323" s="38"/>
      <c r="K323" s="38"/>
      <c r="L323" s="38"/>
      <c r="M323" s="59">
        <f t="shared" si="59"/>
        <v>0</v>
      </c>
      <c r="N323" s="57"/>
      <c r="O323" s="63"/>
    </row>
    <row r="324" spans="1:15" s="58" customFormat="1" ht="25.5">
      <c r="A324" s="84" t="s">
        <v>159</v>
      </c>
      <c r="B324" s="83" t="s">
        <v>160</v>
      </c>
      <c r="C324" s="38">
        <f>C325</f>
        <v>16733</v>
      </c>
      <c r="D324" s="38"/>
      <c r="E324" s="38"/>
      <c r="F324" s="38">
        <f t="shared" si="68"/>
        <v>0</v>
      </c>
      <c r="G324" s="38"/>
      <c r="H324" s="38"/>
      <c r="I324" s="38"/>
      <c r="J324" s="38"/>
      <c r="K324" s="38"/>
      <c r="L324" s="38"/>
      <c r="M324" s="59">
        <f t="shared" si="59"/>
        <v>16733</v>
      </c>
      <c r="N324" s="57"/>
      <c r="O324" s="57"/>
    </row>
    <row r="325" spans="1:15" s="61" customFormat="1" ht="12.75">
      <c r="A325" s="84" t="s">
        <v>60</v>
      </c>
      <c r="B325" s="78" t="s">
        <v>98</v>
      </c>
      <c r="C325" s="38">
        <f>C326</f>
        <v>16733</v>
      </c>
      <c r="D325" s="38"/>
      <c r="E325" s="38"/>
      <c r="F325" s="38">
        <f t="shared" si="68"/>
        <v>0</v>
      </c>
      <c r="G325" s="38"/>
      <c r="H325" s="38"/>
      <c r="I325" s="38"/>
      <c r="J325" s="38"/>
      <c r="K325" s="38"/>
      <c r="L325" s="38"/>
      <c r="M325" s="59">
        <f t="shared" si="59"/>
        <v>16733</v>
      </c>
      <c r="N325" s="57"/>
      <c r="O325" s="60"/>
    </row>
    <row r="326" spans="1:15" ht="27.75" customHeight="1" hidden="1">
      <c r="A326" s="40"/>
      <c r="B326" s="78" t="s">
        <v>368</v>
      </c>
      <c r="C326" s="38">
        <v>16733</v>
      </c>
      <c r="D326" s="38"/>
      <c r="E326" s="38"/>
      <c r="F326" s="38">
        <f t="shared" si="68"/>
        <v>0</v>
      </c>
      <c r="G326" s="38"/>
      <c r="H326" s="38"/>
      <c r="I326" s="38"/>
      <c r="J326" s="38"/>
      <c r="K326" s="38"/>
      <c r="L326" s="38"/>
      <c r="M326" s="59">
        <f t="shared" si="59"/>
        <v>16733</v>
      </c>
      <c r="N326" s="57"/>
      <c r="O326" s="63"/>
    </row>
    <row r="327" spans="1:15" ht="27.75" customHeight="1" hidden="1">
      <c r="A327" s="40"/>
      <c r="B327" s="78"/>
      <c r="C327" s="38"/>
      <c r="D327" s="38"/>
      <c r="E327" s="38"/>
      <c r="F327" s="38">
        <f t="shared" si="68"/>
        <v>0</v>
      </c>
      <c r="G327" s="38"/>
      <c r="H327" s="38"/>
      <c r="I327" s="38"/>
      <c r="J327" s="38"/>
      <c r="K327" s="38"/>
      <c r="L327" s="38"/>
      <c r="M327" s="59">
        <f t="shared" si="59"/>
        <v>0</v>
      </c>
      <c r="N327" s="57"/>
      <c r="O327" s="63"/>
    </row>
    <row r="328" spans="1:15" ht="41.25" customHeight="1">
      <c r="A328" s="111" t="s">
        <v>330</v>
      </c>
      <c r="B328" s="123" t="s">
        <v>276</v>
      </c>
      <c r="C328" s="55">
        <f>C329+C334+C331+C339</f>
        <v>16721907</v>
      </c>
      <c r="D328" s="55">
        <f>D329+D334+D331</f>
        <v>571165</v>
      </c>
      <c r="E328" s="55">
        <f>E329+E334+E331</f>
        <v>13120</v>
      </c>
      <c r="F328" s="55">
        <f>F329+F334+F331+F336</f>
        <v>3736646</v>
      </c>
      <c r="G328" s="55">
        <f aca="true" t="shared" si="69" ref="G328:L328">G329+G334+G331+G336</f>
        <v>0</v>
      </c>
      <c r="H328" s="55">
        <f t="shared" si="69"/>
        <v>0</v>
      </c>
      <c r="I328" s="55">
        <f t="shared" si="69"/>
        <v>0</v>
      </c>
      <c r="J328" s="55">
        <f t="shared" si="69"/>
        <v>3736646</v>
      </c>
      <c r="K328" s="55">
        <f t="shared" si="69"/>
        <v>3736646</v>
      </c>
      <c r="L328" s="55">
        <f t="shared" si="69"/>
        <v>261218</v>
      </c>
      <c r="M328" s="55">
        <f>M329+M334+M331+M336+M339</f>
        <v>20458553</v>
      </c>
      <c r="N328" s="57"/>
      <c r="O328" s="63"/>
    </row>
    <row r="329" spans="1:15" ht="12.75">
      <c r="A329" s="40" t="s">
        <v>150</v>
      </c>
      <c r="B329" s="62" t="s">
        <v>151</v>
      </c>
      <c r="C329" s="38">
        <f aca="true" t="shared" si="70" ref="C329:M329">C330</f>
        <v>867175</v>
      </c>
      <c r="D329" s="38">
        <f t="shared" si="70"/>
        <v>571165</v>
      </c>
      <c r="E329" s="38">
        <f t="shared" si="70"/>
        <v>13120</v>
      </c>
      <c r="F329" s="38">
        <f t="shared" si="70"/>
        <v>0</v>
      </c>
      <c r="G329" s="38">
        <f t="shared" si="70"/>
        <v>0</v>
      </c>
      <c r="H329" s="38">
        <f t="shared" si="70"/>
        <v>0</v>
      </c>
      <c r="I329" s="38">
        <f t="shared" si="70"/>
        <v>0</v>
      </c>
      <c r="J329" s="38">
        <f t="shared" si="70"/>
        <v>0</v>
      </c>
      <c r="K329" s="38">
        <f t="shared" si="70"/>
        <v>0</v>
      </c>
      <c r="L329" s="38"/>
      <c r="M329" s="38">
        <f t="shared" si="70"/>
        <v>867175</v>
      </c>
      <c r="N329" s="57"/>
      <c r="O329" s="63"/>
    </row>
    <row r="330" spans="1:15" ht="12.75">
      <c r="A330" s="40" t="s">
        <v>21</v>
      </c>
      <c r="B330" s="62" t="s">
        <v>22</v>
      </c>
      <c r="C330" s="38">
        <f>776920+13757+19574+56924</f>
        <v>867175</v>
      </c>
      <c r="D330" s="38">
        <f>515040+14361+41764</f>
        <v>571165</v>
      </c>
      <c r="E330" s="38">
        <v>13120</v>
      </c>
      <c r="F330" s="38">
        <f aca="true" t="shared" si="71" ref="F330:F337">G330+J330</f>
        <v>0</v>
      </c>
      <c r="G330" s="38"/>
      <c r="H330" s="38"/>
      <c r="I330" s="38"/>
      <c r="J330" s="38"/>
      <c r="K330" s="38"/>
      <c r="L330" s="38"/>
      <c r="M330" s="59">
        <f aca="true" t="shared" si="72" ref="M330:M374">C330+F330</f>
        <v>867175</v>
      </c>
      <c r="N330" s="57"/>
      <c r="O330" s="63"/>
    </row>
    <row r="331" spans="1:15" ht="12.75">
      <c r="A331" s="84" t="s">
        <v>152</v>
      </c>
      <c r="B331" s="36" t="s">
        <v>153</v>
      </c>
      <c r="C331" s="38">
        <f>C332</f>
        <v>2550524</v>
      </c>
      <c r="D331" s="38">
        <f aca="true" t="shared" si="73" ref="D331:L331">D332</f>
        <v>0</v>
      </c>
      <c r="E331" s="38">
        <f t="shared" si="73"/>
        <v>0</v>
      </c>
      <c r="F331" s="38">
        <f t="shared" si="71"/>
        <v>261218</v>
      </c>
      <c r="G331" s="38">
        <f t="shared" si="73"/>
        <v>0</v>
      </c>
      <c r="H331" s="38">
        <f t="shared" si="73"/>
        <v>0</v>
      </c>
      <c r="I331" s="38">
        <f t="shared" si="73"/>
        <v>0</v>
      </c>
      <c r="J331" s="38">
        <f t="shared" si="73"/>
        <v>261218</v>
      </c>
      <c r="K331" s="38">
        <f t="shared" si="73"/>
        <v>261218</v>
      </c>
      <c r="L331" s="38">
        <f t="shared" si="73"/>
        <v>261218</v>
      </c>
      <c r="M331" s="59">
        <f t="shared" si="72"/>
        <v>2811742</v>
      </c>
      <c r="N331" s="57"/>
      <c r="O331" s="63"/>
    </row>
    <row r="332" spans="1:15" ht="12.75">
      <c r="A332" s="84" t="s">
        <v>180</v>
      </c>
      <c r="B332" s="85" t="s">
        <v>181</v>
      </c>
      <c r="C332" s="86">
        <f>2700000+99871-162318-87029</f>
        <v>2550524</v>
      </c>
      <c r="D332" s="38"/>
      <c r="E332" s="38"/>
      <c r="F332" s="38">
        <f t="shared" si="71"/>
        <v>261218</v>
      </c>
      <c r="G332" s="38"/>
      <c r="H332" s="38"/>
      <c r="I332" s="38"/>
      <c r="J332" s="38">
        <f>K332</f>
        <v>261218</v>
      </c>
      <c r="K332" s="38">
        <f>L332</f>
        <v>261218</v>
      </c>
      <c r="L332" s="38">
        <f>98900+162318</f>
        <v>261218</v>
      </c>
      <c r="M332" s="59">
        <f t="shared" si="72"/>
        <v>2811742</v>
      </c>
      <c r="N332" s="57"/>
      <c r="O332" s="63"/>
    </row>
    <row r="333" spans="1:15" ht="21" customHeight="1" hidden="1">
      <c r="A333" s="40" t="s">
        <v>121</v>
      </c>
      <c r="B333" s="36" t="s">
        <v>122</v>
      </c>
      <c r="C333" s="38"/>
      <c r="D333" s="38"/>
      <c r="E333" s="38"/>
      <c r="F333" s="38">
        <f t="shared" si="71"/>
        <v>0</v>
      </c>
      <c r="G333" s="38"/>
      <c r="H333" s="38"/>
      <c r="I333" s="38"/>
      <c r="J333" s="38"/>
      <c r="K333" s="38"/>
      <c r="L333" s="38"/>
      <c r="M333" s="59">
        <f t="shared" si="72"/>
        <v>0</v>
      </c>
      <c r="N333" s="57"/>
      <c r="O333" s="63"/>
    </row>
    <row r="334" spans="1:15" ht="38.25">
      <c r="A334" s="40" t="s">
        <v>155</v>
      </c>
      <c r="B334" s="36" t="s">
        <v>156</v>
      </c>
      <c r="C334" s="38">
        <f>C335</f>
        <v>12955000</v>
      </c>
      <c r="D334" s="38">
        <f>D335</f>
        <v>0</v>
      </c>
      <c r="E334" s="38">
        <f>E335</f>
        <v>0</v>
      </c>
      <c r="F334" s="38">
        <f t="shared" si="71"/>
        <v>0</v>
      </c>
      <c r="G334" s="38"/>
      <c r="H334" s="38"/>
      <c r="I334" s="38"/>
      <c r="J334" s="38"/>
      <c r="K334" s="38"/>
      <c r="L334" s="38"/>
      <c r="M334" s="59">
        <f t="shared" si="72"/>
        <v>12955000</v>
      </c>
      <c r="N334" s="57"/>
      <c r="O334" s="63"/>
    </row>
    <row r="335" spans="1:15" ht="25.5">
      <c r="A335" s="40" t="s">
        <v>221</v>
      </c>
      <c r="B335" s="36" t="s">
        <v>234</v>
      </c>
      <c r="C335" s="38">
        <f>5300000+6000000+1655000</f>
        <v>12955000</v>
      </c>
      <c r="D335" s="38"/>
      <c r="E335" s="38"/>
      <c r="F335" s="38">
        <f t="shared" si="71"/>
        <v>0</v>
      </c>
      <c r="G335" s="38"/>
      <c r="H335" s="38"/>
      <c r="I335" s="38"/>
      <c r="J335" s="38"/>
      <c r="K335" s="38"/>
      <c r="L335" s="38"/>
      <c r="M335" s="59">
        <f t="shared" si="72"/>
        <v>12955000</v>
      </c>
      <c r="N335" s="57"/>
      <c r="O335" s="63"/>
    </row>
    <row r="336" spans="1:15" ht="25.5">
      <c r="A336" s="40" t="s">
        <v>165</v>
      </c>
      <c r="B336" s="62" t="s">
        <v>166</v>
      </c>
      <c r="C336" s="38">
        <f>C337</f>
        <v>0</v>
      </c>
      <c r="D336" s="38">
        <f>D337</f>
        <v>0</v>
      </c>
      <c r="E336" s="38">
        <f>E337</f>
        <v>0</v>
      </c>
      <c r="F336" s="38">
        <f t="shared" si="71"/>
        <v>3475428</v>
      </c>
      <c r="G336" s="38">
        <f aca="true" t="shared" si="74" ref="G336:L336">G337</f>
        <v>0</v>
      </c>
      <c r="H336" s="38">
        <f t="shared" si="74"/>
        <v>0</v>
      </c>
      <c r="I336" s="38">
        <f t="shared" si="74"/>
        <v>0</v>
      </c>
      <c r="J336" s="38">
        <f t="shared" si="74"/>
        <v>3475428</v>
      </c>
      <c r="K336" s="38">
        <f t="shared" si="74"/>
        <v>3475428</v>
      </c>
      <c r="L336" s="38">
        <f t="shared" si="74"/>
        <v>0</v>
      </c>
      <c r="M336" s="59">
        <f t="shared" si="72"/>
        <v>3475428</v>
      </c>
      <c r="N336" s="57"/>
      <c r="O336" s="63"/>
    </row>
    <row r="337" spans="1:15" ht="63.75" customHeight="1">
      <c r="A337" s="40" t="s">
        <v>139</v>
      </c>
      <c r="B337" s="78" t="s">
        <v>252</v>
      </c>
      <c r="C337" s="38"/>
      <c r="D337" s="38"/>
      <c r="E337" s="38"/>
      <c r="F337" s="38">
        <f t="shared" si="71"/>
        <v>3475428</v>
      </c>
      <c r="G337" s="38"/>
      <c r="H337" s="38"/>
      <c r="I337" s="38"/>
      <c r="J337" s="38">
        <f>K337</f>
        <v>3475428</v>
      </c>
      <c r="K337" s="38">
        <f>665462-115928+2925894</f>
        <v>3475428</v>
      </c>
      <c r="L337" s="38"/>
      <c r="M337" s="59">
        <f t="shared" si="72"/>
        <v>3475428</v>
      </c>
      <c r="N337" s="57"/>
      <c r="O337" s="63"/>
    </row>
    <row r="338" spans="1:15" ht="25.5" customHeight="1">
      <c r="A338" s="40" t="s">
        <v>159</v>
      </c>
      <c r="B338" s="64" t="s">
        <v>160</v>
      </c>
      <c r="C338" s="38">
        <f>C339</f>
        <v>349208</v>
      </c>
      <c r="D338" s="38">
        <f aca="true" t="shared" si="75" ref="D338:M338">D339</f>
        <v>0</v>
      </c>
      <c r="E338" s="38">
        <f t="shared" si="75"/>
        <v>0</v>
      </c>
      <c r="F338" s="38">
        <f t="shared" si="75"/>
        <v>0</v>
      </c>
      <c r="G338" s="38">
        <f t="shared" si="75"/>
        <v>0</v>
      </c>
      <c r="H338" s="38">
        <f t="shared" si="75"/>
        <v>0</v>
      </c>
      <c r="I338" s="38">
        <f t="shared" si="75"/>
        <v>0</v>
      </c>
      <c r="J338" s="38">
        <f t="shared" si="75"/>
        <v>0</v>
      </c>
      <c r="K338" s="38">
        <f t="shared" si="75"/>
        <v>0</v>
      </c>
      <c r="L338" s="38">
        <f t="shared" si="75"/>
        <v>0</v>
      </c>
      <c r="M338" s="38">
        <f t="shared" si="75"/>
        <v>349208</v>
      </c>
      <c r="N338" s="57"/>
      <c r="O338" s="63"/>
    </row>
    <row r="339" spans="1:15" ht="15" customHeight="1">
      <c r="A339" s="84" t="s">
        <v>60</v>
      </c>
      <c r="B339" s="78" t="s">
        <v>98</v>
      </c>
      <c r="C339" s="38">
        <f>C341+C340</f>
        <v>349208</v>
      </c>
      <c r="D339" s="38"/>
      <c r="E339" s="38"/>
      <c r="F339" s="38"/>
      <c r="G339" s="38"/>
      <c r="H339" s="38"/>
      <c r="I339" s="38"/>
      <c r="J339" s="38"/>
      <c r="K339" s="38"/>
      <c r="L339" s="38"/>
      <c r="M339" s="59">
        <f t="shared" si="72"/>
        <v>349208</v>
      </c>
      <c r="N339" s="57"/>
      <c r="O339" s="63"/>
    </row>
    <row r="340" spans="1:15" ht="38.25" hidden="1">
      <c r="A340" s="84"/>
      <c r="B340" s="83" t="s">
        <v>348</v>
      </c>
      <c r="C340" s="38">
        <f>1655000-1655000</f>
        <v>0</v>
      </c>
      <c r="D340" s="38"/>
      <c r="E340" s="38"/>
      <c r="F340" s="38"/>
      <c r="G340" s="38"/>
      <c r="H340" s="38"/>
      <c r="I340" s="38"/>
      <c r="J340" s="38"/>
      <c r="K340" s="38"/>
      <c r="L340" s="38"/>
      <c r="M340" s="59">
        <f t="shared" si="72"/>
        <v>0</v>
      </c>
      <c r="N340" s="57"/>
      <c r="O340" s="63"/>
    </row>
    <row r="341" spans="1:15" ht="38.25" hidden="1">
      <c r="A341" s="84"/>
      <c r="B341" s="78" t="s">
        <v>349</v>
      </c>
      <c r="C341" s="38">
        <f>233280+115928</f>
        <v>349208</v>
      </c>
      <c r="D341" s="38"/>
      <c r="E341" s="38"/>
      <c r="F341" s="38"/>
      <c r="G341" s="38"/>
      <c r="H341" s="38"/>
      <c r="I341" s="38"/>
      <c r="J341" s="38"/>
      <c r="K341" s="38"/>
      <c r="L341" s="38"/>
      <c r="M341" s="59">
        <f t="shared" si="72"/>
        <v>349208</v>
      </c>
      <c r="N341" s="57"/>
      <c r="O341" s="63"/>
    </row>
    <row r="342" spans="1:15" ht="51">
      <c r="A342" s="111" t="s">
        <v>324</v>
      </c>
      <c r="B342" s="110" t="s">
        <v>273</v>
      </c>
      <c r="C342" s="55">
        <f>C343+C345</f>
        <v>6622902</v>
      </c>
      <c r="D342" s="55">
        <f>D343+D345</f>
        <v>4368762</v>
      </c>
      <c r="E342" s="55">
        <f>E343+E345</f>
        <v>113843</v>
      </c>
      <c r="F342" s="55">
        <f>F344+F345+F189</f>
        <v>6457575</v>
      </c>
      <c r="G342" s="55">
        <f aca="true" t="shared" si="76" ref="G342:L342">G343+G345</f>
        <v>99175</v>
      </c>
      <c r="H342" s="55">
        <f t="shared" si="76"/>
        <v>36824</v>
      </c>
      <c r="I342" s="55">
        <f t="shared" si="76"/>
        <v>0</v>
      </c>
      <c r="J342" s="55">
        <f t="shared" si="76"/>
        <v>6358400</v>
      </c>
      <c r="K342" s="55">
        <f t="shared" si="76"/>
        <v>6350000</v>
      </c>
      <c r="L342" s="55">
        <f t="shared" si="76"/>
        <v>0</v>
      </c>
      <c r="M342" s="56">
        <f t="shared" si="72"/>
        <v>13080477</v>
      </c>
      <c r="N342" s="57"/>
      <c r="O342" s="63"/>
    </row>
    <row r="343" spans="1:15" ht="12.75">
      <c r="A343" s="43" t="s">
        <v>150</v>
      </c>
      <c r="B343" s="44" t="s">
        <v>151</v>
      </c>
      <c r="C343" s="37">
        <f>C344</f>
        <v>1587356</v>
      </c>
      <c r="D343" s="37">
        <f>D344</f>
        <v>1077313</v>
      </c>
      <c r="E343" s="37">
        <f>E344</f>
        <v>58095</v>
      </c>
      <c r="F343" s="38">
        <f aca="true" t="shared" si="77" ref="F343:F365">G343+J343</f>
        <v>0</v>
      </c>
      <c r="G343" s="37"/>
      <c r="H343" s="37"/>
      <c r="I343" s="37"/>
      <c r="J343" s="37"/>
      <c r="K343" s="37"/>
      <c r="L343" s="37"/>
      <c r="M343" s="59">
        <f t="shared" si="72"/>
        <v>1587356</v>
      </c>
      <c r="N343" s="57"/>
      <c r="O343" s="63"/>
    </row>
    <row r="344" spans="1:15" ht="12.75">
      <c r="A344" s="40" t="s">
        <v>21</v>
      </c>
      <c r="B344" s="62" t="s">
        <v>22</v>
      </c>
      <c r="C344" s="38">
        <f>1436360+18000+7203+7142+7787+10000+110070+1524-10730</f>
        <v>1587356</v>
      </c>
      <c r="D344" s="38">
        <f>997290+5240+5713+79800-10730</f>
        <v>1077313</v>
      </c>
      <c r="E344" s="38">
        <f>53595+4500</f>
        <v>58095</v>
      </c>
      <c r="F344" s="38">
        <f t="shared" si="77"/>
        <v>0</v>
      </c>
      <c r="G344" s="38"/>
      <c r="H344" s="38"/>
      <c r="I344" s="38"/>
      <c r="J344" s="38"/>
      <c r="K344" s="38"/>
      <c r="L344" s="38"/>
      <c r="M344" s="59">
        <f t="shared" si="72"/>
        <v>1587356</v>
      </c>
      <c r="N344" s="57"/>
      <c r="O344" s="63"/>
    </row>
    <row r="345" spans="1:15" ht="38.25">
      <c r="A345" s="40">
        <v>210000</v>
      </c>
      <c r="B345" s="64" t="s">
        <v>135</v>
      </c>
      <c r="C345" s="38">
        <f>C346+C349</f>
        <v>5035546</v>
      </c>
      <c r="D345" s="38">
        <f>D346+D349</f>
        <v>3291449</v>
      </c>
      <c r="E345" s="38">
        <f>E346+E349</f>
        <v>55748</v>
      </c>
      <c r="F345" s="38">
        <f t="shared" si="77"/>
        <v>6457575</v>
      </c>
      <c r="G345" s="38">
        <f aca="true" t="shared" si="78" ref="G345:L345">G346+G349</f>
        <v>99175</v>
      </c>
      <c r="H345" s="38">
        <f t="shared" si="78"/>
        <v>36824</v>
      </c>
      <c r="I345" s="38">
        <f t="shared" si="78"/>
        <v>0</v>
      </c>
      <c r="J345" s="38">
        <f t="shared" si="78"/>
        <v>6358400</v>
      </c>
      <c r="K345" s="38">
        <f t="shared" si="78"/>
        <v>6350000</v>
      </c>
      <c r="L345" s="38">
        <f t="shared" si="78"/>
        <v>0</v>
      </c>
      <c r="M345" s="59">
        <f t="shared" si="72"/>
        <v>11493121</v>
      </c>
      <c r="N345" s="57"/>
      <c r="O345" s="63"/>
    </row>
    <row r="346" spans="1:15" s="58" customFormat="1" ht="38.25">
      <c r="A346" s="40" t="s">
        <v>57</v>
      </c>
      <c r="B346" s="83" t="s">
        <v>5</v>
      </c>
      <c r="C346" s="38">
        <f>C347+C348</f>
        <v>2570848</v>
      </c>
      <c r="D346" s="38">
        <f>D347+D348</f>
        <v>1648370</v>
      </c>
      <c r="E346" s="38">
        <f>E347+E348</f>
        <v>9745</v>
      </c>
      <c r="F346" s="38">
        <f t="shared" si="77"/>
        <v>6427688</v>
      </c>
      <c r="G346" s="38">
        <f aca="true" t="shared" si="79" ref="G346:L346">G347+G348</f>
        <v>77688</v>
      </c>
      <c r="H346" s="38">
        <f t="shared" si="79"/>
        <v>28270</v>
      </c>
      <c r="I346" s="38">
        <f t="shared" si="79"/>
        <v>0</v>
      </c>
      <c r="J346" s="38">
        <f t="shared" si="79"/>
        <v>6350000</v>
      </c>
      <c r="K346" s="38">
        <f t="shared" si="79"/>
        <v>6350000</v>
      </c>
      <c r="L346" s="38">
        <f t="shared" si="79"/>
        <v>0</v>
      </c>
      <c r="M346" s="59">
        <f t="shared" si="72"/>
        <v>8998536</v>
      </c>
      <c r="N346" s="57"/>
      <c r="O346" s="57"/>
    </row>
    <row r="347" spans="1:15" s="61" customFormat="1" ht="94.5" customHeight="1">
      <c r="A347" s="40" t="s">
        <v>57</v>
      </c>
      <c r="B347" s="83" t="s">
        <v>307</v>
      </c>
      <c r="C347" s="38">
        <f>184000</f>
        <v>184000</v>
      </c>
      <c r="D347" s="38"/>
      <c r="E347" s="38"/>
      <c r="F347" s="38">
        <f t="shared" si="77"/>
        <v>6350000</v>
      </c>
      <c r="G347" s="38"/>
      <c r="H347" s="38"/>
      <c r="I347" s="38"/>
      <c r="J347" s="38">
        <f>K347</f>
        <v>6350000</v>
      </c>
      <c r="K347" s="38">
        <f>391846+5958154</f>
        <v>6350000</v>
      </c>
      <c r="L347" s="38"/>
      <c r="M347" s="59">
        <f t="shared" si="72"/>
        <v>6534000</v>
      </c>
      <c r="N347" s="57"/>
      <c r="O347" s="60"/>
    </row>
    <row r="348" spans="1:15" ht="81.75" customHeight="1">
      <c r="A348" s="40" t="s">
        <v>57</v>
      </c>
      <c r="B348" s="83" t="s">
        <v>196</v>
      </c>
      <c r="C348" s="38">
        <f>2348700+2308+35840</f>
        <v>2386848</v>
      </c>
      <c r="D348" s="38">
        <f>1625518+22852</f>
        <v>1648370</v>
      </c>
      <c r="E348" s="38">
        <v>9745</v>
      </c>
      <c r="F348" s="38">
        <f t="shared" si="77"/>
        <v>77688</v>
      </c>
      <c r="G348" s="38">
        <f>73638+4050</f>
        <v>77688</v>
      </c>
      <c r="H348" s="38">
        <v>28270</v>
      </c>
      <c r="I348" s="38"/>
      <c r="J348" s="38">
        <f>K348</f>
        <v>0</v>
      </c>
      <c r="K348" s="38">
        <f>2400000-1688154-320000-391846</f>
        <v>0</v>
      </c>
      <c r="L348" s="38"/>
      <c r="M348" s="59">
        <f t="shared" si="72"/>
        <v>2464536</v>
      </c>
      <c r="N348" s="57"/>
      <c r="O348" s="63"/>
    </row>
    <row r="349" spans="1:15" ht="25.5">
      <c r="A349" s="40">
        <v>210110</v>
      </c>
      <c r="B349" s="64" t="s">
        <v>58</v>
      </c>
      <c r="C349" s="38">
        <f>2433550+24980+6168</f>
        <v>2464698</v>
      </c>
      <c r="D349" s="38">
        <v>1643079</v>
      </c>
      <c r="E349" s="38">
        <f>44966+1037</f>
        <v>46003</v>
      </c>
      <c r="F349" s="38">
        <f>G349+J349</f>
        <v>29887</v>
      </c>
      <c r="G349" s="38">
        <v>21487</v>
      </c>
      <c r="H349" s="38">
        <v>8554</v>
      </c>
      <c r="I349" s="38"/>
      <c r="J349" s="38">
        <f>8400</f>
        <v>8400</v>
      </c>
      <c r="K349" s="38"/>
      <c r="L349" s="38"/>
      <c r="M349" s="59">
        <f t="shared" si="72"/>
        <v>2494585</v>
      </c>
      <c r="N349" s="57"/>
      <c r="O349" s="63"/>
    </row>
    <row r="350" spans="1:15" ht="25.5">
      <c r="A350" s="111" t="s">
        <v>336</v>
      </c>
      <c r="B350" s="123" t="s">
        <v>296</v>
      </c>
      <c r="C350" s="55">
        <f>C351+C353+C356+C364</f>
        <v>1833005</v>
      </c>
      <c r="D350" s="55">
        <f>D351+D353+D356+D364</f>
        <v>1208257</v>
      </c>
      <c r="E350" s="55">
        <f>E351+E353+E356+E364</f>
        <v>0</v>
      </c>
      <c r="F350" s="55">
        <f t="shared" si="77"/>
        <v>19454342</v>
      </c>
      <c r="G350" s="55">
        <f aca="true" t="shared" si="80" ref="G350:L350">G351+G353+G356+G364</f>
        <v>10396420</v>
      </c>
      <c r="H350" s="55">
        <f t="shared" si="80"/>
        <v>0</v>
      </c>
      <c r="I350" s="55">
        <f t="shared" si="80"/>
        <v>0</v>
      </c>
      <c r="J350" s="55">
        <f t="shared" si="80"/>
        <v>9057922</v>
      </c>
      <c r="K350" s="55">
        <f t="shared" si="80"/>
        <v>9057922</v>
      </c>
      <c r="L350" s="55">
        <f t="shared" si="80"/>
        <v>6500</v>
      </c>
      <c r="M350" s="56">
        <f t="shared" si="72"/>
        <v>21287347</v>
      </c>
      <c r="N350" s="57"/>
      <c r="O350" s="63"/>
    </row>
    <row r="351" spans="1:15" ht="12.75">
      <c r="A351" s="43" t="s">
        <v>150</v>
      </c>
      <c r="B351" s="44" t="s">
        <v>151</v>
      </c>
      <c r="C351" s="37">
        <f>C352</f>
        <v>1768625</v>
      </c>
      <c r="D351" s="37">
        <f>D352</f>
        <v>1208257</v>
      </c>
      <c r="E351" s="37">
        <f>E352</f>
        <v>0</v>
      </c>
      <c r="F351" s="38">
        <f t="shared" si="77"/>
        <v>13500</v>
      </c>
      <c r="G351" s="37">
        <f aca="true" t="shared" si="81" ref="G351:L351">G352</f>
        <v>0</v>
      </c>
      <c r="H351" s="37">
        <f t="shared" si="81"/>
        <v>0</v>
      </c>
      <c r="I351" s="37">
        <f t="shared" si="81"/>
        <v>0</v>
      </c>
      <c r="J351" s="37">
        <f t="shared" si="81"/>
        <v>13500</v>
      </c>
      <c r="K351" s="37">
        <f t="shared" si="81"/>
        <v>13500</v>
      </c>
      <c r="L351" s="37">
        <f t="shared" si="81"/>
        <v>6500</v>
      </c>
      <c r="M351" s="59">
        <f t="shared" si="72"/>
        <v>1782125</v>
      </c>
      <c r="N351" s="57"/>
      <c r="O351" s="63"/>
    </row>
    <row r="352" spans="1:15" ht="12.75">
      <c r="A352" s="40" t="s">
        <v>21</v>
      </c>
      <c r="B352" s="62" t="s">
        <v>22</v>
      </c>
      <c r="C352" s="38">
        <f>1467638+50145+48581+8920+13788+92495+66058+21000</f>
        <v>1768625</v>
      </c>
      <c r="D352" s="38">
        <f>1015490+23093+35643+10116+63035+32980+27900</f>
        <v>1208257</v>
      </c>
      <c r="E352" s="37"/>
      <c r="F352" s="38">
        <f t="shared" si="77"/>
        <v>13500</v>
      </c>
      <c r="G352" s="38"/>
      <c r="H352" s="38"/>
      <c r="I352" s="38"/>
      <c r="J352" s="38">
        <f>K352</f>
        <v>13500</v>
      </c>
      <c r="K352" s="38">
        <f>L352+7000</f>
        <v>13500</v>
      </c>
      <c r="L352" s="38">
        <v>6500</v>
      </c>
      <c r="M352" s="59">
        <f t="shared" si="72"/>
        <v>1782125</v>
      </c>
      <c r="N352" s="57"/>
      <c r="O352" s="63"/>
    </row>
    <row r="353" spans="1:15" ht="12.75">
      <c r="A353" s="84" t="s">
        <v>162</v>
      </c>
      <c r="B353" s="36" t="s">
        <v>164</v>
      </c>
      <c r="C353" s="38">
        <f>C354</f>
        <v>0</v>
      </c>
      <c r="D353" s="38">
        <f>D354</f>
        <v>0</v>
      </c>
      <c r="E353" s="38">
        <f>E354</f>
        <v>0</v>
      </c>
      <c r="F353" s="38">
        <f t="shared" si="77"/>
        <v>10396420</v>
      </c>
      <c r="G353" s="38">
        <f aca="true" t="shared" si="82" ref="G353:L353">G354</f>
        <v>10396420</v>
      </c>
      <c r="H353" s="38">
        <f t="shared" si="82"/>
        <v>0</v>
      </c>
      <c r="I353" s="38">
        <f t="shared" si="82"/>
        <v>0</v>
      </c>
      <c r="J353" s="38">
        <f t="shared" si="82"/>
        <v>0</v>
      </c>
      <c r="K353" s="38">
        <f t="shared" si="82"/>
        <v>0</v>
      </c>
      <c r="L353" s="38">
        <f t="shared" si="82"/>
        <v>0</v>
      </c>
      <c r="M353" s="59">
        <f t="shared" si="72"/>
        <v>10396420</v>
      </c>
      <c r="N353" s="57"/>
      <c r="O353" s="63"/>
    </row>
    <row r="354" spans="1:15" ht="178.5">
      <c r="A354" s="84" t="s">
        <v>305</v>
      </c>
      <c r="B354" s="85" t="s">
        <v>363</v>
      </c>
      <c r="C354" s="38"/>
      <c r="D354" s="38"/>
      <c r="E354" s="38"/>
      <c r="F354" s="38">
        <f t="shared" si="77"/>
        <v>10396420</v>
      </c>
      <c r="G354" s="38">
        <f>4745500+6000000-349080</f>
        <v>10396420</v>
      </c>
      <c r="H354" s="38"/>
      <c r="I354" s="38"/>
      <c r="J354" s="38"/>
      <c r="K354" s="38"/>
      <c r="L354" s="38"/>
      <c r="M354" s="59">
        <f t="shared" si="72"/>
        <v>10396420</v>
      </c>
      <c r="N354" s="57"/>
      <c r="O354" s="63"/>
    </row>
    <row r="355" spans="1:15" ht="236.25" customHeight="1">
      <c r="A355" s="40"/>
      <c r="B355" s="85" t="s">
        <v>364</v>
      </c>
      <c r="C355" s="38">
        <f>C354</f>
        <v>0</v>
      </c>
      <c r="D355" s="38">
        <f>D354</f>
        <v>0</v>
      </c>
      <c r="E355" s="38">
        <f>E354</f>
        <v>0</v>
      </c>
      <c r="F355" s="38">
        <f t="shared" si="77"/>
        <v>10396420</v>
      </c>
      <c r="G355" s="38">
        <f aca="true" t="shared" si="83" ref="G355:L355">G354</f>
        <v>10396420</v>
      </c>
      <c r="H355" s="38">
        <f t="shared" si="83"/>
        <v>0</v>
      </c>
      <c r="I355" s="38">
        <f t="shared" si="83"/>
        <v>0</v>
      </c>
      <c r="J355" s="38">
        <f t="shared" si="83"/>
        <v>0</v>
      </c>
      <c r="K355" s="38">
        <f t="shared" si="83"/>
        <v>0</v>
      </c>
      <c r="L355" s="38">
        <f t="shared" si="83"/>
        <v>0</v>
      </c>
      <c r="M355" s="59">
        <f t="shared" si="72"/>
        <v>10396420</v>
      </c>
      <c r="N355" s="57"/>
      <c r="O355" s="63"/>
    </row>
    <row r="356" spans="1:15" ht="12.75">
      <c r="A356" s="40" t="s">
        <v>154</v>
      </c>
      <c r="B356" s="62" t="s">
        <v>55</v>
      </c>
      <c r="C356" s="38">
        <f>C357+C362</f>
        <v>0</v>
      </c>
      <c r="D356" s="38">
        <f>D357+D362</f>
        <v>0</v>
      </c>
      <c r="E356" s="38">
        <f>E357+E362</f>
        <v>0</v>
      </c>
      <c r="F356" s="38">
        <f t="shared" si="77"/>
        <v>9044422</v>
      </c>
      <c r="G356" s="38">
        <f aca="true" t="shared" si="84" ref="G356:L356">G357+G362</f>
        <v>0</v>
      </c>
      <c r="H356" s="38">
        <f t="shared" si="84"/>
        <v>0</v>
      </c>
      <c r="I356" s="38">
        <f t="shared" si="84"/>
        <v>0</v>
      </c>
      <c r="J356" s="38">
        <f t="shared" si="84"/>
        <v>9044422</v>
      </c>
      <c r="K356" s="38">
        <f t="shared" si="84"/>
        <v>9044422</v>
      </c>
      <c r="L356" s="38">
        <f t="shared" si="84"/>
        <v>0</v>
      </c>
      <c r="M356" s="59">
        <f t="shared" si="72"/>
        <v>9044422</v>
      </c>
      <c r="N356" s="57"/>
      <c r="O356" s="63"/>
    </row>
    <row r="357" spans="1:15" ht="13.5" customHeight="1">
      <c r="A357" s="40" t="s">
        <v>121</v>
      </c>
      <c r="B357" s="36" t="s">
        <v>122</v>
      </c>
      <c r="C357" s="38"/>
      <c r="D357" s="38"/>
      <c r="E357" s="38"/>
      <c r="F357" s="38">
        <f t="shared" si="77"/>
        <v>6160662</v>
      </c>
      <c r="G357" s="38"/>
      <c r="H357" s="38"/>
      <c r="I357" s="38"/>
      <c r="J357" s="38">
        <f>K357</f>
        <v>6160662</v>
      </c>
      <c r="K357" s="38">
        <f>118000000-118000000+25599428-1-78400-6390483-55046-180000+290000+5157404-3782-194410+117000+126000-13590-95000-1562490-50970-4602770-4599933-1089214-34759-299843+2000-733147-5322869-300000-150000+3589800-1024691-800000-412776-654086-11885-60825</f>
        <v>6160662</v>
      </c>
      <c r="L357" s="38">
        <f>12000000-4599933-1089214-34759-299843+2000+98000-733147-3940000-867383-300000-150000-85721</f>
        <v>0</v>
      </c>
      <c r="M357" s="59">
        <f t="shared" si="72"/>
        <v>6160662</v>
      </c>
      <c r="N357" s="57"/>
      <c r="O357" s="63"/>
    </row>
    <row r="358" spans="1:15" ht="45" customHeight="1" hidden="1">
      <c r="A358" s="40"/>
      <c r="B358" s="105" t="s">
        <v>262</v>
      </c>
      <c r="C358" s="38"/>
      <c r="D358" s="38"/>
      <c r="E358" s="38"/>
      <c r="F358" s="38">
        <f t="shared" si="77"/>
        <v>0</v>
      </c>
      <c r="G358" s="38"/>
      <c r="H358" s="38"/>
      <c r="I358" s="38"/>
      <c r="J358" s="38"/>
      <c r="K358" s="38">
        <f>J358</f>
        <v>0</v>
      </c>
      <c r="L358" s="38"/>
      <c r="M358" s="59">
        <f t="shared" si="72"/>
        <v>0</v>
      </c>
      <c r="N358" s="57"/>
      <c r="O358" s="63"/>
    </row>
    <row r="359" spans="1:15" ht="204" hidden="1">
      <c r="A359" s="40" t="s">
        <v>217</v>
      </c>
      <c r="B359" s="78" t="s">
        <v>198</v>
      </c>
      <c r="C359" s="38"/>
      <c r="D359" s="38"/>
      <c r="E359" s="38"/>
      <c r="F359" s="38">
        <f t="shared" si="77"/>
        <v>0</v>
      </c>
      <c r="G359" s="38"/>
      <c r="H359" s="38"/>
      <c r="I359" s="38"/>
      <c r="J359" s="38"/>
      <c r="K359" s="38"/>
      <c r="L359" s="38"/>
      <c r="M359" s="59">
        <f t="shared" si="72"/>
        <v>0</v>
      </c>
      <c r="N359" s="57"/>
      <c r="O359" s="63"/>
    </row>
    <row r="360" spans="1:15" ht="25.5" hidden="1">
      <c r="A360" s="40"/>
      <c r="B360" s="36" t="s">
        <v>170</v>
      </c>
      <c r="C360" s="38"/>
      <c r="D360" s="38"/>
      <c r="E360" s="38"/>
      <c r="F360" s="38">
        <f t="shared" si="77"/>
        <v>0</v>
      </c>
      <c r="G360" s="38"/>
      <c r="H360" s="38"/>
      <c r="I360" s="38"/>
      <c r="J360" s="38"/>
      <c r="K360" s="38">
        <f>J360</f>
        <v>0</v>
      </c>
      <c r="L360" s="38"/>
      <c r="M360" s="59">
        <f t="shared" si="72"/>
        <v>0</v>
      </c>
      <c r="N360" s="57"/>
      <c r="O360" s="63"/>
    </row>
    <row r="361" spans="1:15" ht="51" hidden="1">
      <c r="A361" s="40"/>
      <c r="B361" s="85" t="s">
        <v>304</v>
      </c>
      <c r="C361" s="38"/>
      <c r="D361" s="38"/>
      <c r="E361" s="38"/>
      <c r="F361" s="38">
        <f t="shared" si="77"/>
        <v>0</v>
      </c>
      <c r="G361" s="38"/>
      <c r="H361" s="38"/>
      <c r="I361" s="38"/>
      <c r="J361" s="38"/>
      <c r="K361" s="38">
        <f>J361</f>
        <v>0</v>
      </c>
      <c r="L361" s="38">
        <f>K361</f>
        <v>0</v>
      </c>
      <c r="M361" s="59">
        <f t="shared" si="72"/>
        <v>0</v>
      </c>
      <c r="N361" s="57"/>
      <c r="O361" s="63"/>
    </row>
    <row r="362" spans="1:15" ht="80.25" customHeight="1">
      <c r="A362" s="40" t="s">
        <v>137</v>
      </c>
      <c r="B362" s="62" t="s">
        <v>138</v>
      </c>
      <c r="C362" s="38"/>
      <c r="D362" s="38"/>
      <c r="E362" s="38"/>
      <c r="F362" s="38">
        <f t="shared" si="77"/>
        <v>2883760</v>
      </c>
      <c r="G362" s="38"/>
      <c r="H362" s="38"/>
      <c r="I362" s="38"/>
      <c r="J362" s="38">
        <f>K362</f>
        <v>2883760</v>
      </c>
      <c r="K362" s="38">
        <v>2883760</v>
      </c>
      <c r="L362" s="38"/>
      <c r="M362" s="59">
        <f t="shared" si="72"/>
        <v>2883760</v>
      </c>
      <c r="N362" s="57"/>
      <c r="O362" s="63"/>
    </row>
    <row r="363" spans="1:15" ht="22.5" customHeight="1">
      <c r="A363" s="40" t="s">
        <v>159</v>
      </c>
      <c r="B363" s="64" t="s">
        <v>160</v>
      </c>
      <c r="C363" s="38">
        <f>C364</f>
        <v>64380</v>
      </c>
      <c r="D363" s="38"/>
      <c r="E363" s="38"/>
      <c r="F363" s="38"/>
      <c r="G363" s="38"/>
      <c r="H363" s="38"/>
      <c r="I363" s="38"/>
      <c r="J363" s="38"/>
      <c r="K363" s="38"/>
      <c r="L363" s="38"/>
      <c r="M363" s="38">
        <f aca="true" t="shared" si="85" ref="D363:M364">M364</f>
        <v>64380</v>
      </c>
      <c r="N363" s="57"/>
      <c r="O363" s="63"/>
    </row>
    <row r="364" spans="1:15" ht="12.75">
      <c r="A364" s="84" t="s">
        <v>60</v>
      </c>
      <c r="B364" s="78" t="s">
        <v>98</v>
      </c>
      <c r="C364" s="38">
        <f>C365</f>
        <v>64380</v>
      </c>
      <c r="D364" s="38">
        <f t="shared" si="85"/>
        <v>0</v>
      </c>
      <c r="E364" s="38">
        <f t="shared" si="85"/>
        <v>0</v>
      </c>
      <c r="F364" s="38">
        <f t="shared" si="85"/>
        <v>0</v>
      </c>
      <c r="G364" s="38">
        <f t="shared" si="85"/>
        <v>0</v>
      </c>
      <c r="H364" s="38">
        <f t="shared" si="85"/>
        <v>0</v>
      </c>
      <c r="I364" s="38">
        <f t="shared" si="85"/>
        <v>0</v>
      </c>
      <c r="J364" s="38">
        <f t="shared" si="85"/>
        <v>0</v>
      </c>
      <c r="K364" s="38">
        <f t="shared" si="85"/>
        <v>0</v>
      </c>
      <c r="L364" s="38">
        <f t="shared" si="85"/>
        <v>0</v>
      </c>
      <c r="M364" s="38">
        <f t="shared" si="85"/>
        <v>64380</v>
      </c>
      <c r="N364" s="57"/>
      <c r="O364" s="63"/>
    </row>
    <row r="365" spans="1:15" ht="14.25" customHeight="1" hidden="1">
      <c r="A365" s="40"/>
      <c r="B365" s="85" t="s">
        <v>362</v>
      </c>
      <c r="C365" s="38">
        <v>64380</v>
      </c>
      <c r="D365" s="38"/>
      <c r="E365" s="38"/>
      <c r="F365" s="38">
        <f t="shared" si="77"/>
        <v>0</v>
      </c>
      <c r="G365" s="38"/>
      <c r="H365" s="38"/>
      <c r="I365" s="38"/>
      <c r="J365" s="38">
        <f>K365</f>
        <v>0</v>
      </c>
      <c r="K365" s="38"/>
      <c r="L365" s="38"/>
      <c r="M365" s="59">
        <f>C365+F365</f>
        <v>64380</v>
      </c>
      <c r="N365" s="57"/>
      <c r="O365" s="63"/>
    </row>
    <row r="366" spans="1:14" s="61" customFormat="1" ht="36.75" customHeight="1">
      <c r="A366" s="111" t="s">
        <v>334</v>
      </c>
      <c r="B366" s="113" t="s">
        <v>269</v>
      </c>
      <c r="C366" s="55">
        <f>C367+C375+C371+C373+C369</f>
        <v>9431833</v>
      </c>
      <c r="D366" s="55">
        <f>D367+D375+D371+D373</f>
        <v>3423307</v>
      </c>
      <c r="E366" s="55">
        <f>E367+E375+E371+E373</f>
        <v>97380</v>
      </c>
      <c r="F366" s="55">
        <f aca="true" t="shared" si="86" ref="F366:L366">F367+F375+F371+F373</f>
        <v>7500</v>
      </c>
      <c r="G366" s="55">
        <f t="shared" si="86"/>
        <v>0</v>
      </c>
      <c r="H366" s="55">
        <f t="shared" si="86"/>
        <v>0</v>
      </c>
      <c r="I366" s="55">
        <f t="shared" si="86"/>
        <v>0</v>
      </c>
      <c r="J366" s="55">
        <f t="shared" si="86"/>
        <v>7500</v>
      </c>
      <c r="K366" s="55">
        <f t="shared" si="86"/>
        <v>7500</v>
      </c>
      <c r="L366" s="55">
        <f t="shared" si="86"/>
        <v>0</v>
      </c>
      <c r="M366" s="56">
        <f t="shared" si="72"/>
        <v>9439333</v>
      </c>
      <c r="N366" s="57"/>
    </row>
    <row r="367" spans="1:14" s="61" customFormat="1" ht="12.75">
      <c r="A367" s="43" t="s">
        <v>150</v>
      </c>
      <c r="B367" s="44" t="s">
        <v>151</v>
      </c>
      <c r="C367" s="37">
        <f>C368</f>
        <v>5083533</v>
      </c>
      <c r="D367" s="37">
        <f>D368</f>
        <v>3423307</v>
      </c>
      <c r="E367" s="37">
        <f>E368</f>
        <v>97380</v>
      </c>
      <c r="F367" s="38">
        <f>F368</f>
        <v>7500</v>
      </c>
      <c r="G367" s="38">
        <f aca="true" t="shared" si="87" ref="G367:L367">G368</f>
        <v>0</v>
      </c>
      <c r="H367" s="38">
        <f t="shared" si="87"/>
        <v>0</v>
      </c>
      <c r="I367" s="38">
        <f t="shared" si="87"/>
        <v>0</v>
      </c>
      <c r="J367" s="38">
        <f t="shared" si="87"/>
        <v>7500</v>
      </c>
      <c r="K367" s="38">
        <f t="shared" si="87"/>
        <v>7500</v>
      </c>
      <c r="L367" s="38">
        <f t="shared" si="87"/>
        <v>0</v>
      </c>
      <c r="M367" s="59">
        <f t="shared" si="72"/>
        <v>5091033</v>
      </c>
      <c r="N367" s="57"/>
    </row>
    <row r="368" spans="1:14" s="61" customFormat="1" ht="12.75">
      <c r="A368" s="40" t="s">
        <v>21</v>
      </c>
      <c r="B368" s="62" t="s">
        <v>22</v>
      </c>
      <c r="C368" s="38">
        <f>4536870+3017-308+265369-15977-7500+314992-12930</f>
        <v>5083533</v>
      </c>
      <c r="D368" s="38">
        <f>3047970-23093+194695-11722+228387-12930</f>
        <v>3423307</v>
      </c>
      <c r="E368" s="38">
        <v>97380</v>
      </c>
      <c r="F368" s="38">
        <f aca="true" t="shared" si="88" ref="F368:F379">G368+J368</f>
        <v>7500</v>
      </c>
      <c r="G368" s="38"/>
      <c r="H368" s="38"/>
      <c r="I368" s="38"/>
      <c r="J368" s="38">
        <f>K368</f>
        <v>7500</v>
      </c>
      <c r="K368" s="38">
        <v>7500</v>
      </c>
      <c r="L368" s="38"/>
      <c r="M368" s="59">
        <f t="shared" si="72"/>
        <v>5091033</v>
      </c>
      <c r="N368" s="57"/>
    </row>
    <row r="369" spans="1:14" s="61" customFormat="1" ht="12.75">
      <c r="A369" s="40" t="s">
        <v>168</v>
      </c>
      <c r="B369" s="36" t="s">
        <v>169</v>
      </c>
      <c r="C369" s="38">
        <f>4207192+308</f>
        <v>4207500</v>
      </c>
      <c r="D369" s="38">
        <f>D370</f>
        <v>0</v>
      </c>
      <c r="E369" s="38">
        <f>E370</f>
        <v>0</v>
      </c>
      <c r="F369" s="38">
        <f t="shared" si="88"/>
        <v>0</v>
      </c>
      <c r="G369" s="38"/>
      <c r="H369" s="38"/>
      <c r="I369" s="38"/>
      <c r="J369" s="38"/>
      <c r="K369" s="38"/>
      <c r="L369" s="38"/>
      <c r="M369" s="59">
        <f t="shared" si="72"/>
        <v>4207500</v>
      </c>
      <c r="N369" s="57"/>
    </row>
    <row r="370" spans="1:15" ht="27.75" customHeight="1" hidden="1">
      <c r="A370" s="40" t="s">
        <v>125</v>
      </c>
      <c r="B370" s="64" t="s">
        <v>119</v>
      </c>
      <c r="C370" s="38"/>
      <c r="D370" s="38"/>
      <c r="E370" s="38"/>
      <c r="F370" s="38">
        <f t="shared" si="88"/>
        <v>0</v>
      </c>
      <c r="G370" s="38"/>
      <c r="H370" s="38"/>
      <c r="I370" s="38"/>
      <c r="J370" s="38"/>
      <c r="K370" s="38"/>
      <c r="L370" s="38"/>
      <c r="M370" s="59">
        <f t="shared" si="72"/>
        <v>0</v>
      </c>
      <c r="N370" s="57"/>
      <c r="O370" s="63"/>
    </row>
    <row r="371" spans="1:15" ht="12.75" hidden="1">
      <c r="A371" s="9" t="s">
        <v>157</v>
      </c>
      <c r="B371" s="4" t="s">
        <v>161</v>
      </c>
      <c r="C371" s="38">
        <f>C372</f>
        <v>0</v>
      </c>
      <c r="D371" s="38">
        <f>D372</f>
        <v>0</v>
      </c>
      <c r="E371" s="38">
        <f>E372</f>
        <v>0</v>
      </c>
      <c r="F371" s="38">
        <f>G371+J371</f>
        <v>0</v>
      </c>
      <c r="G371" s="38">
        <f aca="true" t="shared" si="89" ref="G371:L371">G372</f>
        <v>0</v>
      </c>
      <c r="H371" s="38">
        <f t="shared" si="89"/>
        <v>0</v>
      </c>
      <c r="I371" s="38">
        <f t="shared" si="89"/>
        <v>0</v>
      </c>
      <c r="J371" s="38">
        <f t="shared" si="89"/>
        <v>0</v>
      </c>
      <c r="K371" s="38">
        <f t="shared" si="89"/>
        <v>0</v>
      </c>
      <c r="L371" s="38">
        <f t="shared" si="89"/>
        <v>0</v>
      </c>
      <c r="M371" s="59">
        <f t="shared" si="72"/>
        <v>0</v>
      </c>
      <c r="N371" s="57"/>
      <c r="O371" s="63"/>
    </row>
    <row r="372" spans="1:15" ht="63.75" hidden="1">
      <c r="A372" s="9" t="s">
        <v>59</v>
      </c>
      <c r="B372" s="83" t="s">
        <v>248</v>
      </c>
      <c r="C372" s="38"/>
      <c r="D372" s="38"/>
      <c r="E372" s="38"/>
      <c r="F372" s="38">
        <f>G372+J372</f>
        <v>0</v>
      </c>
      <c r="G372" s="38"/>
      <c r="H372" s="38"/>
      <c r="I372" s="38"/>
      <c r="J372" s="38"/>
      <c r="K372" s="38"/>
      <c r="L372" s="38"/>
      <c r="M372" s="59">
        <f t="shared" si="72"/>
        <v>0</v>
      </c>
      <c r="N372" s="57"/>
      <c r="O372" s="63"/>
    </row>
    <row r="373" spans="1:15" ht="38.25">
      <c r="A373" s="9" t="s">
        <v>365</v>
      </c>
      <c r="B373" s="64" t="s">
        <v>135</v>
      </c>
      <c r="C373" s="38">
        <f>C374</f>
        <v>0</v>
      </c>
      <c r="D373" s="38"/>
      <c r="E373" s="38"/>
      <c r="F373" s="38">
        <f>F374</f>
        <v>0</v>
      </c>
      <c r="G373" s="38"/>
      <c r="H373" s="38"/>
      <c r="I373" s="38"/>
      <c r="J373" s="38">
        <f>J374</f>
        <v>0</v>
      </c>
      <c r="K373" s="38">
        <f>K374</f>
        <v>0</v>
      </c>
      <c r="L373" s="38"/>
      <c r="M373" s="59">
        <f t="shared" si="72"/>
        <v>0</v>
      </c>
      <c r="N373" s="57"/>
      <c r="O373" s="63"/>
    </row>
    <row r="374" spans="1:15" ht="38.25">
      <c r="A374" s="9" t="s">
        <v>57</v>
      </c>
      <c r="B374" s="83" t="s">
        <v>5</v>
      </c>
      <c r="C374" s="38"/>
      <c r="D374" s="38"/>
      <c r="E374" s="38"/>
      <c r="F374" s="38">
        <f>G374+J374</f>
        <v>0</v>
      </c>
      <c r="G374" s="38"/>
      <c r="H374" s="38"/>
      <c r="I374" s="38"/>
      <c r="J374" s="38">
        <f>K374</f>
        <v>0</v>
      </c>
      <c r="K374" s="38"/>
      <c r="L374" s="38"/>
      <c r="M374" s="59">
        <f t="shared" si="72"/>
        <v>0</v>
      </c>
      <c r="N374" s="57"/>
      <c r="O374" s="63"/>
    </row>
    <row r="375" spans="1:15" ht="25.5">
      <c r="A375" s="43" t="s">
        <v>159</v>
      </c>
      <c r="B375" s="44" t="s">
        <v>160</v>
      </c>
      <c r="C375" s="37">
        <f>C376</f>
        <v>140800</v>
      </c>
      <c r="D375" s="37">
        <f>D376</f>
        <v>0</v>
      </c>
      <c r="E375" s="37">
        <f>E376</f>
        <v>0</v>
      </c>
      <c r="F375" s="72">
        <f t="shared" si="88"/>
        <v>0</v>
      </c>
      <c r="G375" s="72"/>
      <c r="H375" s="37"/>
      <c r="I375" s="37"/>
      <c r="J375" s="37"/>
      <c r="K375" s="37"/>
      <c r="L375" s="37"/>
      <c r="M375" s="59">
        <f aca="true" t="shared" si="90" ref="M375:M381">C375+F375</f>
        <v>140800</v>
      </c>
      <c r="N375" s="57"/>
      <c r="O375" s="63"/>
    </row>
    <row r="376" spans="1:15" ht="12.75">
      <c r="A376" s="43" t="s">
        <v>60</v>
      </c>
      <c r="B376" s="44" t="s">
        <v>98</v>
      </c>
      <c r="C376" s="127">
        <f>C377</f>
        <v>140800</v>
      </c>
      <c r="D376" s="37"/>
      <c r="E376" s="37"/>
      <c r="F376" s="72">
        <f t="shared" si="88"/>
        <v>0</v>
      </c>
      <c r="G376" s="72"/>
      <c r="H376" s="37"/>
      <c r="I376" s="37"/>
      <c r="J376" s="37"/>
      <c r="K376" s="37"/>
      <c r="L376" s="37"/>
      <c r="M376" s="59">
        <f t="shared" si="90"/>
        <v>140800</v>
      </c>
      <c r="N376" s="57"/>
      <c r="O376" s="63"/>
    </row>
    <row r="377" spans="1:15" ht="63.75" hidden="1">
      <c r="A377" s="43"/>
      <c r="B377" s="82" t="s">
        <v>351</v>
      </c>
      <c r="C377" s="38">
        <f>42000+16800+30000+75000-23000</f>
        <v>140800</v>
      </c>
      <c r="D377" s="37"/>
      <c r="E377" s="37"/>
      <c r="F377" s="72"/>
      <c r="G377" s="72"/>
      <c r="H377" s="37"/>
      <c r="I377" s="37"/>
      <c r="J377" s="37"/>
      <c r="K377" s="37"/>
      <c r="L377" s="37"/>
      <c r="M377" s="59">
        <f t="shared" si="90"/>
        <v>140800</v>
      </c>
      <c r="N377" s="57"/>
      <c r="O377" s="63"/>
    </row>
    <row r="378" spans="1:15" ht="26.25" customHeight="1">
      <c r="A378" s="111" t="s">
        <v>335</v>
      </c>
      <c r="B378" s="113" t="s">
        <v>269</v>
      </c>
      <c r="C378" s="55">
        <f aca="true" t="shared" si="91" ref="C378:E379">C379</f>
        <v>125710800</v>
      </c>
      <c r="D378" s="55">
        <f t="shared" si="91"/>
        <v>0</v>
      </c>
      <c r="E378" s="55">
        <f t="shared" si="91"/>
        <v>0</v>
      </c>
      <c r="F378" s="55">
        <f t="shared" si="88"/>
        <v>0</v>
      </c>
      <c r="G378" s="55">
        <f aca="true" t="shared" si="92" ref="G378:L378">G379</f>
        <v>0</v>
      </c>
      <c r="H378" s="55">
        <f t="shared" si="92"/>
        <v>0</v>
      </c>
      <c r="I378" s="55">
        <f t="shared" si="92"/>
        <v>0</v>
      </c>
      <c r="J378" s="55">
        <f t="shared" si="92"/>
        <v>0</v>
      </c>
      <c r="K378" s="55">
        <f t="shared" si="92"/>
        <v>0</v>
      </c>
      <c r="L378" s="55">
        <f t="shared" si="92"/>
        <v>0</v>
      </c>
      <c r="M378" s="56">
        <f t="shared" si="90"/>
        <v>125710800</v>
      </c>
      <c r="N378" s="57"/>
      <c r="O378" s="63"/>
    </row>
    <row r="379" spans="1:15" ht="25.5">
      <c r="A379" s="43" t="s">
        <v>159</v>
      </c>
      <c r="B379" s="44" t="s">
        <v>160</v>
      </c>
      <c r="C379" s="37">
        <f>C380+C381</f>
        <v>125710800</v>
      </c>
      <c r="D379" s="37">
        <f t="shared" si="91"/>
        <v>0</v>
      </c>
      <c r="E379" s="37">
        <f t="shared" si="91"/>
        <v>0</v>
      </c>
      <c r="F379" s="37">
        <f t="shared" si="88"/>
        <v>0</v>
      </c>
      <c r="G379" s="72"/>
      <c r="H379" s="37"/>
      <c r="I379" s="37"/>
      <c r="J379" s="37">
        <f>J380+J381</f>
        <v>0</v>
      </c>
      <c r="K379" s="37">
        <f>K380+K381</f>
        <v>0</v>
      </c>
      <c r="L379" s="37">
        <f>L380+L381</f>
        <v>0</v>
      </c>
      <c r="M379" s="59">
        <f t="shared" si="90"/>
        <v>125710800</v>
      </c>
      <c r="N379" s="57"/>
      <c r="O379" s="63"/>
    </row>
    <row r="380" spans="1:15" s="58" customFormat="1" ht="140.25">
      <c r="A380" s="98" t="s">
        <v>62</v>
      </c>
      <c r="B380" s="82" t="s">
        <v>254</v>
      </c>
      <c r="C380" s="37">
        <v>125710800</v>
      </c>
      <c r="D380" s="37"/>
      <c r="E380" s="37"/>
      <c r="F380" s="72"/>
      <c r="G380" s="72"/>
      <c r="H380" s="37"/>
      <c r="I380" s="37"/>
      <c r="J380" s="37"/>
      <c r="K380" s="37"/>
      <c r="L380" s="37"/>
      <c r="M380" s="59">
        <f t="shared" si="90"/>
        <v>125710800</v>
      </c>
      <c r="N380" s="57"/>
      <c r="O380" s="57"/>
    </row>
    <row r="381" spans="1:15" s="61" customFormat="1" ht="51" hidden="1">
      <c r="A381" s="40" t="s">
        <v>216</v>
      </c>
      <c r="B381" s="78" t="s">
        <v>298</v>
      </c>
      <c r="C381" s="38"/>
      <c r="D381" s="38"/>
      <c r="E381" s="38"/>
      <c r="F381" s="38">
        <f>G381+J381</f>
        <v>0</v>
      </c>
      <c r="G381" s="38"/>
      <c r="H381" s="38"/>
      <c r="I381" s="38"/>
      <c r="J381" s="38">
        <f>K381</f>
        <v>0</v>
      </c>
      <c r="K381" s="38">
        <f>2730600+36104-2568000-140527-58177</f>
        <v>0</v>
      </c>
      <c r="L381" s="38">
        <f>K381</f>
        <v>0</v>
      </c>
      <c r="M381" s="59">
        <f t="shared" si="90"/>
        <v>0</v>
      </c>
      <c r="N381" s="57"/>
      <c r="O381" s="60"/>
    </row>
    <row r="382" spans="1:14" s="19" customFormat="1" ht="41.25" customHeight="1">
      <c r="A382" s="18" t="s">
        <v>312</v>
      </c>
      <c r="B382" s="20" t="s">
        <v>279</v>
      </c>
      <c r="C382" s="31">
        <f>C383+C385+C389+C391</f>
        <v>4064033</v>
      </c>
      <c r="D382" s="31">
        <f aca="true" t="shared" si="93" ref="D382:L382">D383+D385+D389+D391</f>
        <v>2061022</v>
      </c>
      <c r="E382" s="31">
        <f t="shared" si="93"/>
        <v>595615</v>
      </c>
      <c r="F382" s="31">
        <f>F383+F385+F389+F391+F387</f>
        <v>199465</v>
      </c>
      <c r="G382" s="31">
        <f t="shared" si="93"/>
        <v>86212</v>
      </c>
      <c r="H382" s="31">
        <f t="shared" si="93"/>
        <v>0</v>
      </c>
      <c r="I382" s="31">
        <f t="shared" si="93"/>
        <v>0</v>
      </c>
      <c r="J382" s="31">
        <f>J383+J385+J389+J391+J387</f>
        <v>113253</v>
      </c>
      <c r="K382" s="31">
        <f>K383+K385+K389+K391+K387</f>
        <v>113253</v>
      </c>
      <c r="L382" s="31">
        <f t="shared" si="93"/>
        <v>60000</v>
      </c>
      <c r="M382" s="30">
        <f aca="true" t="shared" si="94" ref="M382:M414">C382+F382</f>
        <v>4263498</v>
      </c>
      <c r="N382" s="57"/>
    </row>
    <row r="383" spans="1:14" s="3" customFormat="1" ht="12.75">
      <c r="A383" s="9" t="s">
        <v>150</v>
      </c>
      <c r="B383" s="4" t="s">
        <v>151</v>
      </c>
      <c r="C383" s="27">
        <f>C384</f>
        <v>3608007</v>
      </c>
      <c r="D383" s="27">
        <f>D384</f>
        <v>2061022</v>
      </c>
      <c r="E383" s="27">
        <f>E384</f>
        <v>486115</v>
      </c>
      <c r="F383" s="27">
        <f>G383+J383</f>
        <v>108009</v>
      </c>
      <c r="G383" s="27">
        <f aca="true" t="shared" si="95" ref="G383:L383">G384</f>
        <v>54756</v>
      </c>
      <c r="H383" s="27">
        <f t="shared" si="95"/>
        <v>0</v>
      </c>
      <c r="I383" s="27">
        <f t="shared" si="95"/>
        <v>0</v>
      </c>
      <c r="J383" s="27">
        <f t="shared" si="95"/>
        <v>53253</v>
      </c>
      <c r="K383" s="27">
        <f t="shared" si="95"/>
        <v>53253</v>
      </c>
      <c r="L383" s="27">
        <f t="shared" si="95"/>
        <v>0</v>
      </c>
      <c r="M383" s="26">
        <f t="shared" si="94"/>
        <v>3716016</v>
      </c>
      <c r="N383" s="57"/>
    </row>
    <row r="384" spans="1:14" s="3" customFormat="1" ht="12.75">
      <c r="A384" s="9" t="s">
        <v>21</v>
      </c>
      <c r="B384" s="4" t="s">
        <v>22</v>
      </c>
      <c r="C384" s="27">
        <f>3150710+44677-27475-13340+247899+880-2538+207194</f>
        <v>3608007</v>
      </c>
      <c r="D384" s="27">
        <f>1751740-13340+181877-11828+152573</f>
        <v>2061022</v>
      </c>
      <c r="E384" s="27">
        <f>513590-27475</f>
        <v>486115</v>
      </c>
      <c r="F384" s="27">
        <f>G384+J384</f>
        <v>108009</v>
      </c>
      <c r="G384" s="27">
        <v>54756</v>
      </c>
      <c r="H384" s="27"/>
      <c r="I384" s="27"/>
      <c r="J384" s="27">
        <f>28515+6738+18000</f>
        <v>53253</v>
      </c>
      <c r="K384" s="27">
        <f>J384</f>
        <v>53253</v>
      </c>
      <c r="L384" s="27"/>
      <c r="M384" s="26">
        <f t="shared" si="94"/>
        <v>3716016</v>
      </c>
      <c r="N384" s="57"/>
    </row>
    <row r="385" spans="1:14" s="3" customFormat="1" ht="12.75">
      <c r="A385" s="9" t="s">
        <v>162</v>
      </c>
      <c r="B385" s="4" t="s">
        <v>164</v>
      </c>
      <c r="C385" s="27">
        <f>C386</f>
        <v>362464</v>
      </c>
      <c r="D385" s="27">
        <f aca="true" t="shared" si="96" ref="D385:L385">D386</f>
        <v>0</v>
      </c>
      <c r="E385" s="27">
        <f t="shared" si="96"/>
        <v>109500</v>
      </c>
      <c r="F385" s="27">
        <f t="shared" si="96"/>
        <v>60000</v>
      </c>
      <c r="G385" s="27">
        <f t="shared" si="96"/>
        <v>0</v>
      </c>
      <c r="H385" s="27">
        <f t="shared" si="96"/>
        <v>0</v>
      </c>
      <c r="I385" s="27">
        <f t="shared" si="96"/>
        <v>0</v>
      </c>
      <c r="J385" s="27">
        <f t="shared" si="96"/>
        <v>60000</v>
      </c>
      <c r="K385" s="27">
        <f t="shared" si="96"/>
        <v>60000</v>
      </c>
      <c r="L385" s="27">
        <f t="shared" si="96"/>
        <v>60000</v>
      </c>
      <c r="M385" s="26">
        <f t="shared" si="94"/>
        <v>422464</v>
      </c>
      <c r="N385" s="57"/>
    </row>
    <row r="386" spans="1:14" s="3" customFormat="1" ht="12.75">
      <c r="A386" s="9" t="s">
        <v>239</v>
      </c>
      <c r="B386" s="4" t="s">
        <v>245</v>
      </c>
      <c r="C386" s="27">
        <f>360000+2464</f>
        <v>362464</v>
      </c>
      <c r="D386" s="27"/>
      <c r="E386" s="27">
        <v>109500</v>
      </c>
      <c r="F386" s="27">
        <f>G386+J386</f>
        <v>60000</v>
      </c>
      <c r="G386" s="27"/>
      <c r="H386" s="27"/>
      <c r="I386" s="27"/>
      <c r="J386" s="27">
        <f>(30000)+(30000)</f>
        <v>60000</v>
      </c>
      <c r="K386" s="27">
        <f>(30000)+(30000)</f>
        <v>60000</v>
      </c>
      <c r="L386" s="27">
        <f>K386</f>
        <v>60000</v>
      </c>
      <c r="M386" s="26">
        <f t="shared" si="94"/>
        <v>422464</v>
      </c>
      <c r="N386" s="57"/>
    </row>
    <row r="387" spans="1:14" s="3" customFormat="1" ht="12.75" hidden="1">
      <c r="A387" s="40" t="s">
        <v>154</v>
      </c>
      <c r="B387" s="64" t="s">
        <v>55</v>
      </c>
      <c r="C387" s="38"/>
      <c r="D387" s="38"/>
      <c r="E387" s="38"/>
      <c r="F387" s="38">
        <f>G387+J387</f>
        <v>0</v>
      </c>
      <c r="G387" s="38"/>
      <c r="H387" s="38"/>
      <c r="I387" s="38"/>
      <c r="J387" s="38">
        <f>J388</f>
        <v>0</v>
      </c>
      <c r="K387" s="38">
        <f>K388</f>
        <v>0</v>
      </c>
      <c r="L387" s="38"/>
      <c r="M387" s="59">
        <f>C387+F387</f>
        <v>0</v>
      </c>
      <c r="N387" s="57"/>
    </row>
    <row r="388" spans="1:14" s="3" customFormat="1" ht="12.75" hidden="1">
      <c r="A388" s="40" t="s">
        <v>121</v>
      </c>
      <c r="B388" s="62" t="s">
        <v>122</v>
      </c>
      <c r="C388" s="38"/>
      <c r="D388" s="38"/>
      <c r="E388" s="38"/>
      <c r="F388" s="38">
        <f>G388+J388</f>
        <v>0</v>
      </c>
      <c r="G388" s="38"/>
      <c r="H388" s="38"/>
      <c r="I388" s="38"/>
      <c r="J388" s="38">
        <f>95000-95000</f>
        <v>0</v>
      </c>
      <c r="K388" s="38">
        <f>95000-95000</f>
        <v>0</v>
      </c>
      <c r="L388" s="38"/>
      <c r="M388" s="59">
        <f>C388+F388</f>
        <v>0</v>
      </c>
      <c r="N388" s="57"/>
    </row>
    <row r="389" spans="1:14" s="3" customFormat="1" ht="12.75">
      <c r="A389" s="9" t="s">
        <v>157</v>
      </c>
      <c r="B389" s="4" t="s">
        <v>161</v>
      </c>
      <c r="C389" s="27">
        <f>C390</f>
        <v>0</v>
      </c>
      <c r="D389" s="27">
        <f aca="true" t="shared" si="97" ref="D389:L389">D390</f>
        <v>0</v>
      </c>
      <c r="E389" s="27">
        <f t="shared" si="97"/>
        <v>0</v>
      </c>
      <c r="F389" s="27">
        <f t="shared" si="97"/>
        <v>31456</v>
      </c>
      <c r="G389" s="27">
        <f t="shared" si="97"/>
        <v>31456</v>
      </c>
      <c r="H389" s="27">
        <f t="shared" si="97"/>
        <v>0</v>
      </c>
      <c r="I389" s="27">
        <f t="shared" si="97"/>
        <v>0</v>
      </c>
      <c r="J389" s="27">
        <f t="shared" si="97"/>
        <v>0</v>
      </c>
      <c r="K389" s="27">
        <f t="shared" si="97"/>
        <v>0</v>
      </c>
      <c r="L389" s="27">
        <f t="shared" si="97"/>
        <v>0</v>
      </c>
      <c r="M389" s="26">
        <f t="shared" si="94"/>
        <v>31456</v>
      </c>
      <c r="N389" s="57"/>
    </row>
    <row r="390" spans="1:14" s="3" customFormat="1" ht="79.5" customHeight="1">
      <c r="A390" s="9" t="s">
        <v>59</v>
      </c>
      <c r="B390" s="83" t="s">
        <v>248</v>
      </c>
      <c r="C390" s="27"/>
      <c r="D390" s="27"/>
      <c r="E390" s="27"/>
      <c r="F390" s="27">
        <f>G390+J390</f>
        <v>31456</v>
      </c>
      <c r="G390" s="27">
        <f>1456+30000</f>
        <v>31456</v>
      </c>
      <c r="H390" s="27"/>
      <c r="I390" s="27"/>
      <c r="J390" s="27">
        <f>25000-25000</f>
        <v>0</v>
      </c>
      <c r="K390" s="27"/>
      <c r="L390" s="27"/>
      <c r="M390" s="26">
        <f t="shared" si="94"/>
        <v>31456</v>
      </c>
      <c r="N390" s="57"/>
    </row>
    <row r="391" spans="1:14" s="3" customFormat="1" ht="25.5">
      <c r="A391" s="9" t="s">
        <v>159</v>
      </c>
      <c r="B391" s="64" t="s">
        <v>160</v>
      </c>
      <c r="C391" s="27">
        <f>C392</f>
        <v>93562</v>
      </c>
      <c r="D391" s="27">
        <f>D392</f>
        <v>0</v>
      </c>
      <c r="E391" s="27">
        <f>E392</f>
        <v>0</v>
      </c>
      <c r="F391" s="27"/>
      <c r="G391" s="27"/>
      <c r="H391" s="27"/>
      <c r="I391" s="27"/>
      <c r="J391" s="27"/>
      <c r="K391" s="27"/>
      <c r="L391" s="27"/>
      <c r="M391" s="26">
        <f t="shared" si="94"/>
        <v>93562</v>
      </c>
      <c r="N391" s="57"/>
    </row>
    <row r="392" spans="1:14" s="3" customFormat="1" ht="12.75">
      <c r="A392" s="9" t="s">
        <v>60</v>
      </c>
      <c r="B392" s="4" t="s">
        <v>98</v>
      </c>
      <c r="C392" s="27">
        <f>C393+C394</f>
        <v>93562</v>
      </c>
      <c r="D392" s="27"/>
      <c r="E392" s="27"/>
      <c r="F392" s="27"/>
      <c r="G392" s="27"/>
      <c r="H392" s="27"/>
      <c r="I392" s="27"/>
      <c r="J392" s="27"/>
      <c r="K392" s="27"/>
      <c r="L392" s="27"/>
      <c r="M392" s="26">
        <f t="shared" si="94"/>
        <v>93562</v>
      </c>
      <c r="N392" s="57"/>
    </row>
    <row r="393" spans="1:14" s="3" customFormat="1" ht="38.25" hidden="1">
      <c r="A393" s="9"/>
      <c r="B393" s="4" t="s">
        <v>339</v>
      </c>
      <c r="C393" s="27">
        <f>75570+3105+8413</f>
        <v>87088</v>
      </c>
      <c r="D393" s="27"/>
      <c r="E393" s="27"/>
      <c r="F393" s="27"/>
      <c r="G393" s="27"/>
      <c r="H393" s="27"/>
      <c r="I393" s="27"/>
      <c r="J393" s="27"/>
      <c r="K393" s="27"/>
      <c r="L393" s="27"/>
      <c r="M393" s="26">
        <f t="shared" si="94"/>
        <v>87088</v>
      </c>
      <c r="N393" s="57"/>
    </row>
    <row r="394" spans="1:14" s="3" customFormat="1" ht="12.75" hidden="1">
      <c r="A394" s="9"/>
      <c r="B394" s="4" t="s">
        <v>292</v>
      </c>
      <c r="C394" s="27">
        <v>6474</v>
      </c>
      <c r="D394" s="27"/>
      <c r="E394" s="27"/>
      <c r="F394" s="27"/>
      <c r="G394" s="27"/>
      <c r="H394" s="27"/>
      <c r="I394" s="27"/>
      <c r="J394" s="27"/>
      <c r="K394" s="27"/>
      <c r="L394" s="27"/>
      <c r="M394" s="26">
        <f t="shared" si="94"/>
        <v>6474</v>
      </c>
      <c r="N394" s="57"/>
    </row>
    <row r="395" spans="1:42" s="19" customFormat="1" ht="37.5" customHeight="1">
      <c r="A395" s="21" t="s">
        <v>313</v>
      </c>
      <c r="B395" s="20" t="s">
        <v>280</v>
      </c>
      <c r="C395" s="32">
        <f>C396+C398+C400+C402</f>
        <v>3566010</v>
      </c>
      <c r="D395" s="32">
        <f aca="true" t="shared" si="98" ref="D395:L395">D396+D398+D400+D402</f>
        <v>2057414</v>
      </c>
      <c r="E395" s="32">
        <f t="shared" si="98"/>
        <v>284516</v>
      </c>
      <c r="F395" s="32">
        <f>G395+J395</f>
        <v>65961</v>
      </c>
      <c r="G395" s="32">
        <f>G396+G398+G400+G402</f>
        <v>65961</v>
      </c>
      <c r="H395" s="32">
        <f t="shared" si="98"/>
        <v>0</v>
      </c>
      <c r="I395" s="32">
        <f t="shared" si="98"/>
        <v>0</v>
      </c>
      <c r="J395" s="32">
        <f t="shared" si="98"/>
        <v>0</v>
      </c>
      <c r="K395" s="32">
        <f t="shared" si="98"/>
        <v>0</v>
      </c>
      <c r="L395" s="32">
        <f t="shared" si="98"/>
        <v>0</v>
      </c>
      <c r="M395" s="32">
        <f t="shared" si="94"/>
        <v>3631971</v>
      </c>
      <c r="N395" s="57"/>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row>
    <row r="396" spans="1:42" s="3" customFormat="1" ht="12.75">
      <c r="A396" s="35" t="s">
        <v>150</v>
      </c>
      <c r="B396" s="12" t="s">
        <v>151</v>
      </c>
      <c r="C396" s="28">
        <f>C397</f>
        <v>3270058</v>
      </c>
      <c r="D396" s="28">
        <f>D397</f>
        <v>2057414</v>
      </c>
      <c r="E396" s="28">
        <f>E397</f>
        <v>197765</v>
      </c>
      <c r="F396" s="28">
        <f>G396+J396</f>
        <v>0</v>
      </c>
      <c r="G396" s="28">
        <f aca="true" t="shared" si="99" ref="G396:L396">G397</f>
        <v>0</v>
      </c>
      <c r="H396" s="28">
        <f t="shared" si="99"/>
        <v>0</v>
      </c>
      <c r="I396" s="28">
        <f t="shared" si="99"/>
        <v>0</v>
      </c>
      <c r="J396" s="28">
        <f t="shared" si="99"/>
        <v>0</v>
      </c>
      <c r="K396" s="28">
        <f t="shared" si="99"/>
        <v>0</v>
      </c>
      <c r="L396" s="28">
        <f t="shared" si="99"/>
        <v>0</v>
      </c>
      <c r="M396" s="28">
        <f t="shared" si="94"/>
        <v>3270058</v>
      </c>
      <c r="N396" s="57"/>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row>
    <row r="397" spans="1:42" s="5" customFormat="1" ht="12.75">
      <c r="A397" s="17" t="s">
        <v>21</v>
      </c>
      <c r="B397" s="2" t="s">
        <v>22</v>
      </c>
      <c r="C397" s="28">
        <f>2706800-5700+30860+266683+3000+35654+15000+8638+3000+206123</f>
        <v>3270058</v>
      </c>
      <c r="D397" s="28">
        <f>1687370+198791+20454+150799</f>
        <v>2057414</v>
      </c>
      <c r="E397" s="28">
        <v>197765</v>
      </c>
      <c r="F397" s="28">
        <f>G397+J397</f>
        <v>0</v>
      </c>
      <c r="G397" s="28"/>
      <c r="H397" s="28"/>
      <c r="I397" s="28"/>
      <c r="J397" s="28">
        <f>28515-28515</f>
        <v>0</v>
      </c>
      <c r="K397" s="28">
        <f>J397</f>
        <v>0</v>
      </c>
      <c r="L397" s="28">
        <f>K397</f>
        <v>0</v>
      </c>
      <c r="M397" s="28">
        <f t="shared" si="94"/>
        <v>3270058</v>
      </c>
      <c r="N397" s="57"/>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row>
    <row r="398" spans="1:14" s="3" customFormat="1" ht="12.75">
      <c r="A398" s="9" t="s">
        <v>162</v>
      </c>
      <c r="B398" s="4" t="s">
        <v>164</v>
      </c>
      <c r="C398" s="27">
        <f>C399</f>
        <v>287266</v>
      </c>
      <c r="D398" s="27">
        <f aca="true" t="shared" si="100" ref="D398:L398">D399</f>
        <v>0</v>
      </c>
      <c r="E398" s="27">
        <f t="shared" si="100"/>
        <v>86751</v>
      </c>
      <c r="F398" s="27">
        <f t="shared" si="100"/>
        <v>6258</v>
      </c>
      <c r="G398" s="27">
        <f t="shared" si="100"/>
        <v>6258</v>
      </c>
      <c r="H398" s="27">
        <f t="shared" si="100"/>
        <v>0</v>
      </c>
      <c r="I398" s="27">
        <f t="shared" si="100"/>
        <v>0</v>
      </c>
      <c r="J398" s="27">
        <f t="shared" si="100"/>
        <v>0</v>
      </c>
      <c r="K398" s="27">
        <f t="shared" si="100"/>
        <v>0</v>
      </c>
      <c r="L398" s="27">
        <f t="shared" si="100"/>
        <v>0</v>
      </c>
      <c r="M398" s="28">
        <f t="shared" si="94"/>
        <v>293524</v>
      </c>
      <c r="N398" s="57"/>
    </row>
    <row r="399" spans="1:14" s="3" customFormat="1" ht="12.75">
      <c r="A399" s="9" t="s">
        <v>239</v>
      </c>
      <c r="B399" s="4" t="s">
        <v>245</v>
      </c>
      <c r="C399" s="27">
        <f>210000+231+57000+20035</f>
        <v>287266</v>
      </c>
      <c r="D399" s="27"/>
      <c r="E399" s="27">
        <f>66716+20035</f>
        <v>86751</v>
      </c>
      <c r="F399" s="27">
        <f>G399+J399</f>
        <v>6258</v>
      </c>
      <c r="G399" s="27">
        <v>6258</v>
      </c>
      <c r="H399" s="27"/>
      <c r="I399" s="27"/>
      <c r="J399" s="27"/>
      <c r="K399" s="27"/>
      <c r="L399" s="27"/>
      <c r="M399" s="28">
        <f t="shared" si="94"/>
        <v>293524</v>
      </c>
      <c r="N399" s="57"/>
    </row>
    <row r="400" spans="1:14" s="3" customFormat="1" ht="13.5" customHeight="1">
      <c r="A400" s="9" t="s">
        <v>157</v>
      </c>
      <c r="B400" s="4" t="s">
        <v>161</v>
      </c>
      <c r="C400" s="27">
        <f>C401</f>
        <v>0</v>
      </c>
      <c r="D400" s="27">
        <f aca="true" t="shared" si="101" ref="D400:L400">D401</f>
        <v>0</v>
      </c>
      <c r="E400" s="27">
        <f t="shared" si="101"/>
        <v>0</v>
      </c>
      <c r="F400" s="27">
        <f t="shared" si="101"/>
        <v>59703</v>
      </c>
      <c r="G400" s="27">
        <f t="shared" si="101"/>
        <v>59703</v>
      </c>
      <c r="H400" s="27">
        <f t="shared" si="101"/>
        <v>0</v>
      </c>
      <c r="I400" s="27">
        <f t="shared" si="101"/>
        <v>0</v>
      </c>
      <c r="J400" s="27">
        <f t="shared" si="101"/>
        <v>0</v>
      </c>
      <c r="K400" s="27">
        <f t="shared" si="101"/>
        <v>0</v>
      </c>
      <c r="L400" s="27">
        <f t="shared" si="101"/>
        <v>0</v>
      </c>
      <c r="M400" s="28">
        <f t="shared" si="94"/>
        <v>59703</v>
      </c>
      <c r="N400" s="57"/>
    </row>
    <row r="401" spans="1:14" s="3" customFormat="1" ht="76.5" customHeight="1">
      <c r="A401" s="9" t="s">
        <v>59</v>
      </c>
      <c r="B401" s="83" t="s">
        <v>248</v>
      </c>
      <c r="C401" s="27"/>
      <c r="D401" s="27"/>
      <c r="E401" s="27"/>
      <c r="F401" s="27">
        <f>G401+J401</f>
        <v>59703</v>
      </c>
      <c r="G401" s="27">
        <f>43203+16500</f>
        <v>59703</v>
      </c>
      <c r="H401" s="27"/>
      <c r="I401" s="27"/>
      <c r="J401" s="27"/>
      <c r="K401" s="27"/>
      <c r="L401" s="27"/>
      <c r="M401" s="28">
        <f t="shared" si="94"/>
        <v>59703</v>
      </c>
      <c r="N401" s="57"/>
    </row>
    <row r="402" spans="1:14" s="3" customFormat="1" ht="25.5">
      <c r="A402" s="9" t="s">
        <v>159</v>
      </c>
      <c r="B402" s="64" t="s">
        <v>160</v>
      </c>
      <c r="C402" s="27">
        <f>C403</f>
        <v>8686</v>
      </c>
      <c r="D402" s="27">
        <f aca="true" t="shared" si="102" ref="D402:L402">D403</f>
        <v>0</v>
      </c>
      <c r="E402" s="27">
        <f t="shared" si="102"/>
        <v>0</v>
      </c>
      <c r="F402" s="27">
        <f t="shared" si="102"/>
        <v>0</v>
      </c>
      <c r="G402" s="27">
        <f t="shared" si="102"/>
        <v>0</v>
      </c>
      <c r="H402" s="27">
        <f t="shared" si="102"/>
        <v>0</v>
      </c>
      <c r="I402" s="27">
        <f t="shared" si="102"/>
        <v>0</v>
      </c>
      <c r="J402" s="27">
        <f t="shared" si="102"/>
        <v>0</v>
      </c>
      <c r="K402" s="27">
        <f t="shared" si="102"/>
        <v>0</v>
      </c>
      <c r="L402" s="27">
        <f t="shared" si="102"/>
        <v>0</v>
      </c>
      <c r="M402" s="28">
        <f t="shared" si="94"/>
        <v>8686</v>
      </c>
      <c r="N402" s="57"/>
    </row>
    <row r="403" spans="1:14" s="3" customFormat="1" ht="12.75">
      <c r="A403" s="9" t="s">
        <v>60</v>
      </c>
      <c r="B403" s="4" t="s">
        <v>98</v>
      </c>
      <c r="C403" s="27">
        <f>C404+C405</f>
        <v>8686</v>
      </c>
      <c r="D403" s="27"/>
      <c r="E403" s="27"/>
      <c r="F403" s="27"/>
      <c r="G403" s="27"/>
      <c r="H403" s="27"/>
      <c r="I403" s="27"/>
      <c r="J403" s="27"/>
      <c r="K403" s="27"/>
      <c r="L403" s="27"/>
      <c r="M403" s="28">
        <f t="shared" si="94"/>
        <v>8686</v>
      </c>
      <c r="N403" s="57"/>
    </row>
    <row r="404" spans="1:14" s="3" customFormat="1" ht="38.25" hidden="1">
      <c r="A404" s="9"/>
      <c r="B404" s="4" t="s">
        <v>339</v>
      </c>
      <c r="C404" s="27">
        <f>2212</f>
        <v>2212</v>
      </c>
      <c r="D404" s="27"/>
      <c r="E404" s="27"/>
      <c r="F404" s="27"/>
      <c r="G404" s="27"/>
      <c r="H404" s="27"/>
      <c r="I404" s="27"/>
      <c r="J404" s="27"/>
      <c r="K404" s="27"/>
      <c r="L404" s="27"/>
      <c r="M404" s="28">
        <f t="shared" si="94"/>
        <v>2212</v>
      </c>
      <c r="N404" s="57"/>
    </row>
    <row r="405" spans="1:14" s="3" customFormat="1" ht="12.75" hidden="1">
      <c r="A405" s="9"/>
      <c r="B405" s="4" t="s">
        <v>292</v>
      </c>
      <c r="C405" s="27">
        <v>6474</v>
      </c>
      <c r="D405" s="27"/>
      <c r="E405" s="27"/>
      <c r="F405" s="27"/>
      <c r="G405" s="27"/>
      <c r="H405" s="27"/>
      <c r="I405" s="27"/>
      <c r="J405" s="27"/>
      <c r="K405" s="27"/>
      <c r="L405" s="27"/>
      <c r="M405" s="28">
        <f t="shared" si="94"/>
        <v>6474</v>
      </c>
      <c r="N405" s="57"/>
    </row>
    <row r="406" spans="1:14" s="58" customFormat="1" ht="38.25">
      <c r="A406" s="111" t="s">
        <v>314</v>
      </c>
      <c r="B406" s="20" t="s">
        <v>281</v>
      </c>
      <c r="C406" s="56">
        <f>C407+C409+C413+C415</f>
        <v>3827509</v>
      </c>
      <c r="D406" s="56">
        <f aca="true" t="shared" si="103" ref="D406:L406">D407+D409+D413+D415</f>
        <v>1787466</v>
      </c>
      <c r="E406" s="56">
        <f t="shared" si="103"/>
        <v>620835</v>
      </c>
      <c r="F406" s="56">
        <f aca="true" t="shared" si="104" ref="F406:F412">G406+J406</f>
        <v>4471981</v>
      </c>
      <c r="G406" s="56">
        <f>G407+G409+G413+G415</f>
        <v>180907</v>
      </c>
      <c r="H406" s="56">
        <f t="shared" si="103"/>
        <v>0</v>
      </c>
      <c r="I406" s="56">
        <f t="shared" si="103"/>
        <v>0</v>
      </c>
      <c r="J406" s="56">
        <f>J407+J409+J413+J415+J411</f>
        <v>4291074</v>
      </c>
      <c r="K406" s="56">
        <f>K407+K409+K413+K415+K411</f>
        <v>4291074</v>
      </c>
      <c r="L406" s="56">
        <f t="shared" si="103"/>
        <v>39000</v>
      </c>
      <c r="M406" s="56">
        <f t="shared" si="94"/>
        <v>8299490</v>
      </c>
      <c r="N406" s="57"/>
    </row>
    <row r="407" spans="1:14" s="61" customFormat="1" ht="12.75">
      <c r="A407" s="43" t="s">
        <v>150</v>
      </c>
      <c r="B407" s="44" t="s">
        <v>151</v>
      </c>
      <c r="C407" s="45">
        <f>C408</f>
        <v>3150042</v>
      </c>
      <c r="D407" s="45">
        <f>D408</f>
        <v>1787466</v>
      </c>
      <c r="E407" s="45">
        <f>E408</f>
        <v>395385</v>
      </c>
      <c r="F407" s="45">
        <f t="shared" si="104"/>
        <v>54266</v>
      </c>
      <c r="G407" s="45">
        <f aca="true" t="shared" si="105" ref="G407:L407">G408</f>
        <v>14576</v>
      </c>
      <c r="H407" s="45">
        <f t="shared" si="105"/>
        <v>0</v>
      </c>
      <c r="I407" s="45">
        <f t="shared" si="105"/>
        <v>0</v>
      </c>
      <c r="J407" s="45">
        <f t="shared" si="105"/>
        <v>39690</v>
      </c>
      <c r="K407" s="45">
        <f t="shared" si="105"/>
        <v>39690</v>
      </c>
      <c r="L407" s="45">
        <f t="shared" si="105"/>
        <v>0</v>
      </c>
      <c r="M407" s="45">
        <f t="shared" si="94"/>
        <v>3204308</v>
      </c>
      <c r="N407" s="57"/>
    </row>
    <row r="408" spans="1:14" s="61" customFormat="1" ht="12.75">
      <c r="A408" s="77" t="s">
        <v>21</v>
      </c>
      <c r="B408" s="44" t="s">
        <v>22</v>
      </c>
      <c r="C408" s="45">
        <f>2808880+39016+4911+133703+21125+6094+136313</f>
        <v>3150042</v>
      </c>
      <c r="D408" s="45">
        <f>1605420+98095-11340+81891+13400</f>
        <v>1787466</v>
      </c>
      <c r="E408" s="45">
        <v>395385</v>
      </c>
      <c r="F408" s="45">
        <f t="shared" si="104"/>
        <v>54266</v>
      </c>
      <c r="G408" s="45">
        <v>14576</v>
      </c>
      <c r="H408" s="45"/>
      <c r="I408" s="45"/>
      <c r="J408" s="45">
        <f>28515+7248+3927</f>
        <v>39690</v>
      </c>
      <c r="K408" s="45">
        <f>J408</f>
        <v>39690</v>
      </c>
      <c r="L408" s="45"/>
      <c r="M408" s="45">
        <f t="shared" si="94"/>
        <v>3204308</v>
      </c>
      <c r="N408" s="57"/>
    </row>
    <row r="409" spans="1:14" s="3" customFormat="1" ht="12.75">
      <c r="A409" s="9" t="s">
        <v>162</v>
      </c>
      <c r="B409" s="4" t="s">
        <v>164</v>
      </c>
      <c r="C409" s="27">
        <f>C410</f>
        <v>649012</v>
      </c>
      <c r="D409" s="27">
        <f aca="true" t="shared" si="106" ref="D409:L409">D410</f>
        <v>0</v>
      </c>
      <c r="E409" s="27">
        <f t="shared" si="106"/>
        <v>225450</v>
      </c>
      <c r="F409" s="45">
        <f t="shared" si="104"/>
        <v>168018</v>
      </c>
      <c r="G409" s="27">
        <f t="shared" si="106"/>
        <v>129018</v>
      </c>
      <c r="H409" s="27">
        <f t="shared" si="106"/>
        <v>0</v>
      </c>
      <c r="I409" s="27">
        <f t="shared" si="106"/>
        <v>0</v>
      </c>
      <c r="J409" s="27">
        <f t="shared" si="106"/>
        <v>39000</v>
      </c>
      <c r="K409" s="27">
        <f t="shared" si="106"/>
        <v>39000</v>
      </c>
      <c r="L409" s="27">
        <f t="shared" si="106"/>
        <v>39000</v>
      </c>
      <c r="M409" s="45">
        <f t="shared" si="94"/>
        <v>817030</v>
      </c>
      <c r="N409" s="57"/>
    </row>
    <row r="410" spans="1:14" s="3" customFormat="1" ht="12.75">
      <c r="A410" s="9" t="s">
        <v>239</v>
      </c>
      <c r="B410" s="4" t="s">
        <v>245</v>
      </c>
      <c r="C410" s="27">
        <f>441000+158012+50000</f>
        <v>649012</v>
      </c>
      <c r="D410" s="27"/>
      <c r="E410" s="27">
        <f>175450+50000</f>
        <v>225450</v>
      </c>
      <c r="F410" s="45">
        <f t="shared" si="104"/>
        <v>168018</v>
      </c>
      <c r="G410" s="27">
        <v>129018</v>
      </c>
      <c r="H410" s="27"/>
      <c r="I410" s="27"/>
      <c r="J410" s="27">
        <v>39000</v>
      </c>
      <c r="K410" s="27">
        <v>39000</v>
      </c>
      <c r="L410" s="27">
        <v>39000</v>
      </c>
      <c r="M410" s="45">
        <f t="shared" si="94"/>
        <v>817030</v>
      </c>
      <c r="N410" s="57"/>
    </row>
    <row r="411" spans="1:14" s="3" customFormat="1" ht="12.75">
      <c r="A411" s="40" t="s">
        <v>154</v>
      </c>
      <c r="B411" s="64" t="s">
        <v>55</v>
      </c>
      <c r="C411" s="38"/>
      <c r="D411" s="38"/>
      <c r="E411" s="38"/>
      <c r="F411" s="38">
        <f t="shared" si="104"/>
        <v>4212384</v>
      </c>
      <c r="G411" s="38"/>
      <c r="H411" s="38"/>
      <c r="I411" s="38"/>
      <c r="J411" s="38">
        <f>J412</f>
        <v>4212384</v>
      </c>
      <c r="K411" s="38">
        <f>K412</f>
        <v>4212384</v>
      </c>
      <c r="L411" s="38"/>
      <c r="M411" s="59">
        <f t="shared" si="94"/>
        <v>4212384</v>
      </c>
      <c r="N411" s="57"/>
    </row>
    <row r="412" spans="1:14" s="3" customFormat="1" ht="12.75">
      <c r="A412" s="40" t="s">
        <v>121</v>
      </c>
      <c r="B412" s="62" t="s">
        <v>122</v>
      </c>
      <c r="C412" s="38"/>
      <c r="D412" s="38"/>
      <c r="E412" s="38"/>
      <c r="F412" s="38">
        <f t="shared" si="104"/>
        <v>4212384</v>
      </c>
      <c r="G412" s="38"/>
      <c r="H412" s="38"/>
      <c r="I412" s="38"/>
      <c r="J412" s="38">
        <f>K412</f>
        <v>4212384</v>
      </c>
      <c r="K412" s="38">
        <f>6712467-2375769-124050-264</f>
        <v>4212384</v>
      </c>
      <c r="L412" s="38"/>
      <c r="M412" s="59">
        <f t="shared" si="94"/>
        <v>4212384</v>
      </c>
      <c r="N412" s="57"/>
    </row>
    <row r="413" spans="1:14" s="3" customFormat="1" ht="12.75">
      <c r="A413" s="9" t="s">
        <v>157</v>
      </c>
      <c r="B413" s="4" t="s">
        <v>161</v>
      </c>
      <c r="C413" s="27">
        <f>C414</f>
        <v>0</v>
      </c>
      <c r="D413" s="27">
        <f aca="true" t="shared" si="107" ref="D413:L413">D414</f>
        <v>0</v>
      </c>
      <c r="E413" s="27">
        <f t="shared" si="107"/>
        <v>0</v>
      </c>
      <c r="F413" s="27">
        <f t="shared" si="107"/>
        <v>37313</v>
      </c>
      <c r="G413" s="27">
        <f t="shared" si="107"/>
        <v>37313</v>
      </c>
      <c r="H413" s="27">
        <f t="shared" si="107"/>
        <v>0</v>
      </c>
      <c r="I413" s="27">
        <f t="shared" si="107"/>
        <v>0</v>
      </c>
      <c r="J413" s="27">
        <f t="shared" si="107"/>
        <v>0</v>
      </c>
      <c r="K413" s="27">
        <f t="shared" si="107"/>
        <v>0</v>
      </c>
      <c r="L413" s="27">
        <f t="shared" si="107"/>
        <v>0</v>
      </c>
      <c r="M413" s="45">
        <f t="shared" si="94"/>
        <v>37313</v>
      </c>
      <c r="N413" s="57"/>
    </row>
    <row r="414" spans="1:14" s="3" customFormat="1" ht="79.5" customHeight="1">
      <c r="A414" s="9" t="s">
        <v>59</v>
      </c>
      <c r="B414" s="83" t="s">
        <v>248</v>
      </c>
      <c r="C414" s="27"/>
      <c r="D414" s="27"/>
      <c r="E414" s="27"/>
      <c r="F414" s="27">
        <f>G414+J414</f>
        <v>37313</v>
      </c>
      <c r="G414" s="27">
        <f>17813+19500</f>
        <v>37313</v>
      </c>
      <c r="H414" s="27"/>
      <c r="I414" s="27"/>
      <c r="J414" s="27">
        <f>110000-110000</f>
        <v>0</v>
      </c>
      <c r="K414" s="27"/>
      <c r="L414" s="27"/>
      <c r="M414" s="45">
        <f t="shared" si="94"/>
        <v>37313</v>
      </c>
      <c r="N414" s="57"/>
    </row>
    <row r="415" spans="1:14" s="3" customFormat="1" ht="27.75" customHeight="1">
      <c r="A415" s="9" t="s">
        <v>159</v>
      </c>
      <c r="B415" s="64" t="s">
        <v>160</v>
      </c>
      <c r="C415" s="27">
        <f>C416</f>
        <v>28455</v>
      </c>
      <c r="D415" s="27">
        <f aca="true" t="shared" si="108" ref="D415:L415">D416</f>
        <v>0</v>
      </c>
      <c r="E415" s="27">
        <f t="shared" si="108"/>
        <v>0</v>
      </c>
      <c r="F415" s="27">
        <f t="shared" si="108"/>
        <v>0</v>
      </c>
      <c r="G415" s="27">
        <f t="shared" si="108"/>
        <v>0</v>
      </c>
      <c r="H415" s="27">
        <f t="shared" si="108"/>
        <v>0</v>
      </c>
      <c r="I415" s="27">
        <f t="shared" si="108"/>
        <v>0</v>
      </c>
      <c r="J415" s="27">
        <f t="shared" si="108"/>
        <v>0</v>
      </c>
      <c r="K415" s="27">
        <f t="shared" si="108"/>
        <v>0</v>
      </c>
      <c r="L415" s="27">
        <f t="shared" si="108"/>
        <v>0</v>
      </c>
      <c r="M415" s="45">
        <f aca="true" t="shared" si="109" ref="M415:M456">C415+F415</f>
        <v>28455</v>
      </c>
      <c r="N415" s="57"/>
    </row>
    <row r="416" spans="1:14" s="3" customFormat="1" ht="12.75">
      <c r="A416" s="9" t="s">
        <v>60</v>
      </c>
      <c r="B416" s="4" t="s">
        <v>98</v>
      </c>
      <c r="C416" s="27">
        <f>C417+C418</f>
        <v>28455</v>
      </c>
      <c r="D416" s="27"/>
      <c r="E416" s="27"/>
      <c r="F416" s="27"/>
      <c r="G416" s="27"/>
      <c r="H416" s="27"/>
      <c r="I416" s="27"/>
      <c r="J416" s="27"/>
      <c r="K416" s="27"/>
      <c r="L416" s="27"/>
      <c r="M416" s="45">
        <f t="shared" si="109"/>
        <v>28455</v>
      </c>
      <c r="N416" s="57"/>
    </row>
    <row r="417" spans="1:14" s="3" customFormat="1" ht="38.25" hidden="1">
      <c r="A417" s="9"/>
      <c r="B417" s="4" t="s">
        <v>339</v>
      </c>
      <c r="C417" s="27">
        <f>15425+801+2403</f>
        <v>18629</v>
      </c>
      <c r="D417" s="27"/>
      <c r="E417" s="27"/>
      <c r="F417" s="27"/>
      <c r="G417" s="27"/>
      <c r="H417" s="27"/>
      <c r="I417" s="27"/>
      <c r="J417" s="27"/>
      <c r="K417" s="27"/>
      <c r="L417" s="27"/>
      <c r="M417" s="45">
        <f t="shared" si="109"/>
        <v>18629</v>
      </c>
      <c r="N417" s="57"/>
    </row>
    <row r="418" spans="1:14" s="3" customFormat="1" ht="12.75" hidden="1">
      <c r="A418" s="9"/>
      <c r="B418" s="4" t="s">
        <v>292</v>
      </c>
      <c r="C418" s="27">
        <v>9826</v>
      </c>
      <c r="D418" s="27"/>
      <c r="E418" s="27"/>
      <c r="F418" s="27"/>
      <c r="G418" s="27"/>
      <c r="H418" s="27"/>
      <c r="I418" s="27"/>
      <c r="J418" s="27"/>
      <c r="K418" s="27"/>
      <c r="L418" s="27"/>
      <c r="M418" s="45">
        <f t="shared" si="109"/>
        <v>9826</v>
      </c>
      <c r="N418" s="57"/>
    </row>
    <row r="419" spans="1:14" s="19" customFormat="1" ht="41.25" customHeight="1">
      <c r="A419" s="18" t="s">
        <v>315</v>
      </c>
      <c r="B419" s="20" t="s">
        <v>282</v>
      </c>
      <c r="C419" s="31">
        <f>C420+C422+C426+C428</f>
        <v>3667906</v>
      </c>
      <c r="D419" s="31">
        <f>D420+D422+D426+D428</f>
        <v>1913967</v>
      </c>
      <c r="E419" s="31">
        <f>E420+E422+E426+E428</f>
        <v>520202</v>
      </c>
      <c r="F419" s="31">
        <f>G419+J419</f>
        <v>1359674</v>
      </c>
      <c r="G419" s="31">
        <f>G420+G422+G426+G428</f>
        <v>14729</v>
      </c>
      <c r="H419" s="31">
        <f>H420+H422+H426+H428</f>
        <v>0</v>
      </c>
      <c r="I419" s="31">
        <f>I420+I422+I426+I428</f>
        <v>0</v>
      </c>
      <c r="J419" s="31">
        <f>J420+J422+J426+J428+J424</f>
        <v>1344945</v>
      </c>
      <c r="K419" s="31">
        <f>K420+K422+K426+K428+K424</f>
        <v>1344945</v>
      </c>
      <c r="L419" s="31">
        <f>L420+L422+L426+L428</f>
        <v>13000</v>
      </c>
      <c r="M419" s="31">
        <f>C419+F419</f>
        <v>5027580</v>
      </c>
      <c r="N419" s="57"/>
    </row>
    <row r="420" spans="1:14" s="3" customFormat="1" ht="12.75">
      <c r="A420" s="9" t="s">
        <v>150</v>
      </c>
      <c r="B420" s="4" t="s">
        <v>151</v>
      </c>
      <c r="C420" s="27">
        <f>C421</f>
        <v>3271746</v>
      </c>
      <c r="D420" s="27">
        <f>D421</f>
        <v>1913967</v>
      </c>
      <c r="E420" s="27">
        <f>E421</f>
        <v>340120</v>
      </c>
      <c r="F420" s="27">
        <f>G420+J420</f>
        <v>9000</v>
      </c>
      <c r="G420" s="27"/>
      <c r="H420" s="27"/>
      <c r="I420" s="27"/>
      <c r="J420" s="27">
        <f>J421</f>
        <v>9000</v>
      </c>
      <c r="K420" s="27">
        <f>K421</f>
        <v>9000</v>
      </c>
      <c r="L420" s="27">
        <f>L421</f>
        <v>0</v>
      </c>
      <c r="M420" s="27">
        <f t="shared" si="109"/>
        <v>3280746</v>
      </c>
      <c r="N420" s="57"/>
    </row>
    <row r="421" spans="1:14" s="1" customFormat="1" ht="15.75" customHeight="1">
      <c r="A421" s="8" t="s">
        <v>21</v>
      </c>
      <c r="B421" s="10" t="s">
        <v>22</v>
      </c>
      <c r="C421" s="27">
        <f>2819490+12000+64990+233393+1500-1500-11700+10818+142755</f>
        <v>3271746</v>
      </c>
      <c r="D421" s="27">
        <f>1653690+171235-10800-3694+97136+6400</f>
        <v>1913967</v>
      </c>
      <c r="E421" s="27">
        <v>340120</v>
      </c>
      <c r="F421" s="27">
        <f>G421+J421</f>
        <v>9000</v>
      </c>
      <c r="G421" s="27"/>
      <c r="H421" s="27"/>
      <c r="I421" s="27"/>
      <c r="J421" s="27">
        <f>36015-28515+1500</f>
        <v>9000</v>
      </c>
      <c r="K421" s="29">
        <f>J421</f>
        <v>9000</v>
      </c>
      <c r="L421" s="29"/>
      <c r="M421" s="27">
        <f t="shared" si="109"/>
        <v>3280746</v>
      </c>
      <c r="N421" s="57"/>
    </row>
    <row r="422" spans="1:14" s="3" customFormat="1" ht="12.75">
      <c r="A422" s="9" t="s">
        <v>162</v>
      </c>
      <c r="B422" s="4" t="s">
        <v>164</v>
      </c>
      <c r="C422" s="27">
        <f>C423</f>
        <v>359713</v>
      </c>
      <c r="D422" s="27">
        <f aca="true" t="shared" si="110" ref="D422:L422">D423</f>
        <v>0</v>
      </c>
      <c r="E422" s="27">
        <f t="shared" si="110"/>
        <v>180082</v>
      </c>
      <c r="F422" s="27">
        <f t="shared" si="110"/>
        <v>21229</v>
      </c>
      <c r="G422" s="27">
        <f t="shared" si="110"/>
        <v>8229</v>
      </c>
      <c r="H422" s="27">
        <f t="shared" si="110"/>
        <v>0</v>
      </c>
      <c r="I422" s="27">
        <f t="shared" si="110"/>
        <v>0</v>
      </c>
      <c r="J422" s="27">
        <f t="shared" si="110"/>
        <v>13000</v>
      </c>
      <c r="K422" s="27">
        <f t="shared" si="110"/>
        <v>13000</v>
      </c>
      <c r="L422" s="27">
        <f t="shared" si="110"/>
        <v>13000</v>
      </c>
      <c r="M422" s="27">
        <f t="shared" si="109"/>
        <v>380942</v>
      </c>
      <c r="N422" s="57"/>
    </row>
    <row r="423" spans="1:14" s="3" customFormat="1" ht="12.75">
      <c r="A423" s="9" t="s">
        <v>239</v>
      </c>
      <c r="B423" s="4" t="s">
        <v>245</v>
      </c>
      <c r="C423" s="27">
        <f>200000+157713+(2000)+(40000)-(30000)-(10000)</f>
        <v>359713</v>
      </c>
      <c r="D423" s="27"/>
      <c r="E423" s="27">
        <f>107006+73076</f>
        <v>180082</v>
      </c>
      <c r="F423" s="27">
        <f>G423+J423</f>
        <v>21229</v>
      </c>
      <c r="G423" s="27">
        <v>8229</v>
      </c>
      <c r="H423" s="27"/>
      <c r="I423" s="27"/>
      <c r="J423" s="27">
        <f>(13000)</f>
        <v>13000</v>
      </c>
      <c r="K423" s="27">
        <f>J423</f>
        <v>13000</v>
      </c>
      <c r="L423" s="27">
        <f>K423</f>
        <v>13000</v>
      </c>
      <c r="M423" s="27">
        <f t="shared" si="109"/>
        <v>380942</v>
      </c>
      <c r="N423" s="57"/>
    </row>
    <row r="424" spans="1:14" s="3" customFormat="1" ht="12.75">
      <c r="A424" s="40" t="s">
        <v>154</v>
      </c>
      <c r="B424" s="64" t="s">
        <v>55</v>
      </c>
      <c r="C424" s="38"/>
      <c r="D424" s="38"/>
      <c r="E424" s="38"/>
      <c r="F424" s="38">
        <f>G424+J424</f>
        <v>1322945</v>
      </c>
      <c r="G424" s="38"/>
      <c r="H424" s="38"/>
      <c r="I424" s="38"/>
      <c r="J424" s="38">
        <f>J425</f>
        <v>1322945</v>
      </c>
      <c r="K424" s="38">
        <f>K425</f>
        <v>1322945</v>
      </c>
      <c r="L424" s="38"/>
      <c r="M424" s="59">
        <f t="shared" si="109"/>
        <v>1322945</v>
      </c>
      <c r="N424" s="57"/>
    </row>
    <row r="425" spans="1:14" s="3" customFormat="1" ht="12.75">
      <c r="A425" s="40" t="s">
        <v>121</v>
      </c>
      <c r="B425" s="62" t="s">
        <v>122</v>
      </c>
      <c r="C425" s="38"/>
      <c r="D425" s="38"/>
      <c r="E425" s="38"/>
      <c r="F425" s="38">
        <f>G425+J425</f>
        <v>1322945</v>
      </c>
      <c r="G425" s="38"/>
      <c r="H425" s="38"/>
      <c r="I425" s="38"/>
      <c r="J425" s="38">
        <f>K425</f>
        <v>1322945</v>
      </c>
      <c r="K425" s="38">
        <f>8424758-5349630-1802183+50000</f>
        <v>1322945</v>
      </c>
      <c r="L425" s="38"/>
      <c r="M425" s="59">
        <f t="shared" si="109"/>
        <v>1322945</v>
      </c>
      <c r="N425" s="57"/>
    </row>
    <row r="426" spans="1:14" s="3" customFormat="1" ht="15" customHeight="1">
      <c r="A426" s="9" t="s">
        <v>157</v>
      </c>
      <c r="B426" s="4" t="s">
        <v>161</v>
      </c>
      <c r="C426" s="27">
        <f>C427</f>
        <v>0</v>
      </c>
      <c r="D426" s="27">
        <f aca="true" t="shared" si="111" ref="D426:L426">D427</f>
        <v>0</v>
      </c>
      <c r="E426" s="27">
        <f t="shared" si="111"/>
        <v>0</v>
      </c>
      <c r="F426" s="38">
        <f>G426+J426</f>
        <v>6500</v>
      </c>
      <c r="G426" s="27">
        <f t="shared" si="111"/>
        <v>6500</v>
      </c>
      <c r="H426" s="27">
        <f t="shared" si="111"/>
        <v>0</v>
      </c>
      <c r="I426" s="27">
        <f t="shared" si="111"/>
        <v>0</v>
      </c>
      <c r="J426" s="27">
        <f t="shared" si="111"/>
        <v>0</v>
      </c>
      <c r="K426" s="27">
        <f t="shared" si="111"/>
        <v>0</v>
      </c>
      <c r="L426" s="27">
        <f t="shared" si="111"/>
        <v>0</v>
      </c>
      <c r="M426" s="27">
        <f t="shared" si="109"/>
        <v>6500</v>
      </c>
      <c r="N426" s="57"/>
    </row>
    <row r="427" spans="1:14" s="3" customFormat="1" ht="26.25" customHeight="1">
      <c r="A427" s="9" t="s">
        <v>59</v>
      </c>
      <c r="B427" s="4" t="s">
        <v>116</v>
      </c>
      <c r="C427" s="27"/>
      <c r="D427" s="27"/>
      <c r="E427" s="27"/>
      <c r="F427" s="38">
        <f>G427+J427</f>
        <v>6500</v>
      </c>
      <c r="G427" s="27">
        <v>6500</v>
      </c>
      <c r="H427" s="27"/>
      <c r="I427" s="27"/>
      <c r="J427" s="27"/>
      <c r="K427" s="27"/>
      <c r="L427" s="27"/>
      <c r="M427" s="27">
        <f t="shared" si="109"/>
        <v>6500</v>
      </c>
      <c r="N427" s="57"/>
    </row>
    <row r="428" spans="1:14" s="3" customFormat="1" ht="25.5" customHeight="1">
      <c r="A428" s="9" t="s">
        <v>159</v>
      </c>
      <c r="B428" s="64" t="s">
        <v>160</v>
      </c>
      <c r="C428" s="27">
        <f>C429</f>
        <v>36447</v>
      </c>
      <c r="D428" s="27"/>
      <c r="E428" s="27"/>
      <c r="F428" s="27"/>
      <c r="G428" s="27"/>
      <c r="H428" s="27"/>
      <c r="I428" s="27"/>
      <c r="J428" s="27"/>
      <c r="K428" s="27"/>
      <c r="L428" s="27"/>
      <c r="M428" s="27">
        <f t="shared" si="109"/>
        <v>36447</v>
      </c>
      <c r="N428" s="57"/>
    </row>
    <row r="429" spans="1:14" s="3" customFormat="1" ht="12.75">
      <c r="A429" s="9" t="s">
        <v>60</v>
      </c>
      <c r="B429" s="4" t="s">
        <v>98</v>
      </c>
      <c r="C429" s="27">
        <f>C430+C431</f>
        <v>36447</v>
      </c>
      <c r="D429" s="27"/>
      <c r="E429" s="27"/>
      <c r="F429" s="27"/>
      <c r="G429" s="27"/>
      <c r="H429" s="27"/>
      <c r="I429" s="27"/>
      <c r="J429" s="27"/>
      <c r="K429" s="27"/>
      <c r="L429" s="27"/>
      <c r="M429" s="27">
        <f t="shared" si="109"/>
        <v>36447</v>
      </c>
      <c r="N429" s="57"/>
    </row>
    <row r="430" spans="1:14" s="3" customFormat="1" ht="38.25" hidden="1">
      <c r="A430" s="9"/>
      <c r="B430" s="4" t="s">
        <v>339</v>
      </c>
      <c r="C430" s="27">
        <f>25166+1202+3605</f>
        <v>29973</v>
      </c>
      <c r="D430" s="27"/>
      <c r="E430" s="27"/>
      <c r="F430" s="27"/>
      <c r="G430" s="27"/>
      <c r="H430" s="27"/>
      <c r="I430" s="27"/>
      <c r="J430" s="27"/>
      <c r="K430" s="27"/>
      <c r="L430" s="27"/>
      <c r="M430" s="27">
        <f t="shared" si="109"/>
        <v>29973</v>
      </c>
      <c r="N430" s="57"/>
    </row>
    <row r="431" spans="1:14" s="3" customFormat="1" ht="12.75" hidden="1">
      <c r="A431" s="9"/>
      <c r="B431" s="4" t="s">
        <v>292</v>
      </c>
      <c r="C431" s="27">
        <v>6474</v>
      </c>
      <c r="D431" s="27"/>
      <c r="E431" s="27"/>
      <c r="F431" s="27"/>
      <c r="G431" s="27"/>
      <c r="H431" s="27"/>
      <c r="I431" s="27"/>
      <c r="J431" s="27"/>
      <c r="K431" s="27"/>
      <c r="L431" s="27"/>
      <c r="M431" s="27">
        <f t="shared" si="109"/>
        <v>6474</v>
      </c>
      <c r="N431" s="57"/>
    </row>
    <row r="432" spans="1:14" s="19" customFormat="1" ht="38.25">
      <c r="A432" s="18" t="s">
        <v>316</v>
      </c>
      <c r="B432" s="20" t="s">
        <v>285</v>
      </c>
      <c r="C432" s="30">
        <f>C433+C435+C437+C439</f>
        <v>4506829</v>
      </c>
      <c r="D432" s="30">
        <f aca="true" t="shared" si="112" ref="D432:L432">D433+D435+D437+D439</f>
        <v>2065389</v>
      </c>
      <c r="E432" s="30">
        <f t="shared" si="112"/>
        <v>758740</v>
      </c>
      <c r="F432" s="30">
        <f>G432+J432</f>
        <v>511723</v>
      </c>
      <c r="G432" s="30">
        <f>G433+G435+G437+G439</f>
        <v>450808</v>
      </c>
      <c r="H432" s="30">
        <f t="shared" si="112"/>
        <v>0</v>
      </c>
      <c r="I432" s="30">
        <f t="shared" si="112"/>
        <v>0</v>
      </c>
      <c r="J432" s="30">
        <f t="shared" si="112"/>
        <v>60915</v>
      </c>
      <c r="K432" s="30">
        <f t="shared" si="112"/>
        <v>30915</v>
      </c>
      <c r="L432" s="30">
        <f t="shared" si="112"/>
        <v>0</v>
      </c>
      <c r="M432" s="30">
        <f t="shared" si="109"/>
        <v>5018552</v>
      </c>
      <c r="N432" s="57"/>
    </row>
    <row r="433" spans="1:14" s="3" customFormat="1" ht="12.75">
      <c r="A433" s="9" t="s">
        <v>150</v>
      </c>
      <c r="B433" s="12" t="s">
        <v>151</v>
      </c>
      <c r="C433" s="26">
        <f>C434</f>
        <v>3440161</v>
      </c>
      <c r="D433" s="26">
        <f>D434</f>
        <v>2065389</v>
      </c>
      <c r="E433" s="26">
        <f>E434</f>
        <v>344840</v>
      </c>
      <c r="F433" s="26">
        <f>G433+J433</f>
        <v>168303</v>
      </c>
      <c r="G433" s="26">
        <f aca="true" t="shared" si="113" ref="G433:L433">G434</f>
        <v>137388</v>
      </c>
      <c r="H433" s="26">
        <f t="shared" si="113"/>
        <v>0</v>
      </c>
      <c r="I433" s="26">
        <f t="shared" si="113"/>
        <v>0</v>
      </c>
      <c r="J433" s="26">
        <f t="shared" si="113"/>
        <v>30915</v>
      </c>
      <c r="K433" s="26">
        <f t="shared" si="113"/>
        <v>30915</v>
      </c>
      <c r="L433" s="26">
        <f t="shared" si="113"/>
        <v>0</v>
      </c>
      <c r="M433" s="26">
        <f t="shared" si="109"/>
        <v>3608464</v>
      </c>
      <c r="N433" s="57"/>
    </row>
    <row r="434" spans="1:14" s="5" customFormat="1" ht="12.75">
      <c r="A434" s="8" t="s">
        <v>21</v>
      </c>
      <c r="B434" s="2" t="s">
        <v>22</v>
      </c>
      <c r="C434" s="24">
        <f>3027800+46312-16460+342383+550-6820+1350+8-150661+186163+9536</f>
        <v>3440161</v>
      </c>
      <c r="D434" s="24">
        <f>1787540-16460+253240-24680-102016+160769+6996</f>
        <v>2065389</v>
      </c>
      <c r="E434" s="24">
        <f>344840</f>
        <v>344840</v>
      </c>
      <c r="F434" s="26">
        <f>G434+J434</f>
        <v>168303</v>
      </c>
      <c r="G434" s="24">
        <v>137388</v>
      </c>
      <c r="H434" s="24"/>
      <c r="I434" s="24"/>
      <c r="J434" s="24">
        <f>28515+2400</f>
        <v>30915</v>
      </c>
      <c r="K434" s="24">
        <f>J434</f>
        <v>30915</v>
      </c>
      <c r="L434" s="24"/>
      <c r="M434" s="26">
        <f t="shared" si="109"/>
        <v>3608464</v>
      </c>
      <c r="N434" s="57"/>
    </row>
    <row r="435" spans="1:14" s="3" customFormat="1" ht="12.75">
      <c r="A435" s="9" t="s">
        <v>162</v>
      </c>
      <c r="B435" s="4" t="s">
        <v>164</v>
      </c>
      <c r="C435" s="27">
        <f>C436</f>
        <v>869513</v>
      </c>
      <c r="D435" s="27">
        <f aca="true" t="shared" si="114" ref="D435:L435">D436</f>
        <v>0</v>
      </c>
      <c r="E435" s="27">
        <f t="shared" si="114"/>
        <v>413900</v>
      </c>
      <c r="F435" s="27">
        <f t="shared" si="114"/>
        <v>0</v>
      </c>
      <c r="G435" s="27">
        <f t="shared" si="114"/>
        <v>0</v>
      </c>
      <c r="H435" s="27">
        <f t="shared" si="114"/>
        <v>0</v>
      </c>
      <c r="I435" s="27">
        <f t="shared" si="114"/>
        <v>0</v>
      </c>
      <c r="J435" s="27">
        <f t="shared" si="114"/>
        <v>0</v>
      </c>
      <c r="K435" s="27">
        <f t="shared" si="114"/>
        <v>0</v>
      </c>
      <c r="L435" s="27">
        <f t="shared" si="114"/>
        <v>0</v>
      </c>
      <c r="M435" s="26">
        <f t="shared" si="109"/>
        <v>869513</v>
      </c>
      <c r="N435" s="57"/>
    </row>
    <row r="436" spans="1:14" s="3" customFormat="1" ht="12.75">
      <c r="A436" s="9" t="s">
        <v>239</v>
      </c>
      <c r="B436" s="4" t="s">
        <v>245</v>
      </c>
      <c r="C436" s="27">
        <f>706391+40222+22900+200000-22800-50000-27200</f>
        <v>869513</v>
      </c>
      <c r="D436" s="27"/>
      <c r="E436" s="27">
        <f>297000-6000+200000-100000+22900</f>
        <v>413900</v>
      </c>
      <c r="F436" s="27"/>
      <c r="G436" s="27"/>
      <c r="H436" s="27"/>
      <c r="I436" s="27"/>
      <c r="J436" s="27"/>
      <c r="K436" s="27"/>
      <c r="L436" s="27"/>
      <c r="M436" s="26">
        <f t="shared" si="109"/>
        <v>869513</v>
      </c>
      <c r="N436" s="57"/>
    </row>
    <row r="437" spans="1:14" s="3" customFormat="1" ht="12.75">
      <c r="A437" s="9" t="s">
        <v>157</v>
      </c>
      <c r="B437" s="4" t="s">
        <v>161</v>
      </c>
      <c r="C437" s="27">
        <f>C438</f>
        <v>0</v>
      </c>
      <c r="D437" s="27">
        <f aca="true" t="shared" si="115" ref="D437:L437">D438</f>
        <v>0</v>
      </c>
      <c r="E437" s="27">
        <f t="shared" si="115"/>
        <v>0</v>
      </c>
      <c r="F437" s="27">
        <f t="shared" si="115"/>
        <v>343420</v>
      </c>
      <c r="G437" s="27">
        <f t="shared" si="115"/>
        <v>313420</v>
      </c>
      <c r="H437" s="27">
        <f t="shared" si="115"/>
        <v>0</v>
      </c>
      <c r="I437" s="27">
        <f t="shared" si="115"/>
        <v>0</v>
      </c>
      <c r="J437" s="27">
        <f t="shared" si="115"/>
        <v>30000</v>
      </c>
      <c r="K437" s="27">
        <f t="shared" si="115"/>
        <v>0</v>
      </c>
      <c r="L437" s="27">
        <f t="shared" si="115"/>
        <v>0</v>
      </c>
      <c r="M437" s="26">
        <f t="shared" si="109"/>
        <v>343420</v>
      </c>
      <c r="N437" s="57"/>
    </row>
    <row r="438" spans="1:14" s="3" customFormat="1" ht="78" customHeight="1">
      <c r="A438" s="9" t="s">
        <v>59</v>
      </c>
      <c r="B438" s="83" t="s">
        <v>248</v>
      </c>
      <c r="C438" s="27"/>
      <c r="D438" s="27"/>
      <c r="E438" s="27"/>
      <c r="F438" s="27">
        <f>G438+J438</f>
        <v>343420</v>
      </c>
      <c r="G438" s="27">
        <f>430000+26920-10000-160000+26500</f>
        <v>313420</v>
      </c>
      <c r="H438" s="27"/>
      <c r="I438" s="27"/>
      <c r="J438" s="27">
        <f>70000-40000</f>
        <v>30000</v>
      </c>
      <c r="K438" s="27"/>
      <c r="L438" s="27"/>
      <c r="M438" s="26">
        <f t="shared" si="109"/>
        <v>343420</v>
      </c>
      <c r="N438" s="57"/>
    </row>
    <row r="439" spans="1:14" s="3" customFormat="1" ht="25.5" customHeight="1">
      <c r="A439" s="9" t="s">
        <v>159</v>
      </c>
      <c r="B439" s="64" t="s">
        <v>160</v>
      </c>
      <c r="C439" s="27">
        <f>C440</f>
        <v>197155</v>
      </c>
      <c r="D439" s="27">
        <f aca="true" t="shared" si="116" ref="D439:L439">D440</f>
        <v>0</v>
      </c>
      <c r="E439" s="27">
        <f t="shared" si="116"/>
        <v>0</v>
      </c>
      <c r="F439" s="27">
        <f t="shared" si="116"/>
        <v>0</v>
      </c>
      <c r="G439" s="27">
        <f t="shared" si="116"/>
        <v>0</v>
      </c>
      <c r="H439" s="27">
        <f t="shared" si="116"/>
        <v>0</v>
      </c>
      <c r="I439" s="27">
        <f t="shared" si="116"/>
        <v>0</v>
      </c>
      <c r="J439" s="27">
        <f t="shared" si="116"/>
        <v>0</v>
      </c>
      <c r="K439" s="27">
        <f t="shared" si="116"/>
        <v>0</v>
      </c>
      <c r="L439" s="27">
        <f t="shared" si="116"/>
        <v>0</v>
      </c>
      <c r="M439" s="26">
        <f t="shared" si="109"/>
        <v>197155</v>
      </c>
      <c r="N439" s="57"/>
    </row>
    <row r="440" spans="1:14" s="3" customFormat="1" ht="12.75">
      <c r="A440" s="9" t="s">
        <v>60</v>
      </c>
      <c r="B440" s="4" t="s">
        <v>98</v>
      </c>
      <c r="C440" s="27">
        <f>C441+C442+C443</f>
        <v>197155</v>
      </c>
      <c r="D440" s="27"/>
      <c r="E440" s="27"/>
      <c r="F440" s="27"/>
      <c r="G440" s="27"/>
      <c r="H440" s="27"/>
      <c r="I440" s="27"/>
      <c r="J440" s="27"/>
      <c r="K440" s="27"/>
      <c r="L440" s="27"/>
      <c r="M440" s="26">
        <f t="shared" si="109"/>
        <v>197155</v>
      </c>
      <c r="N440" s="57"/>
    </row>
    <row r="441" spans="1:14" s="3" customFormat="1" ht="38.25" hidden="1">
      <c r="A441" s="9"/>
      <c r="B441" s="4" t="s">
        <v>339</v>
      </c>
      <c r="C441" s="27">
        <f>167742+5007+12616</f>
        <v>185365</v>
      </c>
      <c r="D441" s="27"/>
      <c r="E441" s="27"/>
      <c r="F441" s="27"/>
      <c r="G441" s="27"/>
      <c r="H441" s="27"/>
      <c r="I441" s="27"/>
      <c r="J441" s="27"/>
      <c r="K441" s="27"/>
      <c r="L441" s="27"/>
      <c r="M441" s="26">
        <f>C441+F441</f>
        <v>185365</v>
      </c>
      <c r="N441" s="57"/>
    </row>
    <row r="442" spans="1:14" s="3" customFormat="1" ht="38.25" hidden="1">
      <c r="A442" s="9"/>
      <c r="B442" s="4" t="s">
        <v>342</v>
      </c>
      <c r="C442" s="27">
        <f>(1000)</f>
        <v>1000</v>
      </c>
      <c r="D442" s="27"/>
      <c r="E442" s="27"/>
      <c r="F442" s="27"/>
      <c r="G442" s="27"/>
      <c r="H442" s="27"/>
      <c r="I442" s="27"/>
      <c r="J442" s="27"/>
      <c r="K442" s="27"/>
      <c r="L442" s="27"/>
      <c r="M442" s="26">
        <f>C442+F442</f>
        <v>1000</v>
      </c>
      <c r="N442" s="57"/>
    </row>
    <row r="443" spans="1:14" s="3" customFormat="1" ht="23.25" customHeight="1" hidden="1">
      <c r="A443" s="9"/>
      <c r="B443" s="4" t="s">
        <v>292</v>
      </c>
      <c r="C443" s="27">
        <v>10790</v>
      </c>
      <c r="D443" s="27"/>
      <c r="E443" s="27"/>
      <c r="F443" s="27"/>
      <c r="G443" s="27"/>
      <c r="H443" s="27"/>
      <c r="I443" s="27"/>
      <c r="J443" s="27"/>
      <c r="K443" s="27"/>
      <c r="L443" s="27"/>
      <c r="M443" s="26">
        <f t="shared" si="109"/>
        <v>10790</v>
      </c>
      <c r="N443" s="57"/>
    </row>
    <row r="444" spans="1:14" s="19" customFormat="1" ht="37.5" customHeight="1">
      <c r="A444" s="23" t="s">
        <v>317</v>
      </c>
      <c r="B444" s="20" t="s">
        <v>283</v>
      </c>
      <c r="C444" s="31">
        <f>C445+C447+C451+C453</f>
        <v>4039122</v>
      </c>
      <c r="D444" s="31">
        <f aca="true" t="shared" si="117" ref="D444:I444">D445+D447+D451+D453</f>
        <v>2017705</v>
      </c>
      <c r="E444" s="31">
        <f t="shared" si="117"/>
        <v>662062</v>
      </c>
      <c r="F444" s="31">
        <f aca="true" t="shared" si="118" ref="F444:F450">G444+J444</f>
        <v>667107</v>
      </c>
      <c r="G444" s="31">
        <f>G445+G447+G451+G453</f>
        <v>64211</v>
      </c>
      <c r="H444" s="31">
        <f t="shared" si="117"/>
        <v>0</v>
      </c>
      <c r="I444" s="31">
        <f t="shared" si="117"/>
        <v>0</v>
      </c>
      <c r="J444" s="31">
        <f>J445+J447+J451+J453+J449</f>
        <v>602896</v>
      </c>
      <c r="K444" s="31">
        <f>K445+K447+K451+K453+K449</f>
        <v>602896</v>
      </c>
      <c r="L444" s="31">
        <f>L445+L447+L451+L453+L449</f>
        <v>142000</v>
      </c>
      <c r="M444" s="31">
        <f t="shared" si="109"/>
        <v>4706229</v>
      </c>
      <c r="N444" s="57"/>
    </row>
    <row r="445" spans="1:14" s="3" customFormat="1" ht="12.75">
      <c r="A445" s="14" t="s">
        <v>150</v>
      </c>
      <c r="B445" s="12" t="s">
        <v>151</v>
      </c>
      <c r="C445" s="27">
        <f>C446</f>
        <v>3441047</v>
      </c>
      <c r="D445" s="27">
        <f>D446</f>
        <v>2017705</v>
      </c>
      <c r="E445" s="27">
        <f>E446</f>
        <v>420930</v>
      </c>
      <c r="F445" s="27">
        <f t="shared" si="118"/>
        <v>47826</v>
      </c>
      <c r="G445" s="27">
        <f aca="true" t="shared" si="119" ref="G445:L445">G446</f>
        <v>39930</v>
      </c>
      <c r="H445" s="27">
        <f t="shared" si="119"/>
        <v>0</v>
      </c>
      <c r="I445" s="27">
        <f t="shared" si="119"/>
        <v>0</v>
      </c>
      <c r="J445" s="27">
        <f t="shared" si="119"/>
        <v>7896</v>
      </c>
      <c r="K445" s="27">
        <f t="shared" si="119"/>
        <v>7896</v>
      </c>
      <c r="L445" s="27">
        <f t="shared" si="119"/>
        <v>0</v>
      </c>
      <c r="M445" s="27">
        <f t="shared" si="109"/>
        <v>3488873</v>
      </c>
      <c r="N445" s="57"/>
    </row>
    <row r="446" spans="1:14" s="5" customFormat="1" ht="12.75">
      <c r="A446" s="16" t="s">
        <v>21</v>
      </c>
      <c r="B446" s="2" t="s">
        <v>22</v>
      </c>
      <c r="C446" s="27">
        <f>2943550+13000+54804+1046-10730+215477+1400+15550+6600+198950+1400</f>
        <v>3441047</v>
      </c>
      <c r="D446" s="27">
        <f>1714880-10730+168979-5231+149807</f>
        <v>2017705</v>
      </c>
      <c r="E446" s="27">
        <v>420930</v>
      </c>
      <c r="F446" s="27">
        <f t="shared" si="118"/>
        <v>47826</v>
      </c>
      <c r="G446" s="27">
        <v>39930</v>
      </c>
      <c r="H446" s="27"/>
      <c r="I446" s="27"/>
      <c r="J446" s="27">
        <f>33515-28515+2896</f>
        <v>7896</v>
      </c>
      <c r="K446" s="27">
        <f>J446</f>
        <v>7896</v>
      </c>
      <c r="L446" s="27"/>
      <c r="M446" s="27">
        <f t="shared" si="109"/>
        <v>3488873</v>
      </c>
      <c r="N446" s="57"/>
    </row>
    <row r="447" spans="1:14" s="3" customFormat="1" ht="12.75">
      <c r="A447" s="9" t="s">
        <v>162</v>
      </c>
      <c r="B447" s="4" t="s">
        <v>164</v>
      </c>
      <c r="C447" s="27">
        <f>C448</f>
        <v>545298</v>
      </c>
      <c r="D447" s="27">
        <f aca="true" t="shared" si="120" ref="D447:L447">D448</f>
        <v>0</v>
      </c>
      <c r="E447" s="27">
        <f t="shared" si="120"/>
        <v>241132</v>
      </c>
      <c r="F447" s="27">
        <f t="shared" si="118"/>
        <v>43000</v>
      </c>
      <c r="G447" s="27">
        <f t="shared" si="120"/>
        <v>0</v>
      </c>
      <c r="H447" s="27">
        <f t="shared" si="120"/>
        <v>0</v>
      </c>
      <c r="I447" s="27">
        <f t="shared" si="120"/>
        <v>0</v>
      </c>
      <c r="J447" s="27">
        <f t="shared" si="120"/>
        <v>43000</v>
      </c>
      <c r="K447" s="27">
        <f t="shared" si="120"/>
        <v>43000</v>
      </c>
      <c r="L447" s="27">
        <f t="shared" si="120"/>
        <v>43000</v>
      </c>
      <c r="M447" s="27">
        <f t="shared" si="109"/>
        <v>588298</v>
      </c>
      <c r="N447" s="57"/>
    </row>
    <row r="448" spans="1:14" s="3" customFormat="1" ht="12.75">
      <c r="A448" s="9" t="s">
        <v>239</v>
      </c>
      <c r="B448" s="4" t="s">
        <v>245</v>
      </c>
      <c r="C448" s="27">
        <f>370000+52567+30000+45800+46931</f>
        <v>545298</v>
      </c>
      <c r="D448" s="27"/>
      <c r="E448" s="27">
        <f>194201+46931</f>
        <v>241132</v>
      </c>
      <c r="F448" s="27">
        <f t="shared" si="118"/>
        <v>43000</v>
      </c>
      <c r="G448" s="27"/>
      <c r="H448" s="27"/>
      <c r="I448" s="27"/>
      <c r="J448" s="27">
        <f>(3000)+(20000)+(20000)</f>
        <v>43000</v>
      </c>
      <c r="K448" s="27">
        <f>J448</f>
        <v>43000</v>
      </c>
      <c r="L448" s="27">
        <f>K448</f>
        <v>43000</v>
      </c>
      <c r="M448" s="27">
        <f t="shared" si="109"/>
        <v>588298</v>
      </c>
      <c r="N448" s="57"/>
    </row>
    <row r="449" spans="1:14" s="3" customFormat="1" ht="12.75">
      <c r="A449" s="9" t="s">
        <v>154</v>
      </c>
      <c r="B449" s="4" t="s">
        <v>55</v>
      </c>
      <c r="C449" s="27"/>
      <c r="D449" s="27"/>
      <c r="E449" s="27"/>
      <c r="F449" s="27">
        <f t="shared" si="118"/>
        <v>552000</v>
      </c>
      <c r="G449" s="27"/>
      <c r="H449" s="27"/>
      <c r="I449" s="27"/>
      <c r="J449" s="27">
        <f>J450</f>
        <v>552000</v>
      </c>
      <c r="K449" s="27">
        <f>K450</f>
        <v>552000</v>
      </c>
      <c r="L449" s="27">
        <f>L450</f>
        <v>99000</v>
      </c>
      <c r="M449" s="27">
        <f t="shared" si="109"/>
        <v>552000</v>
      </c>
      <c r="N449" s="57"/>
    </row>
    <row r="450" spans="1:14" s="3" customFormat="1" ht="12.75">
      <c r="A450" s="9" t="s">
        <v>121</v>
      </c>
      <c r="B450" s="4" t="s">
        <v>122</v>
      </c>
      <c r="C450" s="27"/>
      <c r="D450" s="27"/>
      <c r="E450" s="27"/>
      <c r="F450" s="27">
        <f t="shared" si="118"/>
        <v>552000</v>
      </c>
      <c r="G450" s="27"/>
      <c r="H450" s="27"/>
      <c r="I450" s="27"/>
      <c r="J450" s="27">
        <f>K450</f>
        <v>552000</v>
      </c>
      <c r="K450" s="27">
        <f>L450+453000</f>
        <v>552000</v>
      </c>
      <c r="L450" s="27">
        <f>(82000)+(10000)+(7000)</f>
        <v>99000</v>
      </c>
      <c r="M450" s="27">
        <f t="shared" si="109"/>
        <v>552000</v>
      </c>
      <c r="N450" s="57"/>
    </row>
    <row r="451" spans="1:14" s="3" customFormat="1" ht="12.75">
      <c r="A451" s="9" t="s">
        <v>157</v>
      </c>
      <c r="B451" s="4" t="s">
        <v>161</v>
      </c>
      <c r="C451" s="27">
        <f>C452</f>
        <v>0</v>
      </c>
      <c r="D451" s="27">
        <f aca="true" t="shared" si="121" ref="D451:L451">D452</f>
        <v>0</v>
      </c>
      <c r="E451" s="27">
        <f t="shared" si="121"/>
        <v>0</v>
      </c>
      <c r="F451" s="27">
        <f t="shared" si="121"/>
        <v>24281</v>
      </c>
      <c r="G451" s="27">
        <f t="shared" si="121"/>
        <v>24281</v>
      </c>
      <c r="H451" s="27">
        <f t="shared" si="121"/>
        <v>0</v>
      </c>
      <c r="I451" s="27">
        <f t="shared" si="121"/>
        <v>0</v>
      </c>
      <c r="J451" s="27">
        <f t="shared" si="121"/>
        <v>0</v>
      </c>
      <c r="K451" s="27">
        <f t="shared" si="121"/>
        <v>0</v>
      </c>
      <c r="L451" s="27">
        <f t="shared" si="121"/>
        <v>0</v>
      </c>
      <c r="M451" s="27">
        <f t="shared" si="109"/>
        <v>24281</v>
      </c>
      <c r="N451" s="57"/>
    </row>
    <row r="452" spans="1:14" s="3" customFormat="1" ht="79.5" customHeight="1">
      <c r="A452" s="9" t="s">
        <v>59</v>
      </c>
      <c r="B452" s="83" t="s">
        <v>248</v>
      </c>
      <c r="C452" s="27"/>
      <c r="D452" s="27"/>
      <c r="E452" s="27"/>
      <c r="F452" s="27">
        <f>G452+J452</f>
        <v>24281</v>
      </c>
      <c r="G452" s="27">
        <f>3281+10000+11000</f>
        <v>24281</v>
      </c>
      <c r="H452" s="27"/>
      <c r="I452" s="27"/>
      <c r="J452" s="27"/>
      <c r="K452" s="27"/>
      <c r="L452" s="27"/>
      <c r="M452" s="27">
        <f t="shared" si="109"/>
        <v>24281</v>
      </c>
      <c r="N452" s="57"/>
    </row>
    <row r="453" spans="1:14" s="3" customFormat="1" ht="26.25" customHeight="1">
      <c r="A453" s="9" t="s">
        <v>159</v>
      </c>
      <c r="B453" s="64" t="s">
        <v>160</v>
      </c>
      <c r="C453" s="27">
        <f>C454</f>
        <v>52777</v>
      </c>
      <c r="D453" s="27">
        <f aca="true" t="shared" si="122" ref="D453:L453">D454</f>
        <v>0</v>
      </c>
      <c r="E453" s="27">
        <f t="shared" si="122"/>
        <v>0</v>
      </c>
      <c r="F453" s="27">
        <f t="shared" si="122"/>
        <v>0</v>
      </c>
      <c r="G453" s="27">
        <f t="shared" si="122"/>
        <v>0</v>
      </c>
      <c r="H453" s="27">
        <f t="shared" si="122"/>
        <v>0</v>
      </c>
      <c r="I453" s="27">
        <f t="shared" si="122"/>
        <v>0</v>
      </c>
      <c r="J453" s="27">
        <f t="shared" si="122"/>
        <v>0</v>
      </c>
      <c r="K453" s="27">
        <f t="shared" si="122"/>
        <v>0</v>
      </c>
      <c r="L453" s="27">
        <f t="shared" si="122"/>
        <v>0</v>
      </c>
      <c r="M453" s="27">
        <f t="shared" si="109"/>
        <v>52777</v>
      </c>
      <c r="N453" s="57"/>
    </row>
    <row r="454" spans="1:14" s="3" customFormat="1" ht="12.75">
      <c r="A454" s="9" t="s">
        <v>60</v>
      </c>
      <c r="B454" s="4" t="s">
        <v>98</v>
      </c>
      <c r="C454" s="27">
        <f>C455+C456+C457</f>
        <v>52777</v>
      </c>
      <c r="D454" s="27"/>
      <c r="E454" s="27"/>
      <c r="F454" s="27"/>
      <c r="G454" s="27"/>
      <c r="H454" s="27"/>
      <c r="I454" s="27"/>
      <c r="J454" s="27"/>
      <c r="K454" s="27"/>
      <c r="L454" s="27"/>
      <c r="M454" s="27">
        <f t="shared" si="109"/>
        <v>52777</v>
      </c>
      <c r="N454" s="57"/>
    </row>
    <row r="455" spans="1:14" s="3" customFormat="1" ht="38.25" hidden="1">
      <c r="A455" s="9"/>
      <c r="B455" s="4" t="s">
        <v>339</v>
      </c>
      <c r="C455" s="27">
        <f>37595+1501+4207</f>
        <v>43303</v>
      </c>
      <c r="D455" s="27"/>
      <c r="E455" s="27"/>
      <c r="F455" s="27"/>
      <c r="G455" s="27"/>
      <c r="H455" s="27"/>
      <c r="I455" s="27"/>
      <c r="J455" s="27"/>
      <c r="K455" s="27"/>
      <c r="L455" s="27"/>
      <c r="M455" s="27">
        <f t="shared" si="109"/>
        <v>43303</v>
      </c>
      <c r="N455" s="57"/>
    </row>
    <row r="456" spans="1:14" s="3" customFormat="1" ht="57" customHeight="1" hidden="1">
      <c r="A456" s="92"/>
      <c r="B456" s="4" t="s">
        <v>342</v>
      </c>
      <c r="C456" s="94">
        <v>3000</v>
      </c>
      <c r="D456" s="94"/>
      <c r="E456" s="94"/>
      <c r="F456" s="94"/>
      <c r="G456" s="94"/>
      <c r="H456" s="94"/>
      <c r="I456" s="94"/>
      <c r="J456" s="94"/>
      <c r="K456" s="94"/>
      <c r="L456" s="94"/>
      <c r="M456" s="27">
        <f t="shared" si="109"/>
        <v>3000</v>
      </c>
      <c r="N456" s="57"/>
    </row>
    <row r="457" spans="1:14" s="3" customFormat="1" ht="24" customHeight="1" hidden="1">
      <c r="A457" s="92"/>
      <c r="B457" s="128" t="s">
        <v>292</v>
      </c>
      <c r="C457" s="94">
        <v>6474</v>
      </c>
      <c r="D457" s="94"/>
      <c r="E457" s="94"/>
      <c r="F457" s="94"/>
      <c r="G457" s="94"/>
      <c r="H457" s="94"/>
      <c r="I457" s="94"/>
      <c r="J457" s="94"/>
      <c r="K457" s="94"/>
      <c r="L457" s="94"/>
      <c r="M457" s="94">
        <f aca="true" t="shared" si="123" ref="M457:M469">C457+F457</f>
        <v>6474</v>
      </c>
      <c r="N457" s="57"/>
    </row>
    <row r="458" spans="1:14" s="19" customFormat="1" ht="39" customHeight="1">
      <c r="A458" s="23" t="s">
        <v>318</v>
      </c>
      <c r="B458" s="20" t="s">
        <v>284</v>
      </c>
      <c r="C458" s="31">
        <f>C459+C461+C463+C465</f>
        <v>4351228</v>
      </c>
      <c r="D458" s="31">
        <f aca="true" t="shared" si="124" ref="D458:L458">D459+D461+D463+D465</f>
        <v>2174725</v>
      </c>
      <c r="E458" s="31">
        <f t="shared" si="124"/>
        <v>789283</v>
      </c>
      <c r="F458" s="31">
        <f>G458+J458</f>
        <v>254536</v>
      </c>
      <c r="G458" s="31">
        <f t="shared" si="124"/>
        <v>31349</v>
      </c>
      <c r="H458" s="31">
        <f t="shared" si="124"/>
        <v>0</v>
      </c>
      <c r="I458" s="31">
        <f t="shared" si="124"/>
        <v>0</v>
      </c>
      <c r="J458" s="31">
        <f t="shared" si="124"/>
        <v>223187</v>
      </c>
      <c r="K458" s="31">
        <f t="shared" si="124"/>
        <v>223187</v>
      </c>
      <c r="L458" s="31">
        <f t="shared" si="124"/>
        <v>0</v>
      </c>
      <c r="M458" s="31">
        <f t="shared" si="123"/>
        <v>4605764</v>
      </c>
      <c r="N458" s="57"/>
    </row>
    <row r="459" spans="1:14" s="3" customFormat="1" ht="12.75">
      <c r="A459" s="79" t="s">
        <v>150</v>
      </c>
      <c r="B459" s="80" t="s">
        <v>151</v>
      </c>
      <c r="C459" s="27">
        <f>C460</f>
        <v>3683966</v>
      </c>
      <c r="D459" s="27">
        <f>D460</f>
        <v>2174725</v>
      </c>
      <c r="E459" s="27">
        <f>E460</f>
        <v>470725</v>
      </c>
      <c r="F459" s="27">
        <f>G459+J459</f>
        <v>184536</v>
      </c>
      <c r="G459" s="27">
        <f aca="true" t="shared" si="125" ref="G459:L459">G460</f>
        <v>1349</v>
      </c>
      <c r="H459" s="27">
        <f t="shared" si="125"/>
        <v>0</v>
      </c>
      <c r="I459" s="27">
        <f t="shared" si="125"/>
        <v>0</v>
      </c>
      <c r="J459" s="27">
        <f t="shared" si="125"/>
        <v>183187</v>
      </c>
      <c r="K459" s="27">
        <f t="shared" si="125"/>
        <v>183187</v>
      </c>
      <c r="L459" s="27">
        <f t="shared" si="125"/>
        <v>0</v>
      </c>
      <c r="M459" s="27">
        <f t="shared" si="123"/>
        <v>3868502</v>
      </c>
      <c r="N459" s="57"/>
    </row>
    <row r="460" spans="1:14" s="5" customFormat="1" ht="12.75">
      <c r="A460" s="7" t="s">
        <v>21</v>
      </c>
      <c r="B460" s="81" t="s">
        <v>22</v>
      </c>
      <c r="C460" s="25">
        <f>3177431+175450+14060+308048-4150-146114+185649-26408</f>
        <v>3683966</v>
      </c>
      <c r="D460" s="25">
        <f>1803130+6763+228123+159117-22408</f>
        <v>2174725</v>
      </c>
      <c r="E460" s="25">
        <f>470725</f>
        <v>470725</v>
      </c>
      <c r="F460" s="27">
        <f>G460+J460</f>
        <v>184536</v>
      </c>
      <c r="G460" s="25">
        <v>1349</v>
      </c>
      <c r="H460" s="25"/>
      <c r="I460" s="25"/>
      <c r="J460" s="25">
        <f>28515+154672</f>
        <v>183187</v>
      </c>
      <c r="K460" s="25">
        <f>J460</f>
        <v>183187</v>
      </c>
      <c r="L460" s="25"/>
      <c r="M460" s="27">
        <f t="shared" si="123"/>
        <v>3868502</v>
      </c>
      <c r="N460" s="57"/>
    </row>
    <row r="461" spans="1:14" s="3" customFormat="1" ht="12.75">
      <c r="A461" s="9" t="s">
        <v>162</v>
      </c>
      <c r="B461" s="4" t="s">
        <v>164</v>
      </c>
      <c r="C461" s="27">
        <f>C462</f>
        <v>585369</v>
      </c>
      <c r="D461" s="27">
        <f aca="true" t="shared" si="126" ref="D461:L461">D462</f>
        <v>0</v>
      </c>
      <c r="E461" s="27">
        <f t="shared" si="126"/>
        <v>318558</v>
      </c>
      <c r="F461" s="27">
        <f t="shared" si="126"/>
        <v>0</v>
      </c>
      <c r="G461" s="27">
        <f t="shared" si="126"/>
        <v>0</v>
      </c>
      <c r="H461" s="27">
        <f t="shared" si="126"/>
        <v>0</v>
      </c>
      <c r="I461" s="27">
        <f t="shared" si="126"/>
        <v>0</v>
      </c>
      <c r="J461" s="27">
        <f t="shared" si="126"/>
        <v>0</v>
      </c>
      <c r="K461" s="27">
        <f t="shared" si="126"/>
        <v>0</v>
      </c>
      <c r="L461" s="27">
        <f t="shared" si="126"/>
        <v>0</v>
      </c>
      <c r="M461" s="27">
        <f t="shared" si="123"/>
        <v>585369</v>
      </c>
      <c r="N461" s="57"/>
    </row>
    <row r="462" spans="1:14" s="3" customFormat="1" ht="12.75">
      <c r="A462" s="9" t="s">
        <v>239</v>
      </c>
      <c r="B462" s="4" t="s">
        <v>245</v>
      </c>
      <c r="C462" s="27">
        <f>527454+35015+22900</f>
        <v>585369</v>
      </c>
      <c r="D462" s="27"/>
      <c r="E462" s="27">
        <f>297000+25558-4000</f>
        <v>318558</v>
      </c>
      <c r="F462" s="27"/>
      <c r="G462" s="27"/>
      <c r="H462" s="27"/>
      <c r="I462" s="27"/>
      <c r="J462" s="27"/>
      <c r="K462" s="27"/>
      <c r="L462" s="27"/>
      <c r="M462" s="27">
        <f t="shared" si="123"/>
        <v>585369</v>
      </c>
      <c r="N462" s="57"/>
    </row>
    <row r="463" spans="1:14" s="3" customFormat="1" ht="14.25" customHeight="1">
      <c r="A463" s="9" t="s">
        <v>157</v>
      </c>
      <c r="B463" s="4" t="s">
        <v>161</v>
      </c>
      <c r="C463" s="27">
        <f>C464</f>
        <v>0</v>
      </c>
      <c r="D463" s="27">
        <f aca="true" t="shared" si="127" ref="D463:L463">D464</f>
        <v>0</v>
      </c>
      <c r="E463" s="27">
        <f t="shared" si="127"/>
        <v>0</v>
      </c>
      <c r="F463" s="27">
        <f t="shared" si="127"/>
        <v>30000</v>
      </c>
      <c r="G463" s="27">
        <f t="shared" si="127"/>
        <v>30000</v>
      </c>
      <c r="H463" s="27">
        <f t="shared" si="127"/>
        <v>0</v>
      </c>
      <c r="I463" s="27">
        <f t="shared" si="127"/>
        <v>0</v>
      </c>
      <c r="J463" s="27">
        <f t="shared" si="127"/>
        <v>0</v>
      </c>
      <c r="K463" s="27">
        <f t="shared" si="127"/>
        <v>0</v>
      </c>
      <c r="L463" s="27">
        <f t="shared" si="127"/>
        <v>0</v>
      </c>
      <c r="M463" s="27">
        <f t="shared" si="123"/>
        <v>30000</v>
      </c>
      <c r="N463" s="57"/>
    </row>
    <row r="464" spans="1:14" s="3" customFormat="1" ht="25.5" customHeight="1">
      <c r="A464" s="9" t="s">
        <v>59</v>
      </c>
      <c r="B464" s="139" t="s">
        <v>248</v>
      </c>
      <c r="C464" s="27"/>
      <c r="D464" s="27"/>
      <c r="E464" s="27"/>
      <c r="F464" s="27">
        <f>G464+J464</f>
        <v>30000</v>
      </c>
      <c r="G464" s="27">
        <v>30000</v>
      </c>
      <c r="H464" s="27"/>
      <c r="I464" s="27"/>
      <c r="J464" s="27"/>
      <c r="K464" s="27"/>
      <c r="L464" s="27"/>
      <c r="M464" s="27">
        <f t="shared" si="123"/>
        <v>30000</v>
      </c>
      <c r="N464" s="57"/>
    </row>
    <row r="465" spans="1:14" s="3" customFormat="1" ht="26.25" customHeight="1">
      <c r="A465" s="9" t="s">
        <v>159</v>
      </c>
      <c r="B465" s="139" t="s">
        <v>160</v>
      </c>
      <c r="C465" s="27">
        <f aca="true" t="shared" si="128" ref="C465:L465">C466</f>
        <v>81893</v>
      </c>
      <c r="D465" s="27">
        <f t="shared" si="128"/>
        <v>0</v>
      </c>
      <c r="E465" s="27">
        <f t="shared" si="128"/>
        <v>0</v>
      </c>
      <c r="F465" s="27">
        <f t="shared" si="128"/>
        <v>40000</v>
      </c>
      <c r="G465" s="27">
        <f t="shared" si="128"/>
        <v>0</v>
      </c>
      <c r="H465" s="27">
        <f t="shared" si="128"/>
        <v>0</v>
      </c>
      <c r="I465" s="27">
        <f t="shared" si="128"/>
        <v>0</v>
      </c>
      <c r="J465" s="27">
        <f t="shared" si="128"/>
        <v>40000</v>
      </c>
      <c r="K465" s="27">
        <f t="shared" si="128"/>
        <v>40000</v>
      </c>
      <c r="L465" s="27">
        <f t="shared" si="128"/>
        <v>0</v>
      </c>
      <c r="M465" s="27">
        <f t="shared" si="123"/>
        <v>121893</v>
      </c>
      <c r="N465" s="57"/>
    </row>
    <row r="466" spans="1:14" s="3" customFormat="1" ht="12.75">
      <c r="A466" s="9" t="s">
        <v>60</v>
      </c>
      <c r="B466" s="4" t="s">
        <v>98</v>
      </c>
      <c r="C466" s="27">
        <f>C467+C468</f>
        <v>81893</v>
      </c>
      <c r="D466" s="27"/>
      <c r="E466" s="27"/>
      <c r="F466" s="27">
        <f>F467+F468+F469</f>
        <v>40000</v>
      </c>
      <c r="G466" s="27">
        <f aca="true" t="shared" si="129" ref="G466:L466">G467+G468+G469</f>
        <v>0</v>
      </c>
      <c r="H466" s="27">
        <f t="shared" si="129"/>
        <v>0</v>
      </c>
      <c r="I466" s="27">
        <f t="shared" si="129"/>
        <v>0</v>
      </c>
      <c r="J466" s="27">
        <f t="shared" si="129"/>
        <v>40000</v>
      </c>
      <c r="K466" s="27">
        <f t="shared" si="129"/>
        <v>40000</v>
      </c>
      <c r="L466" s="27">
        <f t="shared" si="129"/>
        <v>0</v>
      </c>
      <c r="M466" s="27">
        <f t="shared" si="123"/>
        <v>121893</v>
      </c>
      <c r="N466" s="57"/>
    </row>
    <row r="467" spans="1:14" s="3" customFormat="1" ht="38.25" hidden="1">
      <c r="A467" s="9"/>
      <c r="B467" s="4" t="s">
        <v>339</v>
      </c>
      <c r="C467" s="27">
        <f>61290+2904+6909</f>
        <v>71103</v>
      </c>
      <c r="D467" s="27"/>
      <c r="E467" s="27"/>
      <c r="F467" s="27"/>
      <c r="G467" s="27"/>
      <c r="H467" s="27"/>
      <c r="I467" s="27"/>
      <c r="J467" s="27"/>
      <c r="K467" s="27"/>
      <c r="L467" s="27"/>
      <c r="M467" s="27">
        <f t="shared" si="123"/>
        <v>71103</v>
      </c>
      <c r="N467" s="57"/>
    </row>
    <row r="468" spans="1:14" s="3" customFormat="1" ht="12.75" hidden="1">
      <c r="A468" s="9"/>
      <c r="B468" s="4" t="s">
        <v>292</v>
      </c>
      <c r="C468" s="27">
        <v>10790</v>
      </c>
      <c r="D468" s="27"/>
      <c r="E468" s="27"/>
      <c r="F468" s="27"/>
      <c r="G468" s="27"/>
      <c r="H468" s="27"/>
      <c r="I468" s="27"/>
      <c r="J468" s="27"/>
      <c r="K468" s="27"/>
      <c r="L468" s="27"/>
      <c r="M468" s="27">
        <f t="shared" si="123"/>
        <v>10790</v>
      </c>
      <c r="N468" s="57"/>
    </row>
    <row r="469" spans="1:14" s="3" customFormat="1" ht="12.75" hidden="1">
      <c r="A469" s="9"/>
      <c r="B469" s="4" t="s">
        <v>353</v>
      </c>
      <c r="C469" s="27"/>
      <c r="D469" s="27"/>
      <c r="E469" s="27"/>
      <c r="F469" s="27">
        <f>G469+J469</f>
        <v>40000</v>
      </c>
      <c r="G469" s="27"/>
      <c r="H469" s="27"/>
      <c r="I469" s="27"/>
      <c r="J469" s="27">
        <v>40000</v>
      </c>
      <c r="K469" s="27">
        <f>J469</f>
        <v>40000</v>
      </c>
      <c r="L469" s="27"/>
      <c r="M469" s="27">
        <f t="shared" si="123"/>
        <v>40000</v>
      </c>
      <c r="N469" s="57"/>
    </row>
    <row r="470" spans="1:16" ht="18.75" customHeight="1">
      <c r="A470" s="18"/>
      <c r="B470" s="140" t="s">
        <v>65</v>
      </c>
      <c r="C470" s="156">
        <f aca="true" t="shared" si="130" ref="C470:L470">C11+C39+C382+C395+C406+C419+C432+C444+C458+C191+C42+C81+C102+C186+C342+C227+C290+C262+C213+C194+C328+C300+C318+C310+C366+C378+C350+C224+C313</f>
        <v>2451034435.33</v>
      </c>
      <c r="D470" s="156">
        <f t="shared" si="130"/>
        <v>880685039</v>
      </c>
      <c r="E470" s="156">
        <f t="shared" si="130"/>
        <v>240838395</v>
      </c>
      <c r="F470" s="156">
        <f t="shared" si="130"/>
        <v>322519208.67</v>
      </c>
      <c r="G470" s="156">
        <f t="shared" si="130"/>
        <v>75819270</v>
      </c>
      <c r="H470" s="156">
        <f t="shared" si="130"/>
        <v>15027603</v>
      </c>
      <c r="I470" s="156">
        <f t="shared" si="130"/>
        <v>4706578</v>
      </c>
      <c r="J470" s="156">
        <f>J11+J39+J382+J395+J406+J419+J432+J444+J458+J191+J42+J81+J102+J186+J342+J227+J290+J262+J213+J194+J328+J300+J318+J310+J366+J378+J350+J224+J313</f>
        <v>246699938.67000002</v>
      </c>
      <c r="K470" s="156">
        <f>K11+K39+K382+K395+K406+K419+K432+K444+K458+K191+K42+K81+K102+K186+K342+K227+K290+K262+K213+K194+K328+K300+K318+K310+K366+K378+K350+K224+K313</f>
        <v>174511303.67000002</v>
      </c>
      <c r="L470" s="156">
        <f t="shared" si="130"/>
        <v>4838679.67</v>
      </c>
      <c r="M470" s="157">
        <f>C470+F470</f>
        <v>2773553644</v>
      </c>
      <c r="N470" s="57"/>
      <c r="P470" s="63"/>
    </row>
    <row r="471" spans="1:13" ht="15">
      <c r="A471" s="129"/>
      <c r="B471" s="130"/>
      <c r="C471" s="131"/>
      <c r="D471" s="131"/>
      <c r="E471" s="131"/>
      <c r="F471" s="131"/>
      <c r="G471" s="131"/>
      <c r="H471" s="131"/>
      <c r="I471" s="131"/>
      <c r="J471" s="131"/>
      <c r="K471" s="131"/>
      <c r="L471" s="131"/>
      <c r="M471" s="132"/>
    </row>
    <row r="472" spans="1:13" ht="12.75">
      <c r="A472" s="133"/>
      <c r="B472" s="134"/>
      <c r="C472" s="135"/>
      <c r="D472" s="136"/>
      <c r="E472" s="136"/>
      <c r="F472" s="136"/>
      <c r="G472" s="136"/>
      <c r="H472" s="136"/>
      <c r="I472" s="136"/>
      <c r="J472" s="136"/>
      <c r="K472" s="136"/>
      <c r="L472" s="136"/>
      <c r="M472" s="5"/>
    </row>
    <row r="473" spans="1:13" ht="12.75">
      <c r="A473" s="137"/>
      <c r="B473" s="5"/>
      <c r="C473" s="5"/>
      <c r="D473" s="5"/>
      <c r="E473" s="5"/>
      <c r="F473" s="5"/>
      <c r="G473" s="5"/>
      <c r="H473" s="5"/>
      <c r="I473" s="5"/>
      <c r="J473" s="5"/>
      <c r="K473" s="5"/>
      <c r="L473" s="5"/>
      <c r="M473" s="5"/>
    </row>
    <row r="474" spans="1:13" ht="26.25" customHeight="1">
      <c r="A474" s="158" t="s">
        <v>356</v>
      </c>
      <c r="B474" s="158"/>
      <c r="C474" s="145"/>
      <c r="D474" s="146"/>
      <c r="E474" s="147"/>
      <c r="G474" s="138"/>
      <c r="H474" s="144"/>
      <c r="I474" s="144" t="s">
        <v>357</v>
      </c>
      <c r="J474" s="138"/>
      <c r="K474" s="138"/>
      <c r="L474" s="138"/>
      <c r="M474" s="138"/>
    </row>
    <row r="475" ht="12.75">
      <c r="K475" s="63"/>
    </row>
    <row r="476" spans="1:13" ht="12.75">
      <c r="A476" s="119" t="s">
        <v>21</v>
      </c>
      <c r="C476" s="63">
        <f aca="true" t="shared" si="131" ref="C476:L476">C13+C44+C83+C104+C188+C193+C215+C226+C229+C264+C292+C302+C312+C315+C320+C330+C344+C352+C368+C384+C397+C408+C421+C434+C446+C460+C196</f>
        <v>91546600</v>
      </c>
      <c r="D476" s="63">
        <f t="shared" si="131"/>
        <v>56231058</v>
      </c>
      <c r="E476" s="63">
        <f t="shared" si="131"/>
        <v>6170057</v>
      </c>
      <c r="F476" s="63">
        <f t="shared" si="131"/>
        <v>2160922</v>
      </c>
      <c r="G476" s="63">
        <f t="shared" si="131"/>
        <v>409622</v>
      </c>
      <c r="H476" s="63">
        <f t="shared" si="131"/>
        <v>0</v>
      </c>
      <c r="I476" s="63">
        <f t="shared" si="131"/>
        <v>0</v>
      </c>
      <c r="J476" s="63">
        <f>J13+J44+J83+J104+J188+J193+J215+J226+J229+J264+J292+J302+J312+J315+J320+J330+J344+J352+J368+J384+J397+J408+J421+J434+J446+J460+J196</f>
        <v>1751300</v>
      </c>
      <c r="K476" s="63">
        <f>K13+K44+K83+K104+K188+K193+K215+K226+K229+K264+K292+K302+K312+K315+K320+K330+K344+K352+K368+K384+K397+K408+K421+K434+K446+K460+K196</f>
        <v>1751300</v>
      </c>
      <c r="L476" s="63">
        <f t="shared" si="131"/>
        <v>333591</v>
      </c>
      <c r="M476" s="63">
        <f>M13+M44+M83+M104+M188+M193+M215+M226+M229+M264+M292+M302+M312+M315+M320+M330+M344+M352+M368+M384+M397+M408+M421+M434+M446+M460+M196</f>
        <v>93707522</v>
      </c>
    </row>
    <row r="477" spans="1:13" ht="12.75">
      <c r="A477" s="119" t="s">
        <v>59</v>
      </c>
      <c r="C477" s="63"/>
      <c r="F477" s="63">
        <f aca="true" t="shared" si="132" ref="F477:M477">F27+F101+F175+F209+F390+F401+F414+F438+F452+F464+F427+F282</f>
        <v>1057900</v>
      </c>
      <c r="G477" s="63">
        <f t="shared" si="132"/>
        <v>892500</v>
      </c>
      <c r="H477" s="63">
        <f t="shared" si="132"/>
        <v>0</v>
      </c>
      <c r="I477" s="63">
        <f t="shared" si="132"/>
        <v>0</v>
      </c>
      <c r="J477" s="63">
        <f t="shared" si="132"/>
        <v>165400</v>
      </c>
      <c r="K477" s="63">
        <f t="shared" si="132"/>
        <v>0</v>
      </c>
      <c r="L477" s="63">
        <f t="shared" si="132"/>
        <v>0</v>
      </c>
      <c r="M477" s="63">
        <f t="shared" si="132"/>
        <v>1057900</v>
      </c>
    </row>
    <row r="478" spans="1:13" ht="12.75">
      <c r="A478" s="119" t="s">
        <v>60</v>
      </c>
      <c r="C478" s="63">
        <f>C31+C211+C222+C248+C284+C298+C306+C376+C392+C403+C416+C429+C440+C454+C466+C339+C365+C325</f>
        <v>33744229</v>
      </c>
      <c r="D478" s="63">
        <f aca="true" t="shared" si="133" ref="D478:M478">D31+D211+D222+D248+D284+D298+D306+D376+D392+D403+D416+D429+D440+D454+D466+D339+D365+D325</f>
        <v>1405784</v>
      </c>
      <c r="E478" s="63">
        <f t="shared" si="133"/>
        <v>5546</v>
      </c>
      <c r="F478" s="63">
        <f t="shared" si="133"/>
        <v>2287499</v>
      </c>
      <c r="G478" s="63">
        <f t="shared" si="133"/>
        <v>0</v>
      </c>
      <c r="H478" s="63">
        <f t="shared" si="133"/>
        <v>0</v>
      </c>
      <c r="I478" s="63">
        <f t="shared" si="133"/>
        <v>0</v>
      </c>
      <c r="J478" s="63">
        <f t="shared" si="133"/>
        <v>2287499</v>
      </c>
      <c r="K478" s="63">
        <f t="shared" si="133"/>
        <v>2287499</v>
      </c>
      <c r="L478" s="63">
        <f t="shared" si="133"/>
        <v>364656</v>
      </c>
      <c r="M478" s="63">
        <f t="shared" si="133"/>
        <v>36031728</v>
      </c>
    </row>
    <row r="479" spans="3:6" ht="12.75">
      <c r="C479" s="63"/>
      <c r="F479" s="75"/>
    </row>
    <row r="480" spans="1:11" ht="12.75">
      <c r="A480" s="119"/>
      <c r="C480" s="63">
        <f>C19+C75+C97+C164+C207+C238+C272+C357+C388+C412+C425+C450</f>
        <v>0</v>
      </c>
      <c r="D480" s="63">
        <f>D19+D75+D97+D164+D207+D238+D272+D357+D388+D412+D425+D450</f>
        <v>0</v>
      </c>
      <c r="E480" s="63">
        <f>E19+E75+E97+E164+E207+E238+E272+E357+E388+E412+E425+E450</f>
        <v>0</v>
      </c>
      <c r="F480" s="63">
        <f>F19+F75+F97+F164+F207+F238+F272+F357+F388+F412+F425+F450</f>
        <v>83576472</v>
      </c>
      <c r="J480"/>
      <c r="K480" s="63"/>
    </row>
  </sheetData>
  <sheetProtection/>
  <mergeCells count="26">
    <mergeCell ref="I8:I9"/>
    <mergeCell ref="K7:L7"/>
    <mergeCell ref="H7:I7"/>
    <mergeCell ref="J7:J9"/>
    <mergeCell ref="H8:H9"/>
    <mergeCell ref="F3:G3"/>
    <mergeCell ref="J3:M3"/>
    <mergeCell ref="A4:M4"/>
    <mergeCell ref="C6:E6"/>
    <mergeCell ref="K5:M5"/>
    <mergeCell ref="M6:M9"/>
    <mergeCell ref="G7:G9"/>
    <mergeCell ref="F7:F9"/>
    <mergeCell ref="F6:L6"/>
    <mergeCell ref="K8:K9"/>
    <mergeCell ref="F1:G1"/>
    <mergeCell ref="J1:M1"/>
    <mergeCell ref="J2:M2"/>
    <mergeCell ref="F2:G2"/>
    <mergeCell ref="A474:B474"/>
    <mergeCell ref="E8:E9"/>
    <mergeCell ref="A7:A9"/>
    <mergeCell ref="D7:E7"/>
    <mergeCell ref="B7:B9"/>
    <mergeCell ref="D8:D9"/>
    <mergeCell ref="C7:C9"/>
  </mergeCells>
  <printOptions/>
  <pageMargins left="0.9055118110236221" right="0.35433070866141736" top="0.52" bottom="0.26" header="0.3937007874015748" footer="0.24"/>
  <pageSetup fitToHeight="48" fitToWidth="1" horizontalDpi="600" verticalDpi="600" orientation="landscape" paperSize="9" scale="66" r:id="rId1"/>
  <headerFooter alignWithMargins="0">
    <oddHeader>&amp;C&amp;P</oddHeader>
  </headerFooter>
  <rowBreaks count="4" manualBreakCount="4">
    <brk id="31" max="12" man="1"/>
    <brk id="79" max="12" man="1"/>
    <brk id="243" max="12" man="1"/>
    <brk id="28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2012-11-30T08:02:12Z</cp:lastPrinted>
  <dcterms:created xsi:type="dcterms:W3CDTF">2002-01-02T08:54:19Z</dcterms:created>
  <dcterms:modified xsi:type="dcterms:W3CDTF">2012-12-10T14:12:35Z</dcterms:modified>
  <cp:category/>
  <cp:version/>
  <cp:contentType/>
  <cp:contentStatus/>
</cp:coreProperties>
</file>