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40" windowWidth="15480" windowHeight="6180" tabRatio="612" activeTab="0"/>
  </bookViews>
  <sheets>
    <sheet name="таб. 4.1" sheetId="1" r:id="rId1"/>
    <sheet name="таб. 4.2" sheetId="2" r:id="rId2"/>
  </sheets>
  <definedNames>
    <definedName name="_xlnm.Print_Titles" localSheetId="0">'таб. 4.1'!$13:$13</definedName>
    <definedName name="_xlnm.Print_Titles" localSheetId="1">'таб. 4.2'!$6:$6</definedName>
    <definedName name="_xlnm.Print_Area" localSheetId="0">'таб. 4.1'!$A$1:$H$186</definedName>
    <definedName name="_xlnm.Print_Area" localSheetId="1">'таб. 4.2'!$A$1:$D$58</definedName>
  </definedNames>
  <calcPr fullCalcOnLoad="1"/>
</workbook>
</file>

<file path=xl/sharedStrings.xml><?xml version="1.0" encoding="utf-8"?>
<sst xmlns="http://schemas.openxmlformats.org/spreadsheetml/2006/main" count="694" uniqueCount="240">
  <si>
    <t xml:space="preserve">Реконструкція будівлі загальноосвітньої школи І-ІІІ ступенів № 75 по вул.Історична,92 Заводського району </t>
  </si>
  <si>
    <t xml:space="preserve">Ліквідація аварійного стану будівлі навчально-виховного комплексу № 19 по вул. Військбуд, 13 Шевченківського району (проектні та будівельні роботи) </t>
  </si>
  <si>
    <t>Реконструкція будівлі дошкільного навчального закладу № 144 Комунарського району (проектні та будівельні роботи)</t>
  </si>
  <si>
    <t>Житловий будинок по пр. Леніна, 133  м. Запоріжжя - ліквідація  аварійного стану надбудови над аркою</t>
  </si>
  <si>
    <t>Назва головного розпорядника коштів</t>
  </si>
  <si>
    <t>150101</t>
  </si>
  <si>
    <t>Загальний обсяг фінансування будівництва (інших капітальних вкладень, кошторисна вартість</t>
  </si>
  <si>
    <t>Капітальні вкладення</t>
  </si>
  <si>
    <t xml:space="preserve">Магістральна теплова мережа по вул. Героїв Сталінграду, м. Запоріжжя - реконструкція </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</si>
  <si>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</si>
  <si>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</si>
  <si>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Департамент економічного розвитку Запорізької міської ради</t>
  </si>
  <si>
    <t>Водогін Д=800 мм в балці "Панська" у районі кладовища "Бугайова", м.Запоріжжя - реконструкція</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</si>
  <si>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</si>
  <si>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Реконструкція, переобладнання та перепланування гуртожитку під житловий будинок по вул.Українській, 4</t>
  </si>
  <si>
    <t xml:space="preserve">Реконструкція гуртожитку по вул.Цегельній, 13 м. Запоріжжя під житловий будинок </t>
  </si>
  <si>
    <t>Реконструкція будівлі дошкільного навчального закладу № 285  по пр. 40-річчя Перемоги, 15а, Комунарського району (проектні та будівельні роботи)</t>
  </si>
  <si>
    <t xml:space="preserve">Реконструкція будівлі дошкільного навчального закладу № 220 по вул. Давидова, 11 Ленінського району м.Запоріжжя - реконструкція (проектні та будівельні роботи) </t>
  </si>
  <si>
    <t>Реконструкція будівлі дошкільного навчального закладу №294 по вул. Лассаля, 52а Заводського району, м.Запоріжжя (проектні та будівельні роботи)</t>
  </si>
  <si>
    <t>Департамент освіти і науки, молоді та спорту Запорізької міської ради</t>
  </si>
  <si>
    <t>Управління з питань охорони здоров"я  Запорізької  міської ради</t>
  </si>
  <si>
    <t>Управління соціального захисту населення Запорізької міської ради</t>
  </si>
  <si>
    <t>Реконструкція дороги по вул. Глісерній з автомобільною стоянкою в районі парку «Дубовий гай» м. Запоріжжя</t>
  </si>
  <si>
    <t>Газифікація житлових будинків по вул. Шушенська в Ленінському районі м.Запоріжжя (проектні та будівельні роботи)</t>
  </si>
  <si>
    <t>Районна адміністрація Запорізької міської ради по Орджонікідзевському району</t>
  </si>
  <si>
    <t>Реконструкція парку "Трудової слави" в м. Запоріжжі</t>
  </si>
  <si>
    <t>Програма "Світло 2013-2014" реконструкція мереж зовнішнього освітлення міста</t>
  </si>
  <si>
    <t>Реконструкція тротуарів з влаштуванням велодоріжок від парку "Дубовий гай" до Ландшафтного парку вздовж Прибрежної магістралі в м. Запоріжжі (проектні роботи та експертиза)</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</si>
  <si>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</si>
  <si>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Реконструкція дороги по вул. Південноукраїнська та вул. Панфіловців з влаштуванням гостьових автомобільних стоянок (проектні роботи, експертиза)</t>
  </si>
  <si>
    <t>Реконструкція дороги по вул. Чубаря з влаштуванням гостьових автомобільних стоянок (проектні роботи, експертиза)</t>
  </si>
  <si>
    <t>Реконструкція пішохідної алеї від вул. Чубаря до вул. Південноукраїнської (проектні роботи, експертиза)</t>
  </si>
  <si>
    <t>Реконструкція будівлі філії Запорізького навчально-виховного комплексу № 101 по вул. Бочарова, 14, під дошкільний навчальний заклад Шевченківського району м. Запоріжжя (проектні роботи, експертиза)</t>
  </si>
  <si>
    <t>Будівництво світлофорного об'єкту на перехресті вул. Леппіка - вул. Дзержинського</t>
  </si>
  <si>
    <t>Будівництво світлофорного об'єкту на перехресті вул. Гоголя - вул. Комунарівська</t>
  </si>
  <si>
    <t>Будівництво теплиці "Запорізького міського ботанічного саду" І черга (проектні роботи та будівництво)</t>
  </si>
  <si>
    <t>Житловий будинок № 149 по вул. Гоголя ІІ корпус - реконструкція нежитлового приміщення в житлове</t>
  </si>
  <si>
    <t>180409</t>
  </si>
  <si>
    <t xml:space="preserve">Газифікація житлових будинків № 7, 9, 10, 11, 12, 14 по вул. Пшеничній сел. Будівельників Шевченківського району м.Запоріжжя </t>
  </si>
  <si>
    <t>Реконструкція тротуару по вул. Новокузнецькій (непарна сторона)</t>
  </si>
  <si>
    <t>Будівництво світлофорного об'єкту на перехресті вул. Сєдова - виїзд з 7 медсанчастини</t>
  </si>
  <si>
    <t>Житловий будинок по вул. Республіканській,185 - реконструкція  системи теплопостачання</t>
  </si>
  <si>
    <t>Районна адміністрація Запорізької міської ради по Заводському району</t>
  </si>
  <si>
    <t>Реконструкція скверу, прилеглого до ПК "Заводський" з улаштуванням дитячого майданчику</t>
  </si>
  <si>
    <t>210105</t>
  </si>
  <si>
    <t>Реконструкція вул. Горького (в межах від вул.Комунарівській до пл. Пушкіна) з заміною трамвайного полотна (проектні та будівельні роботи)</t>
  </si>
  <si>
    <t>Реконструкція хлораторної ДВС-2,  м. Запоріжжя (проектні та будівельні роботи)</t>
  </si>
  <si>
    <t>ЗАТВЕРДЖЕНО</t>
  </si>
  <si>
    <t>Рішення міської ради</t>
  </si>
  <si>
    <t>Додаток 4</t>
  </si>
  <si>
    <t>Таблиця 4.1</t>
  </si>
  <si>
    <t>(тис.грн.)</t>
  </si>
  <si>
    <t>Код типової відомчої класифікації видатків місцевих бюджетів</t>
  </si>
  <si>
    <t>Назва об'єктів відповідно до проектно-кошторисної документації, тощо</t>
  </si>
  <si>
    <t xml:space="preserve">Відсоток завершеності будівництва об'єкта на майбутні роки </t>
  </si>
  <si>
    <t>Всього видатків на завершення будівництва об'єктів на майбутні роки</t>
  </si>
  <si>
    <t>Замовник / розпорядник бюджетних коштів нижчого рівня / одержувач бюджетних коштів</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</si>
  <si>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</si>
  <si>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бюджетів</t>
  </si>
  <si>
    <t>Всього</t>
  </si>
  <si>
    <t>Видатки на 2013 рік</t>
  </si>
  <si>
    <t xml:space="preserve">Перелік видатків,  які у 2013 році будуть проводитися за рахунок коштів бюджету розвитку міста </t>
  </si>
  <si>
    <t xml:space="preserve">Перелік першочергових об'єктів будівництва, реконструкції та ліквідації аварійного стану об'єктів, видатки на які у 2013 році будуть проводитися за рахунок коштів бюджету розвитку міста </t>
  </si>
  <si>
    <t>Видатки на запобігання та ліквідацію надзвичайних ситуацій та наслідків стихійного лиха</t>
  </si>
  <si>
    <t>Погашення основної суми боргу за запозиченням у формі VІІ випуску облігацій  внутрішньої місцевої позики</t>
  </si>
  <si>
    <t xml:space="preserve">Управління розвитку підприємництва та дозвільних послуг Запорізької міської ради </t>
  </si>
  <si>
    <t>до Програми економічного і соціального розвитку                                                                                   м. Запоріжжя на 2013 рік</t>
  </si>
  <si>
    <t>КП "УКБ"</t>
  </si>
  <si>
    <t>Таблиця 4.2</t>
  </si>
  <si>
    <t>03</t>
  </si>
  <si>
    <t>Виконавчий комітет міської ради</t>
  </si>
  <si>
    <t>010116</t>
  </si>
  <si>
    <t>Органи місцевого самоврядування</t>
  </si>
  <si>
    <t>капітальні видатки</t>
  </si>
  <si>
    <t>Інші видатки</t>
  </si>
  <si>
    <t>070101</t>
  </si>
  <si>
    <t>Дошкільні заклади освіти</t>
  </si>
  <si>
    <t>070201</t>
  </si>
  <si>
    <t xml:space="preserve">Загальноосвітні школи (в т.ч. школа-дитячий садок, інтернат при школі), спеціалізовані школи, ліцеї, гімназії, колегіуми </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</si>
  <si>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</si>
  <si>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</si>
  <si>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</si>
  <si>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</si>
  <si>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</si>
  <si>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</si>
  <si>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</si>
  <si>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</si>
  <si>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</si>
  <si>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</si>
  <si>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</si>
  <si>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090203</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</si>
  <si>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</si>
  <si>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</si>
  <si>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</si>
  <si>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</si>
  <si>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</si>
  <si>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</si>
  <si>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</si>
  <si>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</si>
  <si>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</si>
  <si>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</si>
  <si>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</si>
  <si>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</si>
  <si>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Управління розвитку підприємництва та дозвільних послуг Запорізької міської ради</t>
  </si>
  <si>
    <t>100102</t>
  </si>
  <si>
    <t>Капітальний ремонт житлового фонду місцевих органів ради</t>
  </si>
  <si>
    <t>250404</t>
  </si>
  <si>
    <t xml:space="preserve">                                                                                                                                                                                                                                                                                                                                                                                                                                                                                                                                                                                                                                                                                                                                                                                                                                                                                                                                                                                                                                                                                </t>
  </si>
  <si>
    <t>100203</t>
  </si>
  <si>
    <t>Департамент комунальної власності та приватизації Запорізької міської ради</t>
  </si>
  <si>
    <t>Секретар міської ради</t>
  </si>
  <si>
    <t>Р.О. Таран</t>
  </si>
  <si>
    <t>Перелік капітальних видатків, які у 2013 році будуть проводитися за рахунок коштів бюджету розвитку  міста</t>
  </si>
  <si>
    <t>Реконструкція Набережної магістралі (проектні та будівельні роботи)</t>
  </si>
  <si>
    <t xml:space="preserve">Будівництво систем відеоспостереження у місцях масового перебування громадян </t>
  </si>
  <si>
    <t>Будівництво дитячого садку по вул. Дорошенка у мікрорайоні № 17 Хортицького району  м.Запоріжжя  (проектні роботи, експертиза)</t>
  </si>
  <si>
    <t>Прибудова до загальноосвітньої школи І-ІІІ ступенів № 104 по вул. Кремлівська, 65в Ленінського району - будівництво (проектні та будівельні роботи)</t>
  </si>
  <si>
    <t>Реконструкція будівлі по вул. Таганська, 8 під соціальний готель (проектні та будівельні роботи)</t>
  </si>
  <si>
    <t>Будівництво дитячих майданчиків  (проектні та будівельні роботи)</t>
  </si>
  <si>
    <t xml:space="preserve">Будівництво спортивних майданчиків </t>
  </si>
  <si>
    <t>Реконструкція житлового будинку по пл. Профспілок, 4</t>
  </si>
  <si>
    <t>Винос водогону з під житлової забудови по вул. Первомайській (від вул. Кооперативної до вул. Української, 92) (проектні та будівельні роботи)</t>
  </si>
  <si>
    <t>Попередження створення аварійної ситуацій житлових будинків по вул. Нагнибіди, 11, 11а (проектні та будівельні роботи)</t>
  </si>
  <si>
    <t>Будівництво інженерних мереж до громадських модульних туалетів на Центральному міському пляжі по Прибрежній магістралі в м.Запоріжжі (проектні та будівельні роботи)</t>
  </si>
  <si>
    <t>Управління з питань земельних відносин Запорізької міської ради</t>
  </si>
  <si>
    <t>65</t>
  </si>
  <si>
    <t>Управління з питань транспортного забезпечення та зв"язку Запорізької міської ради</t>
  </si>
  <si>
    <t>210110</t>
  </si>
  <si>
    <t>Заходи з організації рятування на водах</t>
  </si>
  <si>
    <t>Реконструкція частини центральної пішохідної алеї по пр. Ювілейному (проектні та будівельні роботи)</t>
  </si>
  <si>
    <t>Реконструкція будівлі дошкільного навчального закладу №186 по вул.12 Квітня, 2а (проектні та будівельні роботи)</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</si>
  <si>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</si>
  <si>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t>
  </si>
  <si>
    <t>Реконструкція автодороги Запоріжжя-Підпорожнянка в районі шлакових відвалів ВАТ "Запоріжсталь"</t>
  </si>
  <si>
    <t>091204</t>
  </si>
  <si>
    <t>Територіальні центри соціального обслуговування (надання соціальних послуг)</t>
  </si>
  <si>
    <t>Реконструкція зовнішнього електропостачання будівлі Палацу спорту "Юність" (проектні роботи, експертиза)</t>
  </si>
  <si>
    <t>Інженерне забезпечення (електропостачання) об'єкту "Будівництво та облаштування притулку для утримання безпритульних тварин м.Запоріжжя"</t>
  </si>
  <si>
    <t>КП "ЕЛУАШ", МКП "Основаніє"</t>
  </si>
  <si>
    <t>95</t>
  </si>
  <si>
    <t>Районна адміністрація Запорізької міської ради по Жовтневому району</t>
  </si>
  <si>
    <t>Реконструкція скверу на пл. Театральній зі спорудженням пам"ятника Т.Г. Шевченку (проектні роботи та експертиза)</t>
  </si>
  <si>
    <t>Будівництво дитячого будинку сімейного типу (проектно-вишукувальні роботи)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</si>
  <si>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</si>
  <si>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Департамент житлово-комунального господарства Запорізької міської ради</t>
  </si>
  <si>
    <t>Департамент житлово-комунального  господарства Запорізької міської ради</t>
  </si>
  <si>
    <t>Благоустрій міст, сіл, селищ</t>
  </si>
  <si>
    <t>Реконструкція водопроводу Д-630 мм по вул. Первомайській (від ЗЦП до вул. Кооперативної) (проектні та будівельні роботи)</t>
  </si>
  <si>
    <t>Реконструкція інженерних мереж на перехресті пр.Леніна та пр.Металургів м.Запоріжжя (проектні та будівельні роботи)</t>
  </si>
  <si>
    <t>Будівництво теплової мережі до 3-ої секції житлового будинку по вул.Дзержинського, 114 (проектні та будівельні роботи)</t>
  </si>
  <si>
    <t>Внески органів місцевого самоврядування у статутні капітали суб'єктів підприємницької діяльності</t>
  </si>
  <si>
    <t>Внески у статутні капітали комунальних підприємств міста (придбання спеціальної техніки)</t>
  </si>
  <si>
    <t xml:space="preserve">Управління з питань попередження надзвичайних ситуацій та цивільного захисту населення Запорізької міської ради </t>
  </si>
  <si>
    <t>Реконструкція  центральної алеї парку "Дубовий гай" в м.Запоріжжя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</si>
  <si>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</si>
  <si>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Реконструкція вул. Лермонтова (від вул.Правди до вул.Заводської) м.Запоріжжя (проектні та будівельні роботи)</t>
  </si>
  <si>
    <t>Будівля навчального комплексу "Запорізька Січ" о.Хортиця, м.Запоріжжя - реконструкція</t>
  </si>
  <si>
    <t xml:space="preserve">Виконавчий комітет міської ради </t>
  </si>
  <si>
    <t>33</t>
  </si>
  <si>
    <t xml:space="preserve">Управління реєстрації та єдиного реєстру Запорізької міської ради </t>
  </si>
  <si>
    <t xml:space="preserve">Внески у статутні капітали комунальних підприємств міста  </t>
  </si>
  <si>
    <t>92</t>
  </si>
  <si>
    <t>Благоустрій міста</t>
  </si>
  <si>
    <t>38,907</t>
  </si>
  <si>
    <t>2,896</t>
  </si>
  <si>
    <t xml:space="preserve">Благоустрій міста </t>
  </si>
  <si>
    <t>20,0</t>
  </si>
  <si>
    <t>Районна адміністрація Запорізької міської ради по Комунарського  району</t>
  </si>
  <si>
    <t>96</t>
  </si>
  <si>
    <t>146,388</t>
  </si>
  <si>
    <t>в тому числі погашення заборгованості за минулі роки</t>
  </si>
  <si>
    <t>Реконструкція ринку Соцміста КП "Запоріжринок" вул. Рекордна, 2, м. Запоріжжя (проектні та будівельні роботи)</t>
  </si>
  <si>
    <t>Придбання житла для воїнів-інтернаціоналістів - погашення заборгованості за минулі роки</t>
  </si>
  <si>
    <t>Реконструкція приміщень навчально-виховного оздоровчого комплексу  № 110  по вул.Стешенка,19 Комунарського району під позашкільний підрозділ - погашення заборгованості за минулі роки</t>
  </si>
  <si>
    <t>Реконструкція Палацу спорту "Юність" в м.Запоріжжя (проектні роботи) - погашення заборгованості за минулі роки</t>
  </si>
  <si>
    <t>Комунальна установа «Міська клінічна лікарня екстреної та швидкої медичної допомоги м.Запоріжжя» -  реконструкція травматологічного відділення (проектні та будівельні роботи) - погашення заборгованості за минулі роки</t>
  </si>
  <si>
    <t>Реконструкція будівель та інженерних мереж комунальної установи "Міська клінічна лікарня екстреної та швидкої медичної допомоги" по вул.Перемоги, 80  м. Запоріжжя (проектні роботи та експертиза) - погашення заборгованості за минулі роки</t>
  </si>
  <si>
    <t>Реконструкція підстанції швидкої та медичної допомоги комунальної установи "Міська клінічна лікарня екстреної та швидкої медичної допомоги м.Запоріжжя" по вул.Демократичній, 127 в Заводському районі (проектні роботи) - погашення заборгованості за минулі роки</t>
  </si>
  <si>
    <t>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 - погашення заборгованості за минулі роки</t>
  </si>
  <si>
    <t>Комунальна установа «Запорізька міська багатопрофільна дитяча лікарня №5»  (відділення недоношених новонароджених)  - реконструкція - погашення заборгованості за минулі роки</t>
  </si>
  <si>
    <t>Реконструкція прибудови до житлової будівлі під амбулаторію сімейного лікаря по вул. Дорошенко, 3 в Хортицькому районі - погашення заборгованості за минулі роки</t>
  </si>
  <si>
    <t>Реконструкція частини будівлі під амбулаторію сімейного лікаря по вул. Воронезька, 10 в Хортицькому районі  - погашення заборгованості за минулі роки</t>
  </si>
  <si>
    <t>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 погашення заборгованості за минулі роки</t>
  </si>
  <si>
    <t>Реконструкція  приміщень комунальної установи  "Міська клінічна лікарня №2", м. Запоріжжя (проектні та будівельні роботи) - погашення заборгованості за минулі роки</t>
  </si>
  <si>
    <t>Комунальна установа "Центральна лікарня Орджонікідзеського району" по бул. Шевченко, 25 м. Запоріжжя - реконструкція  - погашення заборгованості за минулі роки</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</si>
  <si>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 - погашення заборгованості за минулі роки</t>
  </si>
  <si>
    <t>Реконструкція будівлі міського геріатричного стаціонару по вул. Кузнєцова, 28а (проектні та будівельні роботи) - погашення заборгованості за минулі роки</t>
  </si>
  <si>
    <t>Житлові будинки  по вул. Нижньодніпровській, 14, 16, 18, по бул. Гвардійському, 145а, 147а, 151, 153  - реконструкція системи холодного та гарячого водопостачання - погашення заборгованості за минулі роки</t>
  </si>
  <si>
    <t>Житловий будинок  по вул.Республіканській, 88 - реконструкція  - погашення заборгованості за минулі роки</t>
  </si>
  <si>
    <t>Реконструкція, переобладнання та перепланування гуртожитку під житловий будинок  по вул. Нахімова, 6  - погашення заборгованості за минулі роки</t>
  </si>
  <si>
    <t>Ліквідація аварійного стану житлового будинку по вул.Ракетній, 38а - погашення заборгованості за минулі роки</t>
  </si>
  <si>
    <t>Житловий будинок по бул. Вінтера,50 - реконструкція  - погашення заборгованості за минулі роки</t>
  </si>
  <si>
    <t>Житловий будинок по вул. Нагнибіди,15 – реконструкція системи тепло-, водопостачання - погашення заборгованості за минулі роки</t>
  </si>
  <si>
    <t>Житловий будинок по вул. Ленській, 1б – реконструкція системи теплопостачання - погашення заборгованості за минулі роки</t>
  </si>
  <si>
    <t>Реконструкція контейнерного майданчика по вул. Матросова, 25 - погашення заборгованості за минулі роки</t>
  </si>
  <si>
    <t>Реконструкція контейнерного майданчика по вул. Маяковського, 10 - погашення заборгованості за минулі роки</t>
  </si>
  <si>
    <t>Реконструкція контейнерного майданчика по вул. Перемоги, 59 - погашення заборгованості за минулі роки</t>
  </si>
  <si>
    <t>Реконструкція контейнерного майданчика по вул. Південноукраїнська, 19 - погашення заборгованості за минулі роки</t>
  </si>
  <si>
    <t>Реконструкція контейнерного майданчика по вул. Південноукраїнська, 13 - погашення заборгованості за минулі роки</t>
  </si>
  <si>
    <t>Реконструкція контейнерного майданчика по вул. Патріотична, 64б - погашення заборгованості за минулі роки</t>
  </si>
  <si>
    <t>Реконструкція контейнерного майданчика по пр. Леніна,133 - погашення заборгованості за минулі роки</t>
  </si>
  <si>
    <t>Реконструкція контейнерного майданчика по бул. Шевченко, 42 - погашення заборгованості за минулі роки</t>
  </si>
  <si>
    <t>Реконструкція контейнерного майданчика по вул. Тбіліська, 9 - погашення заборгованості за минулі роки</t>
  </si>
  <si>
    <t>Реконструкція системи диспетчеризації ліфтового господарства в Комунарському районі м. Запоріжжя - погашення заборгованості за минулі роки</t>
  </si>
  <si>
    <t>Будівництво мереж зовнішнього освітлення по вул. Горького (від вул. Радянської до вул. Червоногвардійської) (проектні та будівельні роботи) -  погашення заборгованості за минулі роки</t>
  </si>
  <si>
    <t>Будівництво мереж зовнішнього освітлення по вул. Свердлова (від вул.Жуковського до вул. Гоголя) (проектні та будівельні роботи) -  погашення заборгованості за минулі роки</t>
  </si>
  <si>
    <t>Будівництво мереж зовнішнього освітлення вулиці Історична від буд. 1 до буд. 5 (проектні роботи) -  погашення заборгованості за минулі роки</t>
  </si>
  <si>
    <t>Будівництво мереж зовнішнього освітлення вулиці  Косарєва (проектні роботи) -  погашення заборгованості за минулі роки</t>
  </si>
  <si>
    <t>Будівництво мереж зовнішнього освітлення  пров.Кедровий (проектні роботи) -  погашення заборгованості за минулі роки</t>
  </si>
  <si>
    <t>Будівництво мереж зовнішнього освітлення пров.Якутський (проектні роботи) -  погашення заборгованості за минулі роки</t>
  </si>
  <si>
    <t>Реконструкція шляхопроводу через р. Мокра Московка на автошляху Харків-Сімферополь (проектні роботи) -  погашення заборгованості за минулі роки</t>
  </si>
  <si>
    <t>Ліквідація аварійного стану автодороги, зливової та побутової каналізації по вул. М.Судця, м.Запоріжжя -  погашення заборгованості за минулі роки</t>
  </si>
  <si>
    <t>Реконструкція автошляхопроводу  по вул. Карпенка-Карого (проектні роботи, експертиза) -  погашення заборгованості за минулі роки</t>
  </si>
  <si>
    <t>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експертиза, будівництво) -  погашення заборгованості за минулі роки</t>
  </si>
  <si>
    <t>Будівництво дорожнього полотна провулку Ставропольського (проектні та будівельні роботи) -  погашення заборгованості за минулі роки</t>
  </si>
  <si>
    <t>Ліквідація аварійного стану на дорожній насипі проїзної частини дороги по вул. Перемоги (в р-ні міської лікарні №6) (проектні роботи, будівництво) -  погашення заборгованості за минулі роки</t>
  </si>
  <si>
    <t>Завершення будівництва по вул. Калнишевського, вул. Дорошенко, вул. Рубана (зовнішнє освітлення та дороги)  -  погашення заборгованості за минулі роки</t>
  </si>
  <si>
    <t>Реконструкція дороги по вул. Нагнибіди в Комунарському районі (проектні роботи, експертиза) -  погашення заборгованості за минулі роки</t>
  </si>
  <si>
    <t>Реконструкція пр. Леніна на ділянці від вул. Кірова до залізничній станції «Запоріжжя-1» (ділянка від вул. Кірова до вул. Космічної) -  погашення заборгованості за минулі роки</t>
  </si>
  <si>
    <t>Реконструкція вул. Шамотної в межах від вул. Електричної до вул. Шламової (проектні та будівельні роботи) -  погашення заборгованості за минулі роки</t>
  </si>
  <si>
    <t>Реконструкція вул. Фінальної в межах від вул. Північне шосе до вул. Історичної (проектні та будівельні роботи) -  погашення заборгованості за минулі роки</t>
  </si>
  <si>
    <t>Реконструкція вул.Ніжинської в межах від вул. Олександра Невського до вул. Шмідта (проектні та будівельні роботи) -  погашення заборгованості за минулі роки</t>
  </si>
  <si>
    <t>Реконструкція вул. Кияшка в межах від бул. Вінтера до вул. Михайлова (проектні та будівельні роботи) -  погашення заборгованості за минулі роки</t>
  </si>
  <si>
    <t>Реконструкція вул.Медичної в межах від вул.Айвазовського до вул. Панаса Мирного (проектні та будівельні роботи) -  погашення заборгованості за минулі роки</t>
  </si>
  <si>
    <t>Реконструкція парку   «Перемоги» в м. Запоріжжя (ІІ черга) -  погашення заборгованості за минулі роки</t>
  </si>
  <si>
    <t>Будівництво водогону Д=315 мм по вул.Сапожнікова, м.Запоріжжя -  погашення заборгованості за минулі роки</t>
  </si>
  <si>
    <t>Реконструкція скверу ім. 60-річчя СРСР в м. Запоріжжі (ескізний проект) -  погашення заборгованості за минулі роки</t>
  </si>
  <si>
    <t>Реконструкція скидного зливового колектору в районі насосної станції № 29 в Хортицькому районі (проектні роботи, експертиза) -  погашення заборгованості за минулі роки</t>
  </si>
  <si>
    <t>Котельня по вул. Панфьорова, 146а - технічне переоснащення -  погашення заборгованості за минулі роки</t>
  </si>
  <si>
    <t>Розширення і реконструкція центральних каналізаційних очисних споруд Лівого берега (ЦОС-1). Технологічні трубопроводи. (Колектор К-28)  -  погашення заборгованості за минулі роки</t>
  </si>
  <si>
    <r>
      <t>Будівництво житлового будинку № 25 в кварталі  по вул.Алмазній у сел. Павло-Кічкас м. Запоріжжя (проектні та будівельні роботи)</t>
    </r>
    <r>
      <rPr>
        <b/>
        <sz val="13"/>
        <rFont val="Times New Roman"/>
        <family val="1"/>
      </rPr>
      <t xml:space="preserve"> </t>
    </r>
    <r>
      <rPr>
        <sz val="13"/>
        <rFont val="Times New Roman"/>
        <family val="1"/>
      </rPr>
      <t xml:space="preserve"> -  погашення заборгованості за минулі роки</t>
    </r>
  </si>
  <si>
    <t>Будівництво житлового будинку № 10 в мікрорайоні 5 житлового масиву "Південний", м. Запоріжжя (пілотний проект)  -  погашення заборгованості за минулі роки</t>
  </si>
  <si>
    <t>Будівництво позаквартальних інженерних мереж та споруд по вул. Алмазній  (проектні роботи)  -  погашення заборгованості за минулі роки</t>
  </si>
  <si>
    <r>
      <t>Газифікація житлових будинків по вул. Воєнбуд м.Запоріжжя</t>
    </r>
    <r>
      <rPr>
        <b/>
        <sz val="13"/>
        <rFont val="Times New Roman"/>
        <family val="1"/>
      </rPr>
      <t xml:space="preserve"> </t>
    </r>
    <r>
      <rPr>
        <sz val="13"/>
        <rFont val="Times New Roman"/>
        <family val="1"/>
      </rPr>
      <t xml:space="preserve"> -  погашення заборгованості за минулі роки</t>
    </r>
  </si>
  <si>
    <t>Реконструкція  пам'ятника "Металургам" в м. Запоріжжя (проектні та будівельні роботи)  -  погашення заборгованості за минулі роки</t>
  </si>
  <si>
    <t>Реконструкція дитячого містечка в районі вул. Південноукраїнська з установкою малих архітектурних форм (проектні та будівельні роботи) -  погашення заборгованості за минулі роки</t>
  </si>
  <si>
    <t>Будівництво декоративних підпірних стін від вул. Правда до вул. Перемога (проектні та будівельні роботи) -  погашення заборгованості за минулі роки</t>
  </si>
  <si>
    <t>Реконструкція ділянки пішохідної алеї від вул. Правда до вул. Патріотична (проектні та будівельні роботи)  -  погашення заборгованості за минулі роки</t>
  </si>
  <si>
    <t>Реконструкція зовнішнього освітлення в районі вул. Правда - вул. Чубаря, м.Запоріжжя (проектні та будівельні роботи)  -  погашення заборгованості за минулі роки</t>
  </si>
  <si>
    <t>30.01.2013 №7</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</si>
</sst>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
    <numFmt numFmtId="183" formatCode="#&quot; &quot;##0.000"/>
    <numFmt numFmtId="184" formatCode="0.00000"/>
    <numFmt numFmtId="185" formatCode="0.000000000"/>
    <numFmt numFmtId="186" formatCode="0.0000000000"/>
    <numFmt numFmtId="187" formatCode="0.00000000000"/>
    <numFmt numFmtId="188" formatCode="0.00000000"/>
    <numFmt numFmtId="189" formatCode="0.0000000"/>
    <numFmt numFmtId="190" formatCode="0.000000"/>
    <numFmt numFmtId="191" formatCode="0.0000"/>
    <numFmt numFmtId="192" formatCode="#,##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00"/>
    <numFmt numFmtId="198" formatCode="#,##0.00000"/>
    <numFmt numFmtId="199" formatCode="[$-422]d\ mmmm\ yyyy&quot; р.&quot;"/>
  </numFmts>
  <fonts count="42">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name val="Times New Roman"/>
      <family val="1"/>
    </font>
    <font>
      <sz val="13"/>
      <name val="Times New Roman"/>
      <family val="1"/>
    </font>
    <font>
      <b/>
      <sz val="16"/>
      <name val="Times New Roman"/>
      <family val="1"/>
    </font>
    <font>
      <b/>
      <sz val="15"/>
      <name val="Times New Roman"/>
      <family val="1"/>
    </font>
    <font>
      <sz val="18"/>
      <name val="Times New Roman"/>
      <family val="1"/>
    </font>
    <font>
      <sz val="20"/>
      <name val="Times New Roman"/>
      <family val="1"/>
    </font>
    <font>
      <sz val="14"/>
      <name val="Times New Roman"/>
      <family val="1"/>
    </font>
    <font>
      <b/>
      <sz val="20"/>
      <name val="Times New Roman"/>
      <family val="1"/>
    </font>
    <font>
      <b/>
      <sz val="18"/>
      <name val="Times New Roman"/>
      <family val="1"/>
    </font>
    <font>
      <b/>
      <sz val="14"/>
      <name val="Times New Roman"/>
      <family val="1"/>
    </font>
    <font>
      <b/>
      <sz val="12"/>
      <name val="Times New Roman"/>
      <family val="1"/>
    </font>
    <font>
      <sz val="16"/>
      <name val="Times New Roman"/>
      <family val="1"/>
    </font>
    <font>
      <sz val="12"/>
      <name val="Times New Roman"/>
      <family val="1"/>
    </font>
    <font>
      <b/>
      <sz val="11"/>
      <name val="Times New Roman"/>
      <family val="1"/>
    </font>
    <font>
      <sz val="11"/>
      <name val="Times New Roman"/>
      <family val="1"/>
    </font>
    <font>
      <b/>
      <sz val="14"/>
      <color indexed="8"/>
      <name val="Times New Roman"/>
      <family val="1"/>
    </font>
    <font>
      <sz val="14"/>
      <color indexed="8"/>
      <name val="Times New Roman"/>
      <family val="1"/>
    </font>
    <font>
      <sz val="10"/>
      <name val="Times New Roman"/>
      <family val="1"/>
    </font>
    <font>
      <sz val="12.5"/>
      <name val="Times New Roman"/>
      <family val="1"/>
    </font>
    <font>
      <sz val="11"/>
      <color indexed="8"/>
      <name val="Times New Roman"/>
      <family val="1"/>
    </font>
    <font>
      <u val="single"/>
      <sz val="11"/>
      <color indexed="12"/>
      <name val="Calibri"/>
      <family val="2"/>
    </font>
    <font>
      <u val="single"/>
      <sz val="11"/>
      <color indexed="20"/>
      <name val="Calibri"/>
      <family val="2"/>
    </font>
    <font>
      <sz val="18"/>
      <color indexed="8"/>
      <name val="Times New Roman"/>
      <family val="1"/>
    </font>
    <font>
      <b/>
      <u val="single"/>
      <sz val="1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medium"/>
      <right style="thin"/>
      <top>
        <color indexed="63"/>
      </top>
      <bottom style="medium"/>
    </border>
    <border>
      <left style="thin"/>
      <right style="thin"/>
      <top>
        <color indexed="63"/>
      </top>
      <bottom>
        <color indexed="63"/>
      </bottom>
    </border>
  </borders>
  <cellStyleXfs count="7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3" fillId="7" borderId="1"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4" fillId="20" borderId="2"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0" fillId="21" borderId="7"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9"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cellStyleXfs>
  <cellXfs count="196">
    <xf numFmtId="0" fontId="0" fillId="0" borderId="0" xfId="0" applyAlignment="1">
      <alignment/>
    </xf>
    <xf numFmtId="0" fontId="22"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180" fontId="22" fillId="0" borderId="0" xfId="0" applyNumberFormat="1" applyFont="1" applyFill="1" applyBorder="1" applyAlignment="1">
      <alignment horizontal="center" vertical="center" wrapText="1"/>
    </xf>
    <xf numFmtId="0" fontId="22" fillId="0" borderId="0" xfId="0" applyFont="1" applyFill="1" applyAlignment="1">
      <alignment horizontal="center" wrapText="1"/>
    </xf>
    <xf numFmtId="0" fontId="22" fillId="0" borderId="0" xfId="0" applyFont="1" applyFill="1" applyAlignment="1">
      <alignment horizontal="left" wrapText="1"/>
    </xf>
    <xf numFmtId="0" fontId="22" fillId="0" borderId="0" xfId="0" applyFont="1" applyFill="1" applyAlignment="1">
      <alignment wrapText="1"/>
    </xf>
    <xf numFmtId="0" fontId="22" fillId="0" borderId="0" xfId="0" applyFont="1" applyFill="1" applyAlignment="1">
      <alignment horizontal="center" vertical="center" wrapText="1"/>
    </xf>
    <xf numFmtId="0" fontId="22" fillId="0" borderId="0" xfId="0" applyFont="1" applyFill="1" applyAlignment="1">
      <alignment vertical="center" wrapText="1"/>
    </xf>
    <xf numFmtId="0" fontId="26" fillId="0" borderId="0" xfId="0" applyFont="1" applyFill="1" applyBorder="1" applyAlignment="1">
      <alignment horizontal="center" vertical="center" wrapText="1"/>
    </xf>
    <xf numFmtId="49" fontId="26" fillId="0" borderId="0" xfId="0" applyNumberFormat="1" applyFont="1" applyFill="1" applyBorder="1" applyAlignment="1">
      <alignment horizontal="center" vertical="center" wrapText="1"/>
    </xf>
    <xf numFmtId="49" fontId="26" fillId="0" borderId="0" xfId="0" applyNumberFormat="1" applyFont="1" applyFill="1" applyBorder="1" applyAlignment="1">
      <alignment horizontal="left" vertical="center" wrapText="1"/>
    </xf>
    <xf numFmtId="49" fontId="22" fillId="0" borderId="0" xfId="0" applyNumberFormat="1" applyFont="1" applyFill="1" applyBorder="1" applyAlignment="1">
      <alignment vertical="center" wrapText="1"/>
    </xf>
    <xf numFmtId="0" fontId="24" fillId="0" borderId="0" xfId="0" applyFont="1" applyFill="1" applyBorder="1" applyAlignment="1">
      <alignment horizontal="center" vertical="center" wrapText="1"/>
    </xf>
    <xf numFmtId="180" fontId="24" fillId="0" borderId="0" xfId="0" applyNumberFormat="1" applyFont="1" applyFill="1" applyBorder="1" applyAlignment="1">
      <alignment horizontal="center" vertical="center" wrapText="1"/>
    </xf>
    <xf numFmtId="0" fontId="24" fillId="0" borderId="0" xfId="0" applyFont="1" applyFill="1" applyBorder="1" applyAlignment="1">
      <alignment horizontal="center" wrapText="1"/>
    </xf>
    <xf numFmtId="0" fontId="31"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1" fontId="27" fillId="0" borderId="15" xfId="0" applyNumberFormat="1"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0" fillId="0" borderId="11" xfId="0" applyFont="1" applyFill="1" applyBorder="1" applyAlignment="1">
      <alignment horizontal="left" vertical="center" wrapText="1"/>
    </xf>
    <xf numFmtId="0" fontId="20" fillId="0" borderId="11" xfId="0" applyFont="1" applyFill="1" applyBorder="1" applyAlignment="1">
      <alignment horizontal="center" vertical="center" wrapText="1"/>
    </xf>
    <xf numFmtId="192" fontId="20" fillId="0" borderId="11" xfId="0" applyNumberFormat="1" applyFont="1" applyFill="1" applyBorder="1" applyAlignment="1">
      <alignment horizontal="center" vertical="center" wrapText="1"/>
    </xf>
    <xf numFmtId="192" fontId="29" fillId="0" borderId="17"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19" fillId="0" borderId="19" xfId="0" applyFont="1" applyFill="1" applyBorder="1" applyAlignment="1">
      <alignment horizontal="left" vertical="center" wrapText="1"/>
    </xf>
    <xf numFmtId="192" fontId="18" fillId="0" borderId="19" xfId="0" applyNumberFormat="1" applyFont="1" applyFill="1" applyBorder="1" applyAlignment="1">
      <alignment horizontal="center" vertical="center" wrapText="1"/>
    </xf>
    <xf numFmtId="192" fontId="19" fillId="0" borderId="20"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49" fontId="18" fillId="0" borderId="18" xfId="0" applyNumberFormat="1" applyFont="1" applyFill="1" applyBorder="1" applyAlignment="1">
      <alignment horizontal="center" vertical="center"/>
    </xf>
    <xf numFmtId="192" fontId="18" fillId="0" borderId="20" xfId="0" applyNumberFormat="1" applyFont="1" applyFill="1" applyBorder="1" applyAlignment="1">
      <alignment horizontal="center" vertical="center" wrapText="1"/>
    </xf>
    <xf numFmtId="192" fontId="18" fillId="0" borderId="0" xfId="0" applyNumberFormat="1" applyFont="1" applyFill="1" applyBorder="1" applyAlignment="1">
      <alignment horizontal="center" vertical="center" wrapText="1"/>
    </xf>
    <xf numFmtId="0" fontId="19" fillId="0" borderId="0" xfId="0" applyFont="1" applyFill="1" applyBorder="1" applyAlignment="1">
      <alignment horizontal="center" vertical="center" textRotation="90"/>
    </xf>
    <xf numFmtId="0" fontId="19" fillId="0" borderId="0" xfId="0" applyFont="1" applyFill="1" applyBorder="1" applyAlignment="1">
      <alignment horizontal="center" vertical="center"/>
    </xf>
    <xf numFmtId="192" fontId="19" fillId="0" borderId="19" xfId="0" applyNumberFormat="1" applyFont="1" applyFill="1" applyBorder="1" applyAlignment="1">
      <alignment horizontal="center" vertical="center" wrapText="1"/>
    </xf>
    <xf numFmtId="182" fontId="19" fillId="0" borderId="19" xfId="679" applyNumberFormat="1"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4" fillId="0" borderId="18" xfId="0" applyFont="1" applyFill="1" applyBorder="1" applyAlignment="1">
      <alignment horizontal="center" vertical="center"/>
    </xf>
    <xf numFmtId="0" fontId="35" fillId="0" borderId="19" xfId="0" applyFont="1" applyFill="1" applyBorder="1" applyAlignment="1">
      <alignment vertical="top" wrapText="1"/>
    </xf>
    <xf numFmtId="182" fontId="19" fillId="0" borderId="19" xfId="697" applyNumberFormat="1" applyFont="1" applyFill="1" applyBorder="1" applyAlignment="1">
      <alignment horizontal="center" vertical="center" wrapText="1"/>
    </xf>
    <xf numFmtId="0" fontId="21" fillId="0" borderId="0" xfId="0" applyFont="1" applyFill="1" applyBorder="1" applyAlignment="1">
      <alignment horizontal="right" vertical="center" wrapText="1"/>
    </xf>
    <xf numFmtId="0" fontId="18"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182" fontId="18" fillId="0" borderId="19" xfId="679" applyNumberFormat="1"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0" xfId="0" applyFont="1" applyFill="1" applyBorder="1" applyAlignment="1">
      <alignment horizontal="right" vertical="center" wrapText="1"/>
    </xf>
    <xf numFmtId="49" fontId="19" fillId="0" borderId="18" xfId="0" applyNumberFormat="1" applyFont="1" applyFill="1" applyBorder="1" applyAlignment="1">
      <alignment horizontal="center" vertical="center" wrapText="1"/>
    </xf>
    <xf numFmtId="0" fontId="19" fillId="0" borderId="19" xfId="620" applyFont="1" applyFill="1" applyBorder="1" applyAlignment="1">
      <alignment horizontal="left" vertical="center" wrapText="1"/>
      <protection/>
    </xf>
    <xf numFmtId="49" fontId="19" fillId="0" borderId="19" xfId="620" applyNumberFormat="1" applyFont="1" applyFill="1" applyBorder="1" applyAlignment="1">
      <alignment horizontal="left" vertical="center" wrapText="1"/>
      <protection/>
    </xf>
    <xf numFmtId="49" fontId="19" fillId="0" borderId="19" xfId="0" applyNumberFormat="1" applyFont="1" applyFill="1" applyBorder="1" applyAlignment="1">
      <alignment horizontal="left" vertical="center" wrapText="1"/>
    </xf>
    <xf numFmtId="192" fontId="19" fillId="0" borderId="19" xfId="620" applyNumberFormat="1" applyFont="1" applyFill="1" applyBorder="1" applyAlignment="1">
      <alignment horizontal="center" vertical="center" wrapText="1"/>
      <protection/>
    </xf>
    <xf numFmtId="0" fontId="19" fillId="0" borderId="19" xfId="0" applyFont="1" applyFill="1" applyBorder="1" applyAlignment="1">
      <alignment vertical="center" wrapText="1"/>
    </xf>
    <xf numFmtId="182" fontId="19" fillId="0" borderId="19" xfId="0" applyNumberFormat="1" applyFont="1" applyFill="1" applyBorder="1" applyAlignment="1">
      <alignment horizontal="center" vertical="center" wrapText="1"/>
    </xf>
    <xf numFmtId="0" fontId="19" fillId="0" borderId="19" xfId="625" applyFont="1" applyFill="1" applyBorder="1" applyAlignment="1">
      <alignment horizontal="left" vertical="center" wrapText="1"/>
      <protection/>
    </xf>
    <xf numFmtId="192" fontId="19" fillId="0" borderId="19" xfId="625" applyNumberFormat="1" applyFont="1" applyFill="1" applyBorder="1" applyAlignment="1">
      <alignment horizontal="center" vertical="center" wrapText="1"/>
      <protection/>
    </xf>
    <xf numFmtId="0" fontId="19" fillId="0" borderId="19" xfId="0" applyFont="1" applyFill="1" applyBorder="1" applyAlignment="1">
      <alignment horizontal="justify" vertical="center" wrapText="1"/>
    </xf>
    <xf numFmtId="192" fontId="27" fillId="0" borderId="0" xfId="0" applyNumberFormat="1" applyFont="1" applyFill="1" applyBorder="1" applyAlignment="1">
      <alignment horizontal="center" vertical="center" wrapText="1"/>
    </xf>
    <xf numFmtId="192" fontId="28"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35" fillId="0" borderId="0" xfId="0" applyFont="1" applyFill="1" applyBorder="1" applyAlignment="1">
      <alignment horizontal="center" vertical="center" textRotation="90"/>
    </xf>
    <xf numFmtId="0" fontId="24"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192" fontId="19" fillId="0" borderId="19" xfId="0" applyNumberFormat="1" applyFont="1" applyFill="1" applyBorder="1" applyAlignment="1">
      <alignment horizontal="center" vertical="center"/>
    </xf>
    <xf numFmtId="180" fontId="19" fillId="0" borderId="19" xfId="0" applyNumberFormat="1" applyFont="1" applyFill="1" applyBorder="1" applyAlignment="1">
      <alignment horizontal="center" vertical="center" wrapText="1"/>
    </xf>
    <xf numFmtId="0" fontId="19" fillId="0" borderId="0" xfId="0" applyFont="1" applyFill="1" applyBorder="1" applyAlignment="1">
      <alignment vertical="center" wrapText="1"/>
    </xf>
    <xf numFmtId="49" fontId="18" fillId="0" borderId="18" xfId="0" applyNumberFormat="1" applyFont="1" applyFill="1" applyBorder="1" applyAlignment="1">
      <alignment horizontal="center" vertical="center" wrapText="1"/>
    </xf>
    <xf numFmtId="0" fontId="19" fillId="0" borderId="0" xfId="0" applyFont="1" applyFill="1" applyBorder="1" applyAlignment="1">
      <alignment horizontal="left" vertical="center" wrapText="1"/>
    </xf>
    <xf numFmtId="180" fontId="19" fillId="0" borderId="0" xfId="0" applyNumberFormat="1" applyFont="1" applyFill="1" applyBorder="1" applyAlignment="1">
      <alignment horizontal="center" vertical="center" wrapText="1"/>
    </xf>
    <xf numFmtId="181" fontId="19" fillId="0" borderId="19" xfId="0" applyNumberFormat="1" applyFont="1" applyFill="1" applyBorder="1" applyAlignment="1">
      <alignment horizontal="center" vertical="center" wrapText="1"/>
    </xf>
    <xf numFmtId="192" fontId="19" fillId="0" borderId="0"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xf numFmtId="192" fontId="27" fillId="0" borderId="17" xfId="0" applyNumberFormat="1"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4" fillId="0" borderId="21" xfId="0" applyFont="1" applyFill="1" applyBorder="1" applyAlignment="1">
      <alignment horizontal="center" vertical="center" wrapText="1"/>
    </xf>
    <xf numFmtId="192" fontId="27" fillId="0" borderId="22" xfId="0" applyNumberFormat="1" applyFont="1" applyFill="1" applyBorder="1" applyAlignment="1">
      <alignment horizontal="center" vertical="center" wrapText="1"/>
    </xf>
    <xf numFmtId="0" fontId="24" fillId="0" borderId="21" xfId="0" applyFont="1" applyFill="1" applyBorder="1" applyAlignment="1">
      <alignment horizontal="left" vertical="center" wrapText="1"/>
    </xf>
    <xf numFmtId="0" fontId="30" fillId="0" borderId="21" xfId="0" applyFont="1" applyFill="1" applyBorder="1" applyAlignment="1">
      <alignment horizontal="center" vertical="center" wrapText="1"/>
    </xf>
    <xf numFmtId="192" fontId="24" fillId="0" borderId="22" xfId="0" applyNumberFormat="1" applyFont="1" applyFill="1" applyBorder="1" applyAlignment="1">
      <alignment horizontal="center" vertical="center" wrapText="1"/>
    </xf>
    <xf numFmtId="0" fontId="33" fillId="0" borderId="19" xfId="0" applyFont="1" applyFill="1" applyBorder="1" applyAlignment="1">
      <alignment vertical="center" wrapText="1"/>
    </xf>
    <xf numFmtId="192" fontId="33" fillId="0" borderId="20" xfId="0" applyNumberFormat="1" applyFont="1" applyFill="1" applyBorder="1" applyAlignment="1">
      <alignment horizontal="center" vertical="center" wrapText="1"/>
    </xf>
    <xf numFmtId="0" fontId="24" fillId="0" borderId="19" xfId="620" applyFont="1" applyFill="1" applyBorder="1" applyAlignment="1">
      <alignment horizontal="left" vertical="center" wrapText="1"/>
      <protection/>
    </xf>
    <xf numFmtId="0" fontId="37" fillId="0" borderId="19" xfId="0" applyFont="1" applyFill="1" applyBorder="1" applyAlignment="1">
      <alignment vertical="center" wrapText="1"/>
    </xf>
    <xf numFmtId="192" fontId="34" fillId="0" borderId="20" xfId="0" applyNumberFormat="1" applyFont="1" applyFill="1" applyBorder="1" applyAlignment="1">
      <alignment horizontal="center" vertical="center" wrapText="1"/>
    </xf>
    <xf numFmtId="0" fontId="24" fillId="0" borderId="19" xfId="0" applyFont="1" applyFill="1" applyBorder="1" applyAlignment="1">
      <alignment horizontal="left" vertical="center" wrapText="1"/>
    </xf>
    <xf numFmtId="0" fontId="34" fillId="0" borderId="19" xfId="0" applyFont="1" applyFill="1" applyBorder="1" applyAlignment="1">
      <alignment vertical="center" wrapText="1"/>
    </xf>
    <xf numFmtId="0" fontId="37" fillId="0" borderId="19" xfId="0" applyFont="1" applyFill="1" applyBorder="1" applyAlignment="1">
      <alignment vertical="top" wrapText="1"/>
    </xf>
    <xf numFmtId="0" fontId="36" fillId="0" borderId="19" xfId="0" applyFont="1" applyFill="1" applyBorder="1" applyAlignment="1">
      <alignment vertical="top" wrapText="1"/>
    </xf>
    <xf numFmtId="0" fontId="24" fillId="0" borderId="19" xfId="0" applyFont="1" applyFill="1" applyBorder="1" applyAlignment="1">
      <alignment vertical="top" wrapText="1"/>
    </xf>
    <xf numFmtId="0" fontId="27" fillId="0" borderId="19" xfId="620" applyFont="1" applyFill="1" applyBorder="1" applyAlignment="1">
      <alignment horizontal="left" vertical="center" wrapText="1"/>
      <protection/>
    </xf>
    <xf numFmtId="0" fontId="27" fillId="0" borderId="19" xfId="0" applyFont="1" applyFill="1" applyBorder="1" applyAlignment="1">
      <alignment horizontal="left" vertical="center" wrapText="1"/>
    </xf>
    <xf numFmtId="0" fontId="24" fillId="0" borderId="19" xfId="0" applyFont="1" applyFill="1" applyBorder="1" applyAlignment="1">
      <alignment vertical="center" wrapText="1"/>
    </xf>
    <xf numFmtId="0" fontId="24" fillId="0" borderId="13" xfId="0" applyFont="1" applyFill="1" applyBorder="1" applyAlignment="1">
      <alignment vertical="center" wrapText="1"/>
    </xf>
    <xf numFmtId="0" fontId="34" fillId="0" borderId="13" xfId="0" applyFont="1" applyFill="1" applyBorder="1" applyAlignment="1">
      <alignment vertical="center" wrapText="1"/>
    </xf>
    <xf numFmtId="192" fontId="34" fillId="0" borderId="23" xfId="0" applyNumberFormat="1" applyFont="1" applyFill="1" applyBorder="1" applyAlignment="1">
      <alignment horizontal="center" vertical="center" wrapText="1"/>
    </xf>
    <xf numFmtId="49" fontId="24" fillId="0" borderId="19" xfId="0" applyNumberFormat="1" applyFont="1" applyFill="1" applyBorder="1" applyAlignment="1">
      <alignment vertical="center" wrapText="1"/>
    </xf>
    <xf numFmtId="49" fontId="27" fillId="0" borderId="20" xfId="0" applyNumberFormat="1" applyFont="1" applyFill="1" applyBorder="1" applyAlignment="1">
      <alignment horizontal="center" vertical="center" wrapText="1"/>
    </xf>
    <xf numFmtId="49" fontId="24" fillId="0" borderId="20" xfId="0" applyNumberFormat="1" applyFont="1" applyFill="1" applyBorder="1" applyAlignment="1">
      <alignment horizontal="center" vertical="center" wrapText="1"/>
    </xf>
    <xf numFmtId="192" fontId="27" fillId="0" borderId="20" xfId="0" applyNumberFormat="1" applyFont="1" applyFill="1" applyBorder="1" applyAlignment="1">
      <alignment horizontal="center" vertical="center" wrapText="1"/>
    </xf>
    <xf numFmtId="49" fontId="24" fillId="0" borderId="21" xfId="0" applyNumberFormat="1" applyFont="1" applyFill="1" applyBorder="1" applyAlignment="1">
      <alignment vertical="center" wrapText="1"/>
    </xf>
    <xf numFmtId="49" fontId="27" fillId="0" borderId="22" xfId="0" applyNumberFormat="1" applyFont="1" applyFill="1" applyBorder="1" applyAlignment="1">
      <alignment horizontal="center" vertical="center" wrapText="1"/>
    </xf>
    <xf numFmtId="0" fontId="24" fillId="0" borderId="24" xfId="620" applyFont="1" applyFill="1" applyBorder="1" applyAlignment="1">
      <alignment horizontal="left" vertical="center" wrapText="1"/>
      <protection/>
    </xf>
    <xf numFmtId="0" fontId="34" fillId="0" borderId="24" xfId="0" applyFont="1" applyFill="1" applyBorder="1" applyAlignment="1">
      <alignment vertical="center" wrapText="1"/>
    </xf>
    <xf numFmtId="192" fontId="34" fillId="0" borderId="25" xfId="0" applyNumberFormat="1" applyFont="1" applyFill="1" applyBorder="1" applyAlignment="1">
      <alignment horizontal="center" vertical="center" wrapText="1"/>
    </xf>
    <xf numFmtId="0" fontId="19" fillId="0" borderId="19" xfId="0" applyNumberFormat="1" applyFont="1" applyFill="1" applyBorder="1" applyAlignment="1">
      <alignment horizontal="left" vertical="center" wrapText="1"/>
    </xf>
    <xf numFmtId="49" fontId="27" fillId="0" borderId="0" xfId="0" applyNumberFormat="1"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192" fontId="24" fillId="0" borderId="0" xfId="0" applyNumberFormat="1" applyFont="1" applyFill="1" applyBorder="1" applyAlignment="1">
      <alignment horizontal="right" vertical="center" wrapText="1"/>
    </xf>
    <xf numFmtId="49" fontId="24" fillId="0" borderId="0" xfId="0" applyNumberFormat="1" applyFont="1" applyFill="1" applyBorder="1" applyAlignment="1">
      <alignment vertical="center" wrapText="1"/>
    </xf>
    <xf numFmtId="0" fontId="27" fillId="0" borderId="0" xfId="0" applyFont="1" applyFill="1" applyBorder="1" applyAlignment="1">
      <alignment horizontal="center" vertical="center" wrapText="1"/>
    </xf>
    <xf numFmtId="192" fontId="27" fillId="0" borderId="0" xfId="0" applyNumberFormat="1" applyFont="1" applyFill="1" applyBorder="1" applyAlignment="1">
      <alignment horizontal="right" vertical="center" wrapText="1"/>
    </xf>
    <xf numFmtId="2" fontId="27" fillId="0" borderId="0"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6" xfId="0" applyFont="1" applyFill="1" applyBorder="1" applyAlignment="1">
      <alignment horizontal="center" vertical="center" wrapText="1"/>
    </xf>
    <xf numFmtId="192" fontId="24" fillId="0" borderId="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27" fillId="0" borderId="26" xfId="0" applyNumberFormat="1" applyFont="1" applyFill="1" applyBorder="1" applyAlignment="1">
      <alignment horizontal="center" vertical="center" wrapText="1"/>
    </xf>
    <xf numFmtId="49" fontId="24" fillId="0" borderId="26" xfId="0" applyNumberFormat="1" applyFont="1" applyFill="1" applyBorder="1" applyAlignment="1">
      <alignment horizontal="center" vertical="center" wrapText="1"/>
    </xf>
    <xf numFmtId="0" fontId="33" fillId="0" borderId="18" xfId="0" applyFont="1" applyFill="1" applyBorder="1" applyAlignment="1">
      <alignment horizontal="center" vertical="center" wrapText="1"/>
    </xf>
    <xf numFmtId="192" fontId="33" fillId="0" borderId="0" xfId="0" applyNumberFormat="1" applyFont="1" applyFill="1" applyBorder="1" applyAlignment="1">
      <alignment horizontal="right" vertical="center" wrapText="1"/>
    </xf>
    <xf numFmtId="3" fontId="33" fillId="0" borderId="0" xfId="0" applyNumberFormat="1" applyFont="1" applyFill="1" applyBorder="1" applyAlignment="1">
      <alignment vertical="center" wrapText="1"/>
    </xf>
    <xf numFmtId="0" fontId="34" fillId="0" borderId="0" xfId="0" applyFont="1" applyFill="1" applyBorder="1" applyAlignment="1">
      <alignment vertical="center" wrapText="1"/>
    </xf>
    <xf numFmtId="0" fontId="27" fillId="0" borderId="0" xfId="0" applyFont="1" applyFill="1" applyBorder="1" applyAlignment="1">
      <alignment horizontal="center" vertical="center" textRotation="90" wrapText="1"/>
    </xf>
    <xf numFmtId="0" fontId="34" fillId="0" borderId="0" xfId="0" applyFont="1" applyFill="1" applyAlignment="1">
      <alignment vertical="center" wrapText="1"/>
    </xf>
    <xf numFmtId="49" fontId="34" fillId="0" borderId="18" xfId="0" applyNumberFormat="1" applyFont="1" applyFill="1" applyBorder="1" applyAlignment="1">
      <alignment horizontal="center" vertical="center" wrapText="1"/>
    </xf>
    <xf numFmtId="192" fontId="34" fillId="0" borderId="0" xfId="0" applyNumberFormat="1" applyFont="1" applyFill="1" applyBorder="1" applyAlignment="1">
      <alignment horizontal="right" vertical="center" wrapText="1"/>
    </xf>
    <xf numFmtId="3" fontId="34" fillId="0" borderId="0" xfId="0" applyNumberFormat="1" applyFont="1" applyFill="1" applyBorder="1" applyAlignment="1">
      <alignment vertical="center" wrapText="1"/>
    </xf>
    <xf numFmtId="49" fontId="33" fillId="0" borderId="18" xfId="0" applyNumberFormat="1" applyFont="1" applyFill="1" applyBorder="1" applyAlignment="1">
      <alignment horizontal="center" vertical="center" wrapText="1"/>
    </xf>
    <xf numFmtId="0" fontId="27" fillId="0" borderId="0" xfId="0" applyNumberFormat="1" applyFont="1" applyFill="1" applyBorder="1" applyAlignment="1">
      <alignment horizontal="left" vertical="center" wrapText="1"/>
    </xf>
    <xf numFmtId="0" fontId="27" fillId="0" borderId="18" xfId="0" applyFont="1" applyFill="1" applyBorder="1" applyAlignment="1">
      <alignment horizontal="center" vertical="center" wrapText="1"/>
    </xf>
    <xf numFmtId="49" fontId="24" fillId="0" borderId="18" xfId="0" applyNumberFormat="1"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49" fontId="27" fillId="0" borderId="18" xfId="0" applyNumberFormat="1" applyFont="1" applyFill="1" applyBorder="1" applyAlignment="1">
      <alignment horizontal="center" vertical="center" wrapText="1"/>
    </xf>
    <xf numFmtId="49" fontId="34" fillId="0" borderId="27" xfId="0" applyNumberFormat="1" applyFont="1" applyFill="1" applyBorder="1" applyAlignment="1">
      <alignment horizontal="center" vertical="center" wrapText="1"/>
    </xf>
    <xf numFmtId="192" fontId="34" fillId="0" borderId="0" xfId="0" applyNumberFormat="1" applyFont="1" applyFill="1" applyBorder="1" applyAlignment="1">
      <alignment horizontal="right" vertical="center" wrapText="1"/>
    </xf>
    <xf numFmtId="192" fontId="40" fillId="0" borderId="0" xfId="0" applyNumberFormat="1" applyFont="1" applyFill="1" applyBorder="1" applyAlignment="1">
      <alignment horizontal="right" vertical="center" wrapText="1"/>
    </xf>
    <xf numFmtId="0" fontId="40" fillId="0" borderId="0" xfId="0" applyFont="1" applyFill="1" applyBorder="1" applyAlignment="1">
      <alignment vertical="center" wrapText="1"/>
    </xf>
    <xf numFmtId="0" fontId="40" fillId="0" borderId="0" xfId="0" applyFont="1" applyFill="1" applyAlignment="1">
      <alignment vertical="center" wrapText="1"/>
    </xf>
    <xf numFmtId="0" fontId="34" fillId="0" borderId="0" xfId="0" applyFont="1" applyFill="1" applyAlignment="1">
      <alignment horizontal="center" vertical="center" wrapText="1"/>
    </xf>
    <xf numFmtId="192" fontId="19" fillId="0" borderId="21" xfId="0" applyNumberFormat="1" applyFont="1" applyFill="1" applyBorder="1" applyAlignment="1">
      <alignment horizontal="center" vertical="center" wrapText="1"/>
    </xf>
    <xf numFmtId="0" fontId="19" fillId="0" borderId="19" xfId="0" applyFont="1" applyFill="1" applyBorder="1" applyAlignment="1">
      <alignment horizontal="left" wrapText="1"/>
    </xf>
    <xf numFmtId="0" fontId="19" fillId="0" borderId="19" xfId="0" applyFont="1" applyFill="1" applyBorder="1" applyAlignment="1">
      <alignment horizontal="center" vertical="center" wrapText="1"/>
    </xf>
    <xf numFmtId="49" fontId="19" fillId="0" borderId="19" xfId="0" applyNumberFormat="1"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21" xfId="0"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49" fontId="19" fillId="0" borderId="26" xfId="0" applyNumberFormat="1"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19" fillId="0" borderId="13" xfId="625" applyFont="1" applyFill="1" applyBorder="1" applyAlignment="1">
      <alignment horizontal="left" vertical="center" wrapText="1"/>
      <protection/>
    </xf>
    <xf numFmtId="0" fontId="19" fillId="0" borderId="21" xfId="625" applyFont="1" applyFill="1" applyBorder="1" applyAlignment="1">
      <alignment horizontal="left" vertical="center" wrapText="1"/>
      <protection/>
    </xf>
    <xf numFmtId="192" fontId="19" fillId="0" borderId="13" xfId="0" applyNumberFormat="1" applyFont="1" applyFill="1" applyBorder="1" applyAlignment="1">
      <alignment horizontal="center" vertical="center" wrapText="1"/>
    </xf>
    <xf numFmtId="182" fontId="19" fillId="0" borderId="13" xfId="679" applyNumberFormat="1" applyFont="1" applyFill="1" applyBorder="1" applyAlignment="1">
      <alignment horizontal="center" vertical="center" wrapText="1"/>
    </xf>
    <xf numFmtId="182" fontId="19" fillId="0" borderId="21" xfId="679" applyNumberFormat="1"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12"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13" xfId="0" applyFont="1" applyFill="1" applyBorder="1" applyAlignment="1">
      <alignment horizontal="left" vertical="center" wrapText="1"/>
    </xf>
    <xf numFmtId="0" fontId="19" fillId="0" borderId="21" xfId="0" applyFont="1" applyFill="1" applyBorder="1" applyAlignment="1">
      <alignment horizontal="left" vertical="center" wrapText="1"/>
    </xf>
    <xf numFmtId="49" fontId="25" fillId="0" borderId="0" xfId="0" applyNumberFormat="1" applyFont="1" applyFill="1" applyBorder="1" applyAlignment="1">
      <alignment horizontal="center" wrapText="1"/>
    </xf>
    <xf numFmtId="0" fontId="27" fillId="0" borderId="0" xfId="0" applyFont="1" applyFill="1" applyBorder="1" applyAlignment="1">
      <alignment horizontal="left" vertical="center" wrapText="1"/>
    </xf>
    <xf numFmtId="0" fontId="27" fillId="0" borderId="11" xfId="0" applyFont="1" applyFill="1" applyBorder="1" applyAlignment="1">
      <alignment horizontal="center" vertical="center" wrapText="1"/>
    </xf>
    <xf numFmtId="0" fontId="27" fillId="0" borderId="13" xfId="0" applyFont="1" applyFill="1" applyBorder="1" applyAlignment="1">
      <alignment horizontal="center" vertical="center" wrapText="1"/>
    </xf>
    <xf numFmtId="180" fontId="27" fillId="0" borderId="15" xfId="0" applyNumberFormat="1" applyFont="1" applyFill="1" applyBorder="1" applyAlignment="1">
      <alignment horizontal="center" vertical="center" textRotation="90" wrapText="1"/>
    </xf>
    <xf numFmtId="180" fontId="27" fillId="0" borderId="28" xfId="0" applyNumberFormat="1" applyFont="1" applyFill="1" applyBorder="1" applyAlignment="1">
      <alignment horizontal="center" vertical="center" textRotation="90" wrapText="1"/>
    </xf>
    <xf numFmtId="0" fontId="27" fillId="0" borderId="17" xfId="0" applyFont="1" applyFill="1" applyBorder="1" applyAlignment="1">
      <alignment horizontal="center" vertical="center" wrapText="1"/>
    </xf>
    <xf numFmtId="0" fontId="27" fillId="0" borderId="23" xfId="0" applyFont="1" applyFill="1" applyBorder="1" applyAlignment="1">
      <alignment horizontal="center" vertical="center" wrapText="1"/>
    </xf>
    <xf numFmtId="49" fontId="23" fillId="0" borderId="0" xfId="0" applyNumberFormat="1" applyFont="1" applyFill="1" applyBorder="1" applyAlignment="1">
      <alignment horizontal="right" wrapText="1"/>
    </xf>
    <xf numFmtId="0" fontId="23" fillId="0" borderId="0" xfId="0" applyFont="1" applyFill="1" applyAlignment="1">
      <alignment horizontal="left" wrapText="1"/>
    </xf>
    <xf numFmtId="0" fontId="23" fillId="0" borderId="0" xfId="0" applyFont="1" applyFill="1" applyBorder="1" applyAlignment="1">
      <alignment horizontal="left" wrapText="1"/>
    </xf>
    <xf numFmtId="0" fontId="23" fillId="0" borderId="0" xfId="0" applyFont="1" applyFill="1" applyBorder="1" applyAlignment="1">
      <alignment horizontal="left" vertical="center" wrapText="1"/>
    </xf>
    <xf numFmtId="0" fontId="22" fillId="0" borderId="0" xfId="0" applyFont="1" applyFill="1" applyAlignment="1">
      <alignment horizontal="left" vertical="center" wrapText="1"/>
    </xf>
    <xf numFmtId="0" fontId="23" fillId="0" borderId="0" xfId="0" applyFont="1" applyFill="1" applyAlignment="1">
      <alignment horizontal="left" vertical="center" wrapText="1"/>
    </xf>
    <xf numFmtId="49" fontId="27" fillId="0" borderId="0" xfId="0" applyNumberFormat="1" applyFont="1" applyFill="1" applyBorder="1" applyAlignment="1">
      <alignment horizontal="center" wrapText="1"/>
    </xf>
    <xf numFmtId="0" fontId="24" fillId="0" borderId="1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40" fillId="0" borderId="0" xfId="0" applyFont="1" applyFill="1" applyAlignment="1">
      <alignment horizontal="right" vertical="center" wrapText="1" indent="4"/>
    </xf>
    <xf numFmtId="0" fontId="41" fillId="0" borderId="0" xfId="0" applyFont="1" applyFill="1" applyAlignment="1">
      <alignment horizontal="left" vertical="center" wrapText="1"/>
    </xf>
  </cellXfs>
  <cellStyles count="744">
    <cellStyle name="Normal" xfId="0"/>
    <cellStyle name="20% - Акцент1" xfId="15"/>
    <cellStyle name="20% - Акцент1 2" xfId="16"/>
    <cellStyle name="20% - Акцент1 2 2" xfId="17"/>
    <cellStyle name="20% - Акцент1 2 3" xfId="18"/>
    <cellStyle name="20% - Акцент1 2 4" xfId="19"/>
    <cellStyle name="20% - Акцент1 3" xfId="20"/>
    <cellStyle name="20% - Акцент1 3 2" xfId="21"/>
    <cellStyle name="20% - Акцент1 3 3" xfId="22"/>
    <cellStyle name="20% - Акцент1 3 4" xfId="23"/>
    <cellStyle name="20% - Акцент1 4" xfId="24"/>
    <cellStyle name="20% - Акцент1 4 2" xfId="25"/>
    <cellStyle name="20% - Акцент1 4 3" xfId="26"/>
    <cellStyle name="20% - Акцент1 4 4" xfId="27"/>
    <cellStyle name="20% - Акцент1 5" xfId="28"/>
    <cellStyle name="20% - Акцент1 5 2" xfId="29"/>
    <cellStyle name="20% - Акцент1 5 3" xfId="30"/>
    <cellStyle name="20% - Акцент1 5 4" xfId="31"/>
    <cellStyle name="20% - Акцент2" xfId="32"/>
    <cellStyle name="20% - Акцент2 2" xfId="33"/>
    <cellStyle name="20% - Акцент2 2 2" xfId="34"/>
    <cellStyle name="20% - Акцент2 2 3" xfId="35"/>
    <cellStyle name="20% - Акцент2 2 4" xfId="36"/>
    <cellStyle name="20% - Акцент2 3" xfId="37"/>
    <cellStyle name="20% - Акцент2 3 2" xfId="38"/>
    <cellStyle name="20% - Акцент2 3 3" xfId="39"/>
    <cellStyle name="20% - Акцент2 3 4" xfId="40"/>
    <cellStyle name="20% - Акцент2 4" xfId="41"/>
    <cellStyle name="20% - Акцент2 4 2" xfId="42"/>
    <cellStyle name="20% - Акцент2 4 3" xfId="43"/>
    <cellStyle name="20% - Акцент2 4 4" xfId="44"/>
    <cellStyle name="20% - Акцент2 5" xfId="45"/>
    <cellStyle name="20% - Акцент2 5 2" xfId="46"/>
    <cellStyle name="20% - Акцент2 5 3" xfId="47"/>
    <cellStyle name="20% - Акцент2 5 4" xfId="48"/>
    <cellStyle name="20% - Акцент3" xfId="49"/>
    <cellStyle name="20% - Акцент3 2" xfId="50"/>
    <cellStyle name="20% - Акцент3 2 2" xfId="51"/>
    <cellStyle name="20% - Акцент3 2 3" xfId="52"/>
    <cellStyle name="20% - Акцент3 2 4" xfId="53"/>
    <cellStyle name="20% - Акцент3 3" xfId="54"/>
    <cellStyle name="20% - Акцент3 3 2" xfId="55"/>
    <cellStyle name="20% - Акцент3 3 3" xfId="56"/>
    <cellStyle name="20% - Акцент3 3 4" xfId="57"/>
    <cellStyle name="20% - Акцент3 4" xfId="58"/>
    <cellStyle name="20% - Акцент3 4 2" xfId="59"/>
    <cellStyle name="20% - Акцент3 4 3" xfId="60"/>
    <cellStyle name="20% - Акцент3 4 4" xfId="61"/>
    <cellStyle name="20% - Акцент3 5" xfId="62"/>
    <cellStyle name="20% - Акцент3 5 2" xfId="63"/>
    <cellStyle name="20% - Акцент3 5 3" xfId="64"/>
    <cellStyle name="20% - Акцент3 5 4" xfId="65"/>
    <cellStyle name="20% - Акцент4" xfId="66"/>
    <cellStyle name="20% - Акцент4 2" xfId="67"/>
    <cellStyle name="20% - Акцент4 2 2" xfId="68"/>
    <cellStyle name="20% - Акцент4 2 3" xfId="69"/>
    <cellStyle name="20% - Акцент4 2 4" xfId="70"/>
    <cellStyle name="20% - Акцент4 3" xfId="71"/>
    <cellStyle name="20% - Акцент4 3 2" xfId="72"/>
    <cellStyle name="20% - Акцент4 3 3" xfId="73"/>
    <cellStyle name="20% - Акцент4 3 4" xfId="74"/>
    <cellStyle name="20% - Акцент4 4" xfId="75"/>
    <cellStyle name="20% - Акцент4 4 2" xfId="76"/>
    <cellStyle name="20% - Акцент4 4 3" xfId="77"/>
    <cellStyle name="20% - Акцент4 4 4" xfId="78"/>
    <cellStyle name="20% - Акцент4 5" xfId="79"/>
    <cellStyle name="20% - Акцент4 5 2" xfId="80"/>
    <cellStyle name="20% - Акцент4 5 3" xfId="81"/>
    <cellStyle name="20% - Акцент4 5 4" xfId="82"/>
    <cellStyle name="20% - Акцент5" xfId="83"/>
    <cellStyle name="20% - Акцент5 2" xfId="84"/>
    <cellStyle name="20% - Акцент5 2 2" xfId="85"/>
    <cellStyle name="20% - Акцент5 2 3" xfId="86"/>
    <cellStyle name="20% - Акцент5 2 4" xfId="87"/>
    <cellStyle name="20% - Акцент5 3" xfId="88"/>
    <cellStyle name="20% - Акцент5 3 2" xfId="89"/>
    <cellStyle name="20% - Акцент5 3 3" xfId="90"/>
    <cellStyle name="20% - Акцент5 3 4" xfId="91"/>
    <cellStyle name="20% - Акцент5 4" xfId="92"/>
    <cellStyle name="20% - Акцент5 4 2" xfId="93"/>
    <cellStyle name="20% - Акцент5 4 3" xfId="94"/>
    <cellStyle name="20% - Акцент5 4 4" xfId="95"/>
    <cellStyle name="20% - Акцент5 5" xfId="96"/>
    <cellStyle name="20% - Акцент5 5 2" xfId="97"/>
    <cellStyle name="20% - Акцент5 5 3" xfId="98"/>
    <cellStyle name="20% - Акцент5 5 4" xfId="99"/>
    <cellStyle name="20% - Акцент6" xfId="100"/>
    <cellStyle name="20% - Акцент6 2" xfId="101"/>
    <cellStyle name="20% - Акцент6 2 2" xfId="102"/>
    <cellStyle name="20% - Акцент6 2 3" xfId="103"/>
    <cellStyle name="20% - Акцент6 2 4" xfId="104"/>
    <cellStyle name="20% - Акцент6 3" xfId="105"/>
    <cellStyle name="20% - Акцент6 3 2" xfId="106"/>
    <cellStyle name="20% - Акцент6 3 3" xfId="107"/>
    <cellStyle name="20% - Акцент6 3 4" xfId="108"/>
    <cellStyle name="20% - Акцент6 4" xfId="109"/>
    <cellStyle name="20% - Акцент6 4 2" xfId="110"/>
    <cellStyle name="20% - Акцент6 4 3" xfId="111"/>
    <cellStyle name="20% - Акцент6 4 4" xfId="112"/>
    <cellStyle name="20% - Акцент6 5" xfId="113"/>
    <cellStyle name="20% - Акцент6 5 2" xfId="114"/>
    <cellStyle name="20% - Акцент6 5 3" xfId="115"/>
    <cellStyle name="20% - Акцент6 5 4" xfId="116"/>
    <cellStyle name="40% - Акцент1" xfId="117"/>
    <cellStyle name="40% - Акцент1 2" xfId="118"/>
    <cellStyle name="40% - Акцент1 2 2" xfId="119"/>
    <cellStyle name="40% - Акцент1 2 3" xfId="120"/>
    <cellStyle name="40% - Акцент1 2 4" xfId="121"/>
    <cellStyle name="40% - Акцент1 3" xfId="122"/>
    <cellStyle name="40% - Акцент1 3 2" xfId="123"/>
    <cellStyle name="40% - Акцент1 3 3" xfId="124"/>
    <cellStyle name="40% - Акцент1 3 4" xfId="125"/>
    <cellStyle name="40% - Акцент1 4" xfId="126"/>
    <cellStyle name="40% - Акцент1 4 2" xfId="127"/>
    <cellStyle name="40% - Акцент1 4 3" xfId="128"/>
    <cellStyle name="40% - Акцент1 4 4" xfId="129"/>
    <cellStyle name="40% - Акцент1 5" xfId="130"/>
    <cellStyle name="40% - Акцент1 5 2" xfId="131"/>
    <cellStyle name="40% - Акцент1 5 3" xfId="132"/>
    <cellStyle name="40% - Акцент1 5 4" xfId="133"/>
    <cellStyle name="40% - Акцент2" xfId="134"/>
    <cellStyle name="40% - Акцент2 2" xfId="135"/>
    <cellStyle name="40% - Акцент2 2 2" xfId="136"/>
    <cellStyle name="40% - Акцент2 2 3" xfId="137"/>
    <cellStyle name="40% - Акцент2 2 4" xfId="138"/>
    <cellStyle name="40% - Акцент2 3" xfId="139"/>
    <cellStyle name="40% - Акцент2 3 2" xfId="140"/>
    <cellStyle name="40% - Акцент2 3 3" xfId="141"/>
    <cellStyle name="40% - Акцент2 3 4" xfId="142"/>
    <cellStyle name="40% - Акцент2 4" xfId="143"/>
    <cellStyle name="40% - Акцент2 4 2" xfId="144"/>
    <cellStyle name="40% - Акцент2 4 3" xfId="145"/>
    <cellStyle name="40% - Акцент2 4 4" xfId="146"/>
    <cellStyle name="40% - Акцент2 5" xfId="147"/>
    <cellStyle name="40% - Акцент2 5 2" xfId="148"/>
    <cellStyle name="40% - Акцент2 5 3" xfId="149"/>
    <cellStyle name="40% - Акцент2 5 4" xfId="150"/>
    <cellStyle name="40% - Акцент3" xfId="151"/>
    <cellStyle name="40% - Акцент3 2" xfId="152"/>
    <cellStyle name="40% - Акцент3 2 2" xfId="153"/>
    <cellStyle name="40% - Акцент3 2 3" xfId="154"/>
    <cellStyle name="40% - Акцент3 2 4" xfId="155"/>
    <cellStyle name="40% - Акцент3 3" xfId="156"/>
    <cellStyle name="40% - Акцент3 3 2" xfId="157"/>
    <cellStyle name="40% - Акцент3 3 3" xfId="158"/>
    <cellStyle name="40% - Акцент3 3 4" xfId="159"/>
    <cellStyle name="40% - Акцент3 4" xfId="160"/>
    <cellStyle name="40% - Акцент3 4 2" xfId="161"/>
    <cellStyle name="40% - Акцент3 4 3" xfId="162"/>
    <cellStyle name="40% - Акцент3 4 4" xfId="163"/>
    <cellStyle name="40% - Акцент3 5" xfId="164"/>
    <cellStyle name="40% - Акцент3 5 2" xfId="165"/>
    <cellStyle name="40% - Акцент3 5 3" xfId="166"/>
    <cellStyle name="40% - Акцент3 5 4" xfId="167"/>
    <cellStyle name="40% - Акцент4" xfId="168"/>
    <cellStyle name="40% - Акцент4 2" xfId="169"/>
    <cellStyle name="40% - Акцент4 2 2" xfId="170"/>
    <cellStyle name="40% - Акцент4 2 3" xfId="171"/>
    <cellStyle name="40% - Акцент4 2 4" xfId="172"/>
    <cellStyle name="40% - Акцент4 3" xfId="173"/>
    <cellStyle name="40% - Акцент4 3 2" xfId="174"/>
    <cellStyle name="40% - Акцент4 3 3" xfId="175"/>
    <cellStyle name="40% - Акцент4 3 4" xfId="176"/>
    <cellStyle name="40% - Акцент4 4" xfId="177"/>
    <cellStyle name="40% - Акцент4 4 2" xfId="178"/>
    <cellStyle name="40% - Акцент4 4 3" xfId="179"/>
    <cellStyle name="40% - Акцент4 4 4" xfId="180"/>
    <cellStyle name="40% - Акцент4 5" xfId="181"/>
    <cellStyle name="40% - Акцент4 5 2" xfId="182"/>
    <cellStyle name="40% - Акцент4 5 3" xfId="183"/>
    <cellStyle name="40% - Акцент4 5 4" xfId="184"/>
    <cellStyle name="40% - Акцент5" xfId="185"/>
    <cellStyle name="40% - Акцент5 2" xfId="186"/>
    <cellStyle name="40% - Акцент5 2 2" xfId="187"/>
    <cellStyle name="40% - Акцент5 2 3" xfId="188"/>
    <cellStyle name="40% - Акцент5 2 4" xfId="189"/>
    <cellStyle name="40% - Акцент5 3" xfId="190"/>
    <cellStyle name="40% - Акцент5 3 2" xfId="191"/>
    <cellStyle name="40% - Акцент5 3 3" xfId="192"/>
    <cellStyle name="40% - Акцент5 3 4" xfId="193"/>
    <cellStyle name="40% - Акцент5 4" xfId="194"/>
    <cellStyle name="40% - Акцент5 4 2" xfId="195"/>
    <cellStyle name="40% - Акцент5 4 3" xfId="196"/>
    <cellStyle name="40% - Акцент5 4 4" xfId="197"/>
    <cellStyle name="40% - Акцент5 5" xfId="198"/>
    <cellStyle name="40% - Акцент5 5 2" xfId="199"/>
    <cellStyle name="40% - Акцент5 5 3" xfId="200"/>
    <cellStyle name="40% - Акцент5 5 4" xfId="201"/>
    <cellStyle name="40% - Акцент6" xfId="202"/>
    <cellStyle name="40% - Акцент6 2" xfId="203"/>
    <cellStyle name="40% - Акцент6 2 2" xfId="204"/>
    <cellStyle name="40% - Акцент6 2 3" xfId="205"/>
    <cellStyle name="40% - Акцент6 2 4" xfId="206"/>
    <cellStyle name="40% - Акцент6 3" xfId="207"/>
    <cellStyle name="40% - Акцент6 3 2" xfId="208"/>
    <cellStyle name="40% - Акцент6 3 3" xfId="209"/>
    <cellStyle name="40% - Акцент6 3 4" xfId="210"/>
    <cellStyle name="40% - Акцент6 4" xfId="211"/>
    <cellStyle name="40% - Акцент6 4 2" xfId="212"/>
    <cellStyle name="40% - Акцент6 4 3" xfId="213"/>
    <cellStyle name="40% - Акцент6 4 4" xfId="214"/>
    <cellStyle name="40% - Акцент6 5" xfId="215"/>
    <cellStyle name="40% - Акцент6 5 2" xfId="216"/>
    <cellStyle name="40% - Акцент6 5 3" xfId="217"/>
    <cellStyle name="40% - Акцент6 5 4" xfId="218"/>
    <cellStyle name="60% - Акцент1" xfId="219"/>
    <cellStyle name="60% - Акцент1 2" xfId="220"/>
    <cellStyle name="60% - Акцент1 2 2" xfId="221"/>
    <cellStyle name="60% - Акцент1 2 3" xfId="222"/>
    <cellStyle name="60% - Акцент1 2 4" xfId="223"/>
    <cellStyle name="60% - Акцент1 3" xfId="224"/>
    <cellStyle name="60% - Акцент1 3 2" xfId="225"/>
    <cellStyle name="60% - Акцент1 3 3" xfId="226"/>
    <cellStyle name="60% - Акцент1 3 4" xfId="227"/>
    <cellStyle name="60% - Акцент1 4" xfId="228"/>
    <cellStyle name="60% - Акцент1 4 2" xfId="229"/>
    <cellStyle name="60% - Акцент1 4 3" xfId="230"/>
    <cellStyle name="60% - Акцент1 4 4" xfId="231"/>
    <cellStyle name="60% - Акцент1 5" xfId="232"/>
    <cellStyle name="60% - Акцент1 5 2" xfId="233"/>
    <cellStyle name="60% - Акцент1 5 3" xfId="234"/>
    <cellStyle name="60% - Акцент1 5 4" xfId="235"/>
    <cellStyle name="60% - Акцент2" xfId="236"/>
    <cellStyle name="60% - Акцент2 2" xfId="237"/>
    <cellStyle name="60% - Акцент2 2 2" xfId="238"/>
    <cellStyle name="60% - Акцент2 2 3" xfId="239"/>
    <cellStyle name="60% - Акцент2 2 4" xfId="240"/>
    <cellStyle name="60% - Акцент2 3" xfId="241"/>
    <cellStyle name="60% - Акцент2 3 2" xfId="242"/>
    <cellStyle name="60% - Акцент2 3 3" xfId="243"/>
    <cellStyle name="60% - Акцент2 3 4" xfId="244"/>
    <cellStyle name="60% - Акцент2 4" xfId="245"/>
    <cellStyle name="60% - Акцент2 4 2" xfId="246"/>
    <cellStyle name="60% - Акцент2 4 3" xfId="247"/>
    <cellStyle name="60% - Акцент2 4 4" xfId="248"/>
    <cellStyle name="60% - Акцент2 5" xfId="249"/>
    <cellStyle name="60% - Акцент2 5 2" xfId="250"/>
    <cellStyle name="60% - Акцент2 5 3" xfId="251"/>
    <cellStyle name="60% - Акцент2 5 4" xfId="252"/>
    <cellStyle name="60% - Акцент3" xfId="253"/>
    <cellStyle name="60% - Акцент3 2" xfId="254"/>
    <cellStyle name="60% - Акцент3 2 2" xfId="255"/>
    <cellStyle name="60% - Акцент3 2 3" xfId="256"/>
    <cellStyle name="60% - Акцент3 2 4" xfId="257"/>
    <cellStyle name="60% - Акцент3 3" xfId="258"/>
    <cellStyle name="60% - Акцент3 3 2" xfId="259"/>
    <cellStyle name="60% - Акцент3 3 3" xfId="260"/>
    <cellStyle name="60% - Акцент3 3 4" xfId="261"/>
    <cellStyle name="60% - Акцент3 4" xfId="262"/>
    <cellStyle name="60% - Акцент3 4 2" xfId="263"/>
    <cellStyle name="60% - Акцент3 4 3" xfId="264"/>
    <cellStyle name="60% - Акцент3 4 4" xfId="265"/>
    <cellStyle name="60% - Акцент3 5" xfId="266"/>
    <cellStyle name="60% - Акцент3 5 2" xfId="267"/>
    <cellStyle name="60% - Акцент3 5 3" xfId="268"/>
    <cellStyle name="60% - Акцент3 5 4" xfId="269"/>
    <cellStyle name="60% - Акцент4" xfId="270"/>
    <cellStyle name="60% - Акцент4 2" xfId="271"/>
    <cellStyle name="60% - Акцент4 2 2" xfId="272"/>
    <cellStyle name="60% - Акцент4 2 3" xfId="273"/>
    <cellStyle name="60% - Акцент4 2 4" xfId="274"/>
    <cellStyle name="60% - Акцент4 3" xfId="275"/>
    <cellStyle name="60% - Акцент4 3 2" xfId="276"/>
    <cellStyle name="60% - Акцент4 3 3" xfId="277"/>
    <cellStyle name="60% - Акцент4 3 4" xfId="278"/>
    <cellStyle name="60% - Акцент4 4" xfId="279"/>
    <cellStyle name="60% - Акцент4 4 2" xfId="280"/>
    <cellStyle name="60% - Акцент4 4 3" xfId="281"/>
    <cellStyle name="60% - Акцент4 4 4" xfId="282"/>
    <cellStyle name="60% - Акцент4 5" xfId="283"/>
    <cellStyle name="60% - Акцент4 5 2" xfId="284"/>
    <cellStyle name="60% - Акцент4 5 3" xfId="285"/>
    <cellStyle name="60% - Акцент4 5 4" xfId="286"/>
    <cellStyle name="60% - Акцент5" xfId="287"/>
    <cellStyle name="60% - Акцент5 2" xfId="288"/>
    <cellStyle name="60% - Акцент5 2 2" xfId="289"/>
    <cellStyle name="60% - Акцент5 2 3" xfId="290"/>
    <cellStyle name="60% - Акцент5 2 4" xfId="291"/>
    <cellStyle name="60% - Акцент5 3" xfId="292"/>
    <cellStyle name="60% - Акцент5 3 2" xfId="293"/>
    <cellStyle name="60% - Акцент5 3 3" xfId="294"/>
    <cellStyle name="60% - Акцент5 3 4" xfId="295"/>
    <cellStyle name="60% - Акцент5 4" xfId="296"/>
    <cellStyle name="60% - Акцент5 4 2" xfId="297"/>
    <cellStyle name="60% - Акцент5 4 3" xfId="298"/>
    <cellStyle name="60% - Акцент5 4 4" xfId="299"/>
    <cellStyle name="60% - Акцент5 5" xfId="300"/>
    <cellStyle name="60% - Акцент5 5 2" xfId="301"/>
    <cellStyle name="60% - Акцент5 5 3" xfId="302"/>
    <cellStyle name="60% - Акцент5 5 4" xfId="303"/>
    <cellStyle name="60% - Акцент6" xfId="304"/>
    <cellStyle name="60% - Акцент6 2" xfId="305"/>
    <cellStyle name="60% - Акцент6 2 2" xfId="306"/>
    <cellStyle name="60% - Акцент6 2 3" xfId="307"/>
    <cellStyle name="60% - Акцент6 2 4" xfId="308"/>
    <cellStyle name="60% - Акцент6 3" xfId="309"/>
    <cellStyle name="60% - Акцент6 3 2" xfId="310"/>
    <cellStyle name="60% - Акцент6 3 3" xfId="311"/>
    <cellStyle name="60% - Акцент6 3 4" xfId="312"/>
    <cellStyle name="60% - Акцент6 4" xfId="313"/>
    <cellStyle name="60% - Акцент6 4 2" xfId="314"/>
    <cellStyle name="60% - Акцент6 4 3" xfId="315"/>
    <cellStyle name="60% - Акцент6 4 4" xfId="316"/>
    <cellStyle name="60% - Акцент6 5" xfId="317"/>
    <cellStyle name="60% - Акцент6 5 2" xfId="318"/>
    <cellStyle name="60% - Акцент6 5 3" xfId="319"/>
    <cellStyle name="60% - Акцент6 5 4" xfId="320"/>
    <cellStyle name="Акцент1" xfId="321"/>
    <cellStyle name="Акцент1 2" xfId="322"/>
    <cellStyle name="Акцент1 2 2" xfId="323"/>
    <cellStyle name="Акцент1 2 3" xfId="324"/>
    <cellStyle name="Акцент1 2 4" xfId="325"/>
    <cellStyle name="Акцент1 3" xfId="326"/>
    <cellStyle name="Акцент1 3 2" xfId="327"/>
    <cellStyle name="Акцент1 3 3" xfId="328"/>
    <cellStyle name="Акцент1 3 4" xfId="329"/>
    <cellStyle name="Акцент1 4" xfId="330"/>
    <cellStyle name="Акцент1 4 2" xfId="331"/>
    <cellStyle name="Акцент1 4 3" xfId="332"/>
    <cellStyle name="Акцент1 4 4" xfId="333"/>
    <cellStyle name="Акцент1 5" xfId="334"/>
    <cellStyle name="Акцент1 5 2" xfId="335"/>
    <cellStyle name="Акцент1 5 3" xfId="336"/>
    <cellStyle name="Акцент1 5 4" xfId="337"/>
    <cellStyle name="Акцент2" xfId="338"/>
    <cellStyle name="Акцент2 2" xfId="339"/>
    <cellStyle name="Акцент2 2 2" xfId="340"/>
    <cellStyle name="Акцент2 2 3" xfId="341"/>
    <cellStyle name="Акцент2 2 4" xfId="342"/>
    <cellStyle name="Акцент2 3" xfId="343"/>
    <cellStyle name="Акцент2 3 2" xfId="344"/>
    <cellStyle name="Акцент2 3 3" xfId="345"/>
    <cellStyle name="Акцент2 3 4" xfId="346"/>
    <cellStyle name="Акцент2 4" xfId="347"/>
    <cellStyle name="Акцент2 4 2" xfId="348"/>
    <cellStyle name="Акцент2 4 3" xfId="349"/>
    <cellStyle name="Акцент2 4 4" xfId="350"/>
    <cellStyle name="Акцент2 5" xfId="351"/>
    <cellStyle name="Акцент2 5 2" xfId="352"/>
    <cellStyle name="Акцент2 5 3" xfId="353"/>
    <cellStyle name="Акцент2 5 4" xfId="354"/>
    <cellStyle name="Акцент3" xfId="355"/>
    <cellStyle name="Акцент3 2" xfId="356"/>
    <cellStyle name="Акцент3 2 2" xfId="357"/>
    <cellStyle name="Акцент3 2 3" xfId="358"/>
    <cellStyle name="Акцент3 2 4" xfId="359"/>
    <cellStyle name="Акцент3 3" xfId="360"/>
    <cellStyle name="Акцент3 3 2" xfId="361"/>
    <cellStyle name="Акцент3 3 3" xfId="362"/>
    <cellStyle name="Акцент3 3 4" xfId="363"/>
    <cellStyle name="Акцент3 4" xfId="364"/>
    <cellStyle name="Акцент3 4 2" xfId="365"/>
    <cellStyle name="Акцент3 4 3" xfId="366"/>
    <cellStyle name="Акцент3 4 4" xfId="367"/>
    <cellStyle name="Акцент3 5" xfId="368"/>
    <cellStyle name="Акцент3 5 2" xfId="369"/>
    <cellStyle name="Акцент3 5 3" xfId="370"/>
    <cellStyle name="Акцент3 5 4" xfId="371"/>
    <cellStyle name="Акцент4" xfId="372"/>
    <cellStyle name="Акцент4 2" xfId="373"/>
    <cellStyle name="Акцент4 2 2" xfId="374"/>
    <cellStyle name="Акцент4 2 3" xfId="375"/>
    <cellStyle name="Акцент4 2 4" xfId="376"/>
    <cellStyle name="Акцент4 3" xfId="377"/>
    <cellStyle name="Акцент4 3 2" xfId="378"/>
    <cellStyle name="Акцент4 3 3" xfId="379"/>
    <cellStyle name="Акцент4 3 4" xfId="380"/>
    <cellStyle name="Акцент4 4" xfId="381"/>
    <cellStyle name="Акцент4 4 2" xfId="382"/>
    <cellStyle name="Акцент4 4 3" xfId="383"/>
    <cellStyle name="Акцент4 4 4" xfId="384"/>
    <cellStyle name="Акцент4 5" xfId="385"/>
    <cellStyle name="Акцент4 5 2" xfId="386"/>
    <cellStyle name="Акцент4 5 3" xfId="387"/>
    <cellStyle name="Акцент4 5 4" xfId="388"/>
    <cellStyle name="Акцент5" xfId="389"/>
    <cellStyle name="Акцент5 2" xfId="390"/>
    <cellStyle name="Акцент5 2 2" xfId="391"/>
    <cellStyle name="Акцент5 2 3" xfId="392"/>
    <cellStyle name="Акцент5 2 4" xfId="393"/>
    <cellStyle name="Акцент5 3" xfId="394"/>
    <cellStyle name="Акцент5 3 2" xfId="395"/>
    <cellStyle name="Акцент5 3 3" xfId="396"/>
    <cellStyle name="Акцент5 3 4" xfId="397"/>
    <cellStyle name="Акцент5 4" xfId="398"/>
    <cellStyle name="Акцент5 4 2" xfId="399"/>
    <cellStyle name="Акцент5 4 3" xfId="400"/>
    <cellStyle name="Акцент5 4 4" xfId="401"/>
    <cellStyle name="Акцент5 5" xfId="402"/>
    <cellStyle name="Акцент5 5 2" xfId="403"/>
    <cellStyle name="Акцент5 5 3" xfId="404"/>
    <cellStyle name="Акцент5 5 4" xfId="405"/>
    <cellStyle name="Акцент6" xfId="406"/>
    <cellStyle name="Акцент6 2" xfId="407"/>
    <cellStyle name="Акцент6 2 2" xfId="408"/>
    <cellStyle name="Акцент6 2 3" xfId="409"/>
    <cellStyle name="Акцент6 2 4" xfId="410"/>
    <cellStyle name="Акцент6 3" xfId="411"/>
    <cellStyle name="Акцент6 3 2" xfId="412"/>
    <cellStyle name="Акцент6 3 3" xfId="413"/>
    <cellStyle name="Акцент6 3 4" xfId="414"/>
    <cellStyle name="Акцент6 4" xfId="415"/>
    <cellStyle name="Акцент6 4 2" xfId="416"/>
    <cellStyle name="Акцент6 4 3" xfId="417"/>
    <cellStyle name="Акцент6 4 4" xfId="418"/>
    <cellStyle name="Акцент6 5" xfId="419"/>
    <cellStyle name="Акцент6 5 2" xfId="420"/>
    <cellStyle name="Акцент6 5 3" xfId="421"/>
    <cellStyle name="Акцент6 5 4" xfId="422"/>
    <cellStyle name="Ввод " xfId="423"/>
    <cellStyle name="Ввод  2" xfId="424"/>
    <cellStyle name="Ввод  2 2" xfId="425"/>
    <cellStyle name="Ввод  2 3" xfId="426"/>
    <cellStyle name="Ввод  2 4" xfId="427"/>
    <cellStyle name="Ввод  3" xfId="428"/>
    <cellStyle name="Ввод  3 2" xfId="429"/>
    <cellStyle name="Ввод  3 3" xfId="430"/>
    <cellStyle name="Ввод  3 4" xfId="431"/>
    <cellStyle name="Ввод  4" xfId="432"/>
    <cellStyle name="Ввод  4 2" xfId="433"/>
    <cellStyle name="Ввод  4 3" xfId="434"/>
    <cellStyle name="Ввод  4 4" xfId="435"/>
    <cellStyle name="Ввод  5" xfId="436"/>
    <cellStyle name="Ввод  5 2" xfId="437"/>
    <cellStyle name="Ввод  5 3" xfId="438"/>
    <cellStyle name="Ввод  5 4" xfId="439"/>
    <cellStyle name="Вывод" xfId="440"/>
    <cellStyle name="Вывод 2" xfId="441"/>
    <cellStyle name="Вывод 2 2" xfId="442"/>
    <cellStyle name="Вывод 2 3" xfId="443"/>
    <cellStyle name="Вывод 2 4" xfId="444"/>
    <cellStyle name="Вывод 3" xfId="445"/>
    <cellStyle name="Вывод 3 2" xfId="446"/>
    <cellStyle name="Вывод 3 3" xfId="447"/>
    <cellStyle name="Вывод 3 4" xfId="448"/>
    <cellStyle name="Вывод 4" xfId="449"/>
    <cellStyle name="Вывод 4 2" xfId="450"/>
    <cellStyle name="Вывод 4 3" xfId="451"/>
    <cellStyle name="Вывод 4 4" xfId="452"/>
    <cellStyle name="Вывод 5" xfId="453"/>
    <cellStyle name="Вывод 5 2" xfId="454"/>
    <cellStyle name="Вывод 5 3" xfId="455"/>
    <cellStyle name="Вывод 5 4" xfId="456"/>
    <cellStyle name="Вычисление" xfId="457"/>
    <cellStyle name="Вычисление 2" xfId="458"/>
    <cellStyle name="Вычисление 2 2" xfId="459"/>
    <cellStyle name="Вычисление 2 3" xfId="460"/>
    <cellStyle name="Вычисление 2 4" xfId="461"/>
    <cellStyle name="Вычисление 3" xfId="462"/>
    <cellStyle name="Вычисление 3 2" xfId="463"/>
    <cellStyle name="Вычисление 3 3" xfId="464"/>
    <cellStyle name="Вычисление 3 4" xfId="465"/>
    <cellStyle name="Вычисление 4" xfId="466"/>
    <cellStyle name="Вычисление 4 2" xfId="467"/>
    <cellStyle name="Вычисление 4 3" xfId="468"/>
    <cellStyle name="Вычисление 4 4" xfId="469"/>
    <cellStyle name="Вычисление 5" xfId="470"/>
    <cellStyle name="Вычисление 5 2" xfId="471"/>
    <cellStyle name="Вычисление 5 3" xfId="472"/>
    <cellStyle name="Вычисление 5 4" xfId="473"/>
    <cellStyle name="Hyperlink" xfId="474"/>
    <cellStyle name="Currency" xfId="475"/>
    <cellStyle name="Currency [0]" xfId="476"/>
    <cellStyle name="Заголовок 1" xfId="477"/>
    <cellStyle name="Заголовок 1 2" xfId="478"/>
    <cellStyle name="Заголовок 1 2 2" xfId="479"/>
    <cellStyle name="Заголовок 1 2 3" xfId="480"/>
    <cellStyle name="Заголовок 1 2 4" xfId="481"/>
    <cellStyle name="Заголовок 1 3" xfId="482"/>
    <cellStyle name="Заголовок 1 3 2" xfId="483"/>
    <cellStyle name="Заголовок 1 3 3" xfId="484"/>
    <cellStyle name="Заголовок 1 3 4" xfId="485"/>
    <cellStyle name="Заголовок 1 4" xfId="486"/>
    <cellStyle name="Заголовок 1 4 2" xfId="487"/>
    <cellStyle name="Заголовок 1 4 3" xfId="488"/>
    <cellStyle name="Заголовок 1 4 4" xfId="489"/>
    <cellStyle name="Заголовок 1 5" xfId="490"/>
    <cellStyle name="Заголовок 1 5 2" xfId="491"/>
    <cellStyle name="Заголовок 1 5 3" xfId="492"/>
    <cellStyle name="Заголовок 1 5 4" xfId="493"/>
    <cellStyle name="Заголовок 2" xfId="494"/>
    <cellStyle name="Заголовок 2 2" xfId="495"/>
    <cellStyle name="Заголовок 2 2 2" xfId="496"/>
    <cellStyle name="Заголовок 2 2 3" xfId="497"/>
    <cellStyle name="Заголовок 2 2 4" xfId="498"/>
    <cellStyle name="Заголовок 2 3" xfId="499"/>
    <cellStyle name="Заголовок 2 3 2" xfId="500"/>
    <cellStyle name="Заголовок 2 3 3" xfId="501"/>
    <cellStyle name="Заголовок 2 3 4" xfId="502"/>
    <cellStyle name="Заголовок 2 4" xfId="503"/>
    <cellStyle name="Заголовок 2 4 2" xfId="504"/>
    <cellStyle name="Заголовок 2 4 3" xfId="505"/>
    <cellStyle name="Заголовок 2 4 4" xfId="506"/>
    <cellStyle name="Заголовок 2 5" xfId="507"/>
    <cellStyle name="Заголовок 2 5 2" xfId="508"/>
    <cellStyle name="Заголовок 2 5 3" xfId="509"/>
    <cellStyle name="Заголовок 2 5 4" xfId="510"/>
    <cellStyle name="Заголовок 3" xfId="511"/>
    <cellStyle name="Заголовок 3 2" xfId="512"/>
    <cellStyle name="Заголовок 3 2 2" xfId="513"/>
    <cellStyle name="Заголовок 3 2 3" xfId="514"/>
    <cellStyle name="Заголовок 3 2 4" xfId="515"/>
    <cellStyle name="Заголовок 3 3" xfId="516"/>
    <cellStyle name="Заголовок 3 3 2" xfId="517"/>
    <cellStyle name="Заголовок 3 3 3" xfId="518"/>
    <cellStyle name="Заголовок 3 3 4" xfId="519"/>
    <cellStyle name="Заголовок 3 4" xfId="520"/>
    <cellStyle name="Заголовок 3 4 2" xfId="521"/>
    <cellStyle name="Заголовок 3 4 3" xfId="522"/>
    <cellStyle name="Заголовок 3 4 4" xfId="523"/>
    <cellStyle name="Заголовок 3 5" xfId="524"/>
    <cellStyle name="Заголовок 3 5 2" xfId="525"/>
    <cellStyle name="Заголовок 3 5 3" xfId="526"/>
    <cellStyle name="Заголовок 3 5 4" xfId="527"/>
    <cellStyle name="Заголовок 4" xfId="528"/>
    <cellStyle name="Заголовок 4 2" xfId="529"/>
    <cellStyle name="Заголовок 4 2 2" xfId="530"/>
    <cellStyle name="Заголовок 4 2 3" xfId="531"/>
    <cellStyle name="Заголовок 4 2 4" xfId="532"/>
    <cellStyle name="Заголовок 4 3" xfId="533"/>
    <cellStyle name="Заголовок 4 3 2" xfId="534"/>
    <cellStyle name="Заголовок 4 3 3" xfId="535"/>
    <cellStyle name="Заголовок 4 3 4" xfId="536"/>
    <cellStyle name="Заголовок 4 4" xfId="537"/>
    <cellStyle name="Заголовок 4 4 2" xfId="538"/>
    <cellStyle name="Заголовок 4 4 3" xfId="539"/>
    <cellStyle name="Заголовок 4 4 4" xfId="540"/>
    <cellStyle name="Заголовок 4 5" xfId="541"/>
    <cellStyle name="Заголовок 4 5 2" xfId="542"/>
    <cellStyle name="Заголовок 4 5 3" xfId="543"/>
    <cellStyle name="Заголовок 4 5 4" xfId="544"/>
    <cellStyle name="Итог" xfId="545"/>
    <cellStyle name="Итог 2" xfId="546"/>
    <cellStyle name="Итог 2 2" xfId="547"/>
    <cellStyle name="Итог 2 3" xfId="548"/>
    <cellStyle name="Итог 2 4" xfId="549"/>
    <cellStyle name="Итог 3" xfId="550"/>
    <cellStyle name="Итог 3 2" xfId="551"/>
    <cellStyle name="Итог 3 3" xfId="552"/>
    <cellStyle name="Итог 3 4" xfId="553"/>
    <cellStyle name="Итог 4" xfId="554"/>
    <cellStyle name="Итог 4 2" xfId="555"/>
    <cellStyle name="Итог 4 3" xfId="556"/>
    <cellStyle name="Итог 4 4" xfId="557"/>
    <cellStyle name="Итог 5" xfId="558"/>
    <cellStyle name="Итог 5 2" xfId="559"/>
    <cellStyle name="Итог 5 3" xfId="560"/>
    <cellStyle name="Итог 5 4" xfId="561"/>
    <cellStyle name="Контрольная ячейка" xfId="562"/>
    <cellStyle name="Контрольная ячейка 2" xfId="563"/>
    <cellStyle name="Контрольная ячейка 2 2" xfId="564"/>
    <cellStyle name="Контрольная ячейка 2 3" xfId="565"/>
    <cellStyle name="Контрольная ячейка 2 4" xfId="566"/>
    <cellStyle name="Контрольная ячейка 3" xfId="567"/>
    <cellStyle name="Контрольная ячейка 3 2" xfId="568"/>
    <cellStyle name="Контрольная ячейка 3 3" xfId="569"/>
    <cellStyle name="Контрольная ячейка 3 4" xfId="570"/>
    <cellStyle name="Контрольная ячейка 4" xfId="571"/>
    <cellStyle name="Контрольная ячейка 4 2" xfId="572"/>
    <cellStyle name="Контрольная ячейка 4 3" xfId="573"/>
    <cellStyle name="Контрольная ячейка 4 4" xfId="574"/>
    <cellStyle name="Контрольная ячейка 5" xfId="575"/>
    <cellStyle name="Контрольная ячейка 5 2" xfId="576"/>
    <cellStyle name="Контрольная ячейка 5 3" xfId="577"/>
    <cellStyle name="Контрольная ячейка 5 4" xfId="578"/>
    <cellStyle name="Название" xfId="579"/>
    <cellStyle name="Название 2" xfId="580"/>
    <cellStyle name="Название 2 2" xfId="581"/>
    <cellStyle name="Название 2 3" xfId="582"/>
    <cellStyle name="Название 2 4" xfId="583"/>
    <cellStyle name="Название 3" xfId="584"/>
    <cellStyle name="Название 3 2" xfId="585"/>
    <cellStyle name="Название 3 3" xfId="586"/>
    <cellStyle name="Название 3 4" xfId="587"/>
    <cellStyle name="Название 4" xfId="588"/>
    <cellStyle name="Название 4 2" xfId="589"/>
    <cellStyle name="Название 4 3" xfId="590"/>
    <cellStyle name="Название 4 4" xfId="591"/>
    <cellStyle name="Название 5" xfId="592"/>
    <cellStyle name="Название 5 2" xfId="593"/>
    <cellStyle name="Название 5 3" xfId="594"/>
    <cellStyle name="Название 5 4" xfId="595"/>
    <cellStyle name="Нейтральный" xfId="596"/>
    <cellStyle name="Нейтральный 2" xfId="597"/>
    <cellStyle name="Нейтральный 2 2" xfId="598"/>
    <cellStyle name="Нейтральный 2 3" xfId="599"/>
    <cellStyle name="Нейтральный 2 4" xfId="600"/>
    <cellStyle name="Нейтральный 3" xfId="601"/>
    <cellStyle name="Нейтральный 3 2" xfId="602"/>
    <cellStyle name="Нейтральный 3 3" xfId="603"/>
    <cellStyle name="Нейтральный 3 4" xfId="604"/>
    <cellStyle name="Нейтральный 4" xfId="605"/>
    <cellStyle name="Нейтральный 4 2" xfId="606"/>
    <cellStyle name="Нейтральный 4 3" xfId="607"/>
    <cellStyle name="Нейтральный 4 4" xfId="608"/>
    <cellStyle name="Нейтральный 5" xfId="609"/>
    <cellStyle name="Нейтральный 5 2" xfId="610"/>
    <cellStyle name="Нейтральный 5 3" xfId="611"/>
    <cellStyle name="Нейтральный 5 4" xfId="612"/>
    <cellStyle name="Обычный 2" xfId="613"/>
    <cellStyle name="Обычный 2 2" xfId="614"/>
    <cellStyle name="Обычный 2 3" xfId="615"/>
    <cellStyle name="Обычный 2 4" xfId="616"/>
    <cellStyle name="Обычный 2 5" xfId="617"/>
    <cellStyle name="Обычный 3" xfId="618"/>
    <cellStyle name="Обычный 4" xfId="619"/>
    <cellStyle name="Обычный 5" xfId="620"/>
    <cellStyle name="Обычный 6" xfId="621"/>
    <cellStyle name="Обычный 7" xfId="622"/>
    <cellStyle name="Обычный 8" xfId="623"/>
    <cellStyle name="Обычный 9" xfId="624"/>
    <cellStyle name="Обычный_ПЛАН Бюджету розвитку на 2013_деп.економіки" xfId="625"/>
    <cellStyle name="Followed Hyperlink" xfId="626"/>
    <cellStyle name="Плохой" xfId="627"/>
    <cellStyle name="Плохой 2" xfId="628"/>
    <cellStyle name="Плохой 2 2" xfId="629"/>
    <cellStyle name="Плохой 2 3" xfId="630"/>
    <cellStyle name="Плохой 2 4" xfId="631"/>
    <cellStyle name="Плохой 3" xfId="632"/>
    <cellStyle name="Плохой 3 2" xfId="633"/>
    <cellStyle name="Плохой 3 3" xfId="634"/>
    <cellStyle name="Плохой 3 4" xfId="635"/>
    <cellStyle name="Плохой 4" xfId="636"/>
    <cellStyle name="Плохой 4 2" xfId="637"/>
    <cellStyle name="Плохой 4 3" xfId="638"/>
    <cellStyle name="Плохой 4 4" xfId="639"/>
    <cellStyle name="Плохой 5" xfId="640"/>
    <cellStyle name="Плохой 5 2" xfId="641"/>
    <cellStyle name="Плохой 5 3" xfId="642"/>
    <cellStyle name="Плохой 5 4" xfId="643"/>
    <cellStyle name="Пояснение" xfId="644"/>
    <cellStyle name="Пояснение 2" xfId="645"/>
    <cellStyle name="Пояснение 2 2" xfId="646"/>
    <cellStyle name="Пояснение 2 3" xfId="647"/>
    <cellStyle name="Пояснение 2 4" xfId="648"/>
    <cellStyle name="Пояснение 3" xfId="649"/>
    <cellStyle name="Пояснение 3 2" xfId="650"/>
    <cellStyle name="Пояснение 3 3" xfId="651"/>
    <cellStyle name="Пояснение 3 4" xfId="652"/>
    <cellStyle name="Пояснение 4" xfId="653"/>
    <cellStyle name="Пояснение 4 2" xfId="654"/>
    <cellStyle name="Пояснение 4 3" xfId="655"/>
    <cellStyle name="Пояснение 4 4" xfId="656"/>
    <cellStyle name="Пояснение 5" xfId="657"/>
    <cellStyle name="Пояснение 5 2" xfId="658"/>
    <cellStyle name="Пояснение 5 3" xfId="659"/>
    <cellStyle name="Пояснение 5 4" xfId="660"/>
    <cellStyle name="Примечание" xfId="661"/>
    <cellStyle name="Примечание 2" xfId="662"/>
    <cellStyle name="Примечание 2 2" xfId="663"/>
    <cellStyle name="Примечание 2 3" xfId="664"/>
    <cellStyle name="Примечание 2 4" xfId="665"/>
    <cellStyle name="Примечание 3" xfId="666"/>
    <cellStyle name="Примечание 3 2" xfId="667"/>
    <cellStyle name="Примечание 3 3" xfId="668"/>
    <cellStyle name="Примечание 3 4" xfId="669"/>
    <cellStyle name="Примечание 4" xfId="670"/>
    <cellStyle name="Примечание 4 2" xfId="671"/>
    <cellStyle name="Примечание 4 3" xfId="672"/>
    <cellStyle name="Примечание 4 4" xfId="673"/>
    <cellStyle name="Примечание 5" xfId="674"/>
    <cellStyle name="Примечание 5 2" xfId="675"/>
    <cellStyle name="Примечание 5 3" xfId="676"/>
    <cellStyle name="Примечание 5 4" xfId="677"/>
    <cellStyle name="Percent" xfId="678"/>
    <cellStyle name="Процентный 2" xfId="679"/>
    <cellStyle name="Процентный 2 10" xfId="680"/>
    <cellStyle name="Процентный 2 11" xfId="681"/>
    <cellStyle name="Процентный 2 12" xfId="682"/>
    <cellStyle name="Процентный 2 13" xfId="683"/>
    <cellStyle name="Процентный 2 14" xfId="684"/>
    <cellStyle name="Процентный 2 15" xfId="685"/>
    <cellStyle name="Процентный 2 16" xfId="686"/>
    <cellStyle name="Процентный 2 17" xfId="687"/>
    <cellStyle name="Процентный 2 18" xfId="688"/>
    <cellStyle name="Процентный 2 19" xfId="689"/>
    <cellStyle name="Процентный 2 2" xfId="690"/>
    <cellStyle name="Процентный 2 20" xfId="691"/>
    <cellStyle name="Процентный 2 21" xfId="692"/>
    <cellStyle name="Процентный 2 22" xfId="693"/>
    <cellStyle name="Процентный 2 23" xfId="694"/>
    <cellStyle name="Процентный 2 24" xfId="695"/>
    <cellStyle name="Процентный 2 25" xfId="696"/>
    <cellStyle name="Процентный 2 3" xfId="697"/>
    <cellStyle name="Процентный 2 4" xfId="698"/>
    <cellStyle name="Процентный 2 5" xfId="699"/>
    <cellStyle name="Процентный 2 6" xfId="700"/>
    <cellStyle name="Процентный 2 7" xfId="701"/>
    <cellStyle name="Процентный 2 8" xfId="702"/>
    <cellStyle name="Процентный 2 9" xfId="703"/>
    <cellStyle name="Процентный 5" xfId="704"/>
    <cellStyle name="Связанная ячейка" xfId="705"/>
    <cellStyle name="Связанная ячейка 2" xfId="706"/>
    <cellStyle name="Связанная ячейка 2 2" xfId="707"/>
    <cellStyle name="Связанная ячейка 2 3" xfId="708"/>
    <cellStyle name="Связанная ячейка 2 4" xfId="709"/>
    <cellStyle name="Связанная ячейка 3" xfId="710"/>
    <cellStyle name="Связанная ячейка 3 2" xfId="711"/>
    <cellStyle name="Связанная ячейка 3 3" xfId="712"/>
    <cellStyle name="Связанная ячейка 3 4" xfId="713"/>
    <cellStyle name="Связанная ячейка 4" xfId="714"/>
    <cellStyle name="Связанная ячейка 4 2" xfId="715"/>
    <cellStyle name="Связанная ячейка 4 3" xfId="716"/>
    <cellStyle name="Связанная ячейка 4 4" xfId="717"/>
    <cellStyle name="Связанная ячейка 5" xfId="718"/>
    <cellStyle name="Связанная ячейка 5 2" xfId="719"/>
    <cellStyle name="Связанная ячейка 5 3" xfId="720"/>
    <cellStyle name="Связанная ячейка 5 4" xfId="721"/>
    <cellStyle name="Текст предупреждения" xfId="722"/>
    <cellStyle name="Текст предупреждения 2" xfId="723"/>
    <cellStyle name="Текст предупреждения 2 2" xfId="724"/>
    <cellStyle name="Текст предупреждения 2 3" xfId="725"/>
    <cellStyle name="Текст предупреждения 2 4" xfId="726"/>
    <cellStyle name="Текст предупреждения 3" xfId="727"/>
    <cellStyle name="Текст предупреждения 3 2" xfId="728"/>
    <cellStyle name="Текст предупреждения 3 3" xfId="729"/>
    <cellStyle name="Текст предупреждения 3 4" xfId="730"/>
    <cellStyle name="Текст предупреждения 4" xfId="731"/>
    <cellStyle name="Текст предупреждения 4 2" xfId="732"/>
    <cellStyle name="Текст предупреждения 4 3" xfId="733"/>
    <cellStyle name="Текст предупреждения 4 4" xfId="734"/>
    <cellStyle name="Текст предупреждения 5" xfId="735"/>
    <cellStyle name="Текст предупреждения 5 2" xfId="736"/>
    <cellStyle name="Текст предупреждения 5 3" xfId="737"/>
    <cellStyle name="Текст предупреждения 5 4" xfId="738"/>
    <cellStyle name="Comma" xfId="739"/>
    <cellStyle name="Comma [0]" xfId="740"/>
    <cellStyle name="Хороший" xfId="741"/>
    <cellStyle name="Хороший 2" xfId="742"/>
    <cellStyle name="Хороший 2 2" xfId="743"/>
    <cellStyle name="Хороший 2 3" xfId="744"/>
    <cellStyle name="Хороший 2 4" xfId="745"/>
    <cellStyle name="Хороший 3" xfId="746"/>
    <cellStyle name="Хороший 3 2" xfId="747"/>
    <cellStyle name="Хороший 3 3" xfId="748"/>
    <cellStyle name="Хороший 3 4" xfId="749"/>
    <cellStyle name="Хороший 4" xfId="750"/>
    <cellStyle name="Хороший 4 2" xfId="751"/>
    <cellStyle name="Хороший 4 3" xfId="752"/>
    <cellStyle name="Хороший 4 4" xfId="753"/>
    <cellStyle name="Хороший 5" xfId="754"/>
    <cellStyle name="Хороший 5 2" xfId="755"/>
    <cellStyle name="Хороший 5 3" xfId="756"/>
    <cellStyle name="Хороший 5 4" xfId="7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P180"/>
  <sheetViews>
    <sheetView tabSelected="1" view="pageBreakPreview" zoomScale="80" zoomScaleNormal="70" zoomScaleSheetLayoutView="80" zoomScalePageLayoutView="0" workbookViewId="0" topLeftCell="B1">
      <selection activeCell="F4" sqref="F4:H4"/>
    </sheetView>
  </sheetViews>
  <sheetFormatPr defaultColWidth="9.140625" defaultRowHeight="15"/>
  <cols>
    <col min="1" max="1" width="16.00390625" style="35" customWidth="1"/>
    <col min="2" max="2" width="27.57421875" style="74" customWidth="1"/>
    <col min="3" max="3" width="55.8515625" style="74" customWidth="1"/>
    <col min="4" max="4" width="21.7109375" style="35" customWidth="1"/>
    <col min="5" max="5" width="9.8515625" style="35" customWidth="1"/>
    <col min="6" max="6" width="18.00390625" style="75" customWidth="1"/>
    <col min="7" max="7" width="18.421875" style="35" customWidth="1"/>
    <col min="8" max="8" width="16.28125" style="35" customWidth="1"/>
    <col min="9" max="9" width="46.00390625" style="72" customWidth="1"/>
    <col min="10" max="10" width="9.57421875" style="35" bestFit="1" customWidth="1"/>
    <col min="11" max="16384" width="9.140625" style="35" customWidth="1"/>
  </cols>
  <sheetData>
    <row r="1" spans="2:8" s="1" customFormat="1" ht="27" customHeight="1">
      <c r="B1" s="2"/>
      <c r="C1" s="2"/>
      <c r="E1" s="3"/>
      <c r="F1" s="183" t="s">
        <v>47</v>
      </c>
      <c r="G1" s="183"/>
      <c r="H1" s="183"/>
    </row>
    <row r="2" spans="2:8" s="1" customFormat="1" ht="23.25" customHeight="1">
      <c r="B2" s="2"/>
      <c r="C2" s="2"/>
      <c r="E2" s="3"/>
      <c r="F2" s="184" t="s">
        <v>48</v>
      </c>
      <c r="G2" s="184"/>
      <c r="H2" s="184"/>
    </row>
    <row r="3" spans="2:8" s="1" customFormat="1" ht="31.5" customHeight="1">
      <c r="B3" s="2"/>
      <c r="C3" s="2"/>
      <c r="E3" s="3"/>
      <c r="F3" s="195" t="s">
        <v>239</v>
      </c>
      <c r="G3" s="185"/>
      <c r="H3" s="185"/>
    </row>
    <row r="4" spans="1:8" s="6" customFormat="1" ht="34.5" customHeight="1">
      <c r="A4" s="4"/>
      <c r="B4" s="5"/>
      <c r="D4" s="7"/>
      <c r="F4" s="182" t="s">
        <v>49</v>
      </c>
      <c r="G4" s="182"/>
      <c r="H4" s="182"/>
    </row>
    <row r="5" spans="1:8" s="6" customFormat="1" ht="27.75" customHeight="1">
      <c r="A5" s="4"/>
      <c r="B5" s="5"/>
      <c r="D5" s="7"/>
      <c r="F5" s="186" t="s">
        <v>66</v>
      </c>
      <c r="G5" s="186"/>
      <c r="H5" s="186"/>
    </row>
    <row r="6" spans="1:8" s="6" customFormat="1" ht="50.25" customHeight="1">
      <c r="A6" s="4"/>
      <c r="B6" s="5"/>
      <c r="D6" s="7"/>
      <c r="E6" s="8"/>
      <c r="F6" s="186"/>
      <c r="G6" s="186"/>
      <c r="H6" s="186"/>
    </row>
    <row r="7" spans="1:8" s="9" customFormat="1" ht="43.5" customHeight="1">
      <c r="A7" s="173" t="s">
        <v>61</v>
      </c>
      <c r="B7" s="173"/>
      <c r="C7" s="173"/>
      <c r="D7" s="173"/>
      <c r="E7" s="173"/>
      <c r="F7" s="173"/>
      <c r="G7" s="173"/>
      <c r="H7" s="173"/>
    </row>
    <row r="8" spans="1:8" s="9" customFormat="1" ht="30.75" customHeight="1">
      <c r="A8" s="10"/>
      <c r="B8" s="11"/>
      <c r="C8" s="10"/>
      <c r="D8" s="10"/>
      <c r="F8" s="12"/>
      <c r="G8" s="181" t="s">
        <v>50</v>
      </c>
      <c r="H8" s="181"/>
    </row>
    <row r="9" spans="1:8" s="9" customFormat="1" ht="49.5" customHeight="1">
      <c r="A9" s="173" t="s">
        <v>62</v>
      </c>
      <c r="B9" s="173"/>
      <c r="C9" s="173"/>
      <c r="D9" s="173"/>
      <c r="E9" s="173"/>
      <c r="F9" s="173"/>
      <c r="G9" s="173"/>
      <c r="H9" s="173"/>
    </row>
    <row r="10" spans="2:7" s="13" customFormat="1" ht="19.5" customHeight="1" thickBot="1">
      <c r="B10" s="174"/>
      <c r="C10" s="174"/>
      <c r="E10" s="14"/>
      <c r="G10" s="15" t="s">
        <v>51</v>
      </c>
    </row>
    <row r="11" spans="1:8" s="13" customFormat="1" ht="92.25" customHeight="1">
      <c r="A11" s="16" t="s">
        <v>52</v>
      </c>
      <c r="B11" s="17" t="s">
        <v>4</v>
      </c>
      <c r="C11" s="175" t="s">
        <v>53</v>
      </c>
      <c r="D11" s="175" t="s">
        <v>6</v>
      </c>
      <c r="E11" s="177" t="s">
        <v>54</v>
      </c>
      <c r="F11" s="175" t="s">
        <v>55</v>
      </c>
      <c r="G11" s="175" t="s">
        <v>60</v>
      </c>
      <c r="H11" s="179" t="s">
        <v>56</v>
      </c>
    </row>
    <row r="12" spans="1:8" s="13" customFormat="1" ht="86.25" customHeight="1" thickBot="1">
      <c r="A12" s="18" t="s">
        <v>57</v>
      </c>
      <c r="B12" s="19" t="s">
        <v>58</v>
      </c>
      <c r="C12" s="176"/>
      <c r="D12" s="176"/>
      <c r="E12" s="178"/>
      <c r="F12" s="176"/>
      <c r="G12" s="176"/>
      <c r="H12" s="180"/>
    </row>
    <row r="13" spans="1:8" s="13" customFormat="1" ht="15.75" customHeight="1" thickBot="1">
      <c r="A13" s="20">
        <v>1</v>
      </c>
      <c r="B13" s="21">
        <v>2</v>
      </c>
      <c r="C13" s="21">
        <v>3</v>
      </c>
      <c r="D13" s="21">
        <v>4</v>
      </c>
      <c r="E13" s="22">
        <v>5</v>
      </c>
      <c r="F13" s="21">
        <v>6</v>
      </c>
      <c r="G13" s="21">
        <v>7</v>
      </c>
      <c r="H13" s="23">
        <v>8</v>
      </c>
    </row>
    <row r="14" spans="1:8" s="29" customFormat="1" ht="20.25" customHeight="1">
      <c r="A14" s="24"/>
      <c r="B14" s="25"/>
      <c r="C14" s="26" t="s">
        <v>59</v>
      </c>
      <c r="D14" s="27">
        <f>SUM(D15+D152+D64+D20+D43+D58+D16+D149+D164+D178+D62+D174)</f>
        <v>470009.4650000002</v>
      </c>
      <c r="E14" s="27"/>
      <c r="F14" s="27">
        <f>SUM(F15+F152+F64+F20+F43+F58+F16+F149+F164+F178+F62+F174)</f>
        <v>363904.274</v>
      </c>
      <c r="G14" s="27">
        <f>SUM(G15+G152+G64+G20+G43+G58+G16+G149+G164+G178+G62+G174)</f>
        <v>88964.51</v>
      </c>
      <c r="H14" s="28"/>
    </row>
    <row r="15" spans="1:9" ht="49.5" customHeight="1">
      <c r="A15" s="30"/>
      <c r="B15" s="31"/>
      <c r="C15" s="32" t="s">
        <v>64</v>
      </c>
      <c r="D15" s="33">
        <v>25000</v>
      </c>
      <c r="E15" s="33"/>
      <c r="F15" s="33">
        <v>25000</v>
      </c>
      <c r="G15" s="33">
        <v>10000</v>
      </c>
      <c r="H15" s="34"/>
      <c r="I15" s="35"/>
    </row>
    <row r="16" spans="1:16" s="40" customFormat="1" ht="32.25" customHeight="1">
      <c r="A16" s="36" t="s">
        <v>69</v>
      </c>
      <c r="B16" s="31" t="s">
        <v>70</v>
      </c>
      <c r="C16" s="31"/>
      <c r="D16" s="33">
        <f>SUM(D17:D19)</f>
        <v>2498.718</v>
      </c>
      <c r="E16" s="33"/>
      <c r="F16" s="33">
        <f>SUM(F17:F19)</f>
        <v>2497.61832</v>
      </c>
      <c r="G16" s="33">
        <f>SUM(G17:G19)-G18</f>
        <v>2209.1400000000003</v>
      </c>
      <c r="H16" s="37"/>
      <c r="I16" s="38"/>
      <c r="J16" s="38"/>
      <c r="K16" s="38"/>
      <c r="L16" s="38"/>
      <c r="M16" s="38"/>
      <c r="N16" s="38"/>
      <c r="O16" s="35"/>
      <c r="P16" s="39"/>
    </row>
    <row r="17" spans="1:16" s="40" customFormat="1" ht="34.5" customHeight="1">
      <c r="A17" s="169">
        <v>150101</v>
      </c>
      <c r="B17" s="171" t="s">
        <v>7</v>
      </c>
      <c r="C17" s="32" t="s">
        <v>114</v>
      </c>
      <c r="D17" s="41">
        <v>2498.718</v>
      </c>
      <c r="E17" s="42">
        <f>100-(F17/D17)*100</f>
        <v>0.04400976820913627</v>
      </c>
      <c r="F17" s="41">
        <f>D17-1.09968</f>
        <v>2497.61832</v>
      </c>
      <c r="G17" s="41">
        <v>2155.588</v>
      </c>
      <c r="H17" s="43"/>
      <c r="I17" s="35"/>
      <c r="J17" s="35"/>
      <c r="K17" s="35"/>
      <c r="L17" s="35"/>
      <c r="M17" s="35"/>
      <c r="N17" s="35"/>
      <c r="P17" s="39"/>
    </row>
    <row r="18" spans="1:16" s="40" customFormat="1" ht="28.5" customHeight="1">
      <c r="A18" s="170"/>
      <c r="B18" s="172"/>
      <c r="C18" s="32" t="s">
        <v>170</v>
      </c>
      <c r="D18" s="41"/>
      <c r="E18" s="42"/>
      <c r="F18" s="41"/>
      <c r="G18" s="41">
        <v>338.049</v>
      </c>
      <c r="H18" s="43"/>
      <c r="I18" s="35"/>
      <c r="J18" s="35"/>
      <c r="K18" s="35"/>
      <c r="L18" s="35"/>
      <c r="M18" s="35"/>
      <c r="N18" s="35"/>
      <c r="P18" s="39"/>
    </row>
    <row r="19" spans="1:9" ht="234.75" customHeight="1">
      <c r="A19" s="44">
        <v>150107</v>
      </c>
      <c r="B19" s="45" t="s">
        <v>154</v>
      </c>
      <c r="C19" s="91" t="s">
        <v>172</v>
      </c>
      <c r="D19" s="41"/>
      <c r="E19" s="46"/>
      <c r="F19" s="41"/>
      <c r="G19" s="41">
        <v>53.552</v>
      </c>
      <c r="H19" s="43"/>
      <c r="I19" s="47"/>
    </row>
    <row r="20" spans="1:9" ht="69" customHeight="1">
      <c r="A20" s="48">
        <v>10</v>
      </c>
      <c r="B20" s="31" t="s">
        <v>19</v>
      </c>
      <c r="C20" s="49"/>
      <c r="D20" s="33">
        <f>SUM(D21:D42)</f>
        <v>83432.77600000001</v>
      </c>
      <c r="E20" s="50"/>
      <c r="F20" s="33">
        <f>SUM(F21:F42)</f>
        <v>69713.69138999999</v>
      </c>
      <c r="G20" s="33">
        <f>SUM(G21:G42)-G22-G24-G26-G29-G32-G35</f>
        <v>10676.195</v>
      </c>
      <c r="H20" s="51"/>
      <c r="I20" s="52"/>
    </row>
    <row r="21" spans="1:9" ht="33.75" customHeight="1">
      <c r="A21" s="158" t="s">
        <v>5</v>
      </c>
      <c r="B21" s="171" t="s">
        <v>7</v>
      </c>
      <c r="C21" s="54" t="s">
        <v>156</v>
      </c>
      <c r="D21" s="41">
        <v>6379.139</v>
      </c>
      <c r="E21" s="42">
        <f aca="true" t="shared" si="0" ref="E21:E42">100-(F21/D21)*100</f>
        <v>53.87068301850766</v>
      </c>
      <c r="F21" s="41">
        <f>D21-(1687.311+344.04021+13.012+636.19824+755.9243)</f>
        <v>2942.6532500000003</v>
      </c>
      <c r="G21" s="41">
        <v>213.095</v>
      </c>
      <c r="H21" s="154" t="s">
        <v>67</v>
      </c>
      <c r="I21" s="52"/>
    </row>
    <row r="22" spans="1:16" s="40" customFormat="1" ht="30.75" customHeight="1">
      <c r="A22" s="159"/>
      <c r="B22" s="172"/>
      <c r="C22" s="32" t="s">
        <v>170</v>
      </c>
      <c r="D22" s="41"/>
      <c r="E22" s="42"/>
      <c r="F22" s="41"/>
      <c r="G22" s="41">
        <v>12.354</v>
      </c>
      <c r="H22" s="155"/>
      <c r="I22" s="35"/>
      <c r="J22" s="35"/>
      <c r="K22" s="35"/>
      <c r="L22" s="35"/>
      <c r="M22" s="35"/>
      <c r="N22" s="35"/>
      <c r="P22" s="39"/>
    </row>
    <row r="23" spans="1:9" ht="53.25" customHeight="1">
      <c r="A23" s="158" t="s">
        <v>5</v>
      </c>
      <c r="B23" s="156" t="s">
        <v>7</v>
      </c>
      <c r="C23" s="32" t="s">
        <v>0</v>
      </c>
      <c r="D23" s="41">
        <v>7632.826</v>
      </c>
      <c r="E23" s="42">
        <f t="shared" si="0"/>
        <v>16.721229725399226</v>
      </c>
      <c r="F23" s="41">
        <f>D23-(1069.7+206.46924+0.13313)</f>
        <v>6356.52363</v>
      </c>
      <c r="G23" s="41">
        <v>918.44</v>
      </c>
      <c r="H23" s="154" t="s">
        <v>67</v>
      </c>
      <c r="I23" s="47"/>
    </row>
    <row r="24" spans="1:16" s="40" customFormat="1" ht="30.75" customHeight="1">
      <c r="A24" s="159"/>
      <c r="B24" s="157"/>
      <c r="C24" s="32" t="s">
        <v>170</v>
      </c>
      <c r="D24" s="41"/>
      <c r="E24" s="42"/>
      <c r="F24" s="41"/>
      <c r="G24" s="41">
        <v>4.796</v>
      </c>
      <c r="H24" s="155"/>
      <c r="I24" s="35"/>
      <c r="J24" s="35"/>
      <c r="K24" s="35"/>
      <c r="L24" s="35"/>
      <c r="M24" s="35"/>
      <c r="N24" s="35"/>
      <c r="P24" s="39"/>
    </row>
    <row r="25" spans="1:9" ht="70.5" customHeight="1">
      <c r="A25" s="158" t="s">
        <v>5</v>
      </c>
      <c r="B25" s="156" t="s">
        <v>7</v>
      </c>
      <c r="C25" s="54" t="s">
        <v>1</v>
      </c>
      <c r="D25" s="41">
        <v>3519.492</v>
      </c>
      <c r="E25" s="42">
        <f t="shared" si="0"/>
        <v>38.6008406895086</v>
      </c>
      <c r="F25" s="41">
        <f>D25-(749.9996+98.7815+273.5188+182.1816+54.072)</f>
        <v>2160.9385</v>
      </c>
      <c r="G25" s="41">
        <v>1040.377</v>
      </c>
      <c r="H25" s="154"/>
      <c r="I25" s="47"/>
    </row>
    <row r="26" spans="1:16" s="40" customFormat="1" ht="30.75" customHeight="1">
      <c r="A26" s="159"/>
      <c r="B26" s="157"/>
      <c r="C26" s="32" t="s">
        <v>170</v>
      </c>
      <c r="D26" s="41"/>
      <c r="E26" s="42"/>
      <c r="F26" s="41"/>
      <c r="G26" s="41">
        <v>130.816</v>
      </c>
      <c r="H26" s="155"/>
      <c r="I26" s="35"/>
      <c r="J26" s="35"/>
      <c r="K26" s="35"/>
      <c r="L26" s="35"/>
      <c r="M26" s="35"/>
      <c r="N26" s="35"/>
      <c r="P26" s="39"/>
    </row>
    <row r="27" spans="1:9" ht="84" customHeight="1">
      <c r="A27" s="53" t="s">
        <v>5</v>
      </c>
      <c r="B27" s="32" t="s">
        <v>7</v>
      </c>
      <c r="C27" s="32" t="s">
        <v>132</v>
      </c>
      <c r="D27" s="41">
        <v>650</v>
      </c>
      <c r="E27" s="42">
        <f t="shared" si="0"/>
        <v>0</v>
      </c>
      <c r="F27" s="41">
        <f>D27</f>
        <v>650</v>
      </c>
      <c r="G27" s="41">
        <v>250</v>
      </c>
      <c r="H27" s="43" t="s">
        <v>67</v>
      </c>
      <c r="I27" s="47"/>
    </row>
    <row r="28" spans="1:9" ht="54" customHeight="1">
      <c r="A28" s="158" t="s">
        <v>5</v>
      </c>
      <c r="B28" s="156" t="s">
        <v>7</v>
      </c>
      <c r="C28" s="54" t="s">
        <v>28</v>
      </c>
      <c r="D28" s="41">
        <v>1002.696</v>
      </c>
      <c r="E28" s="42">
        <f t="shared" si="0"/>
        <v>54.72243232245865</v>
      </c>
      <c r="F28" s="41">
        <f>D28-(21.29719+527.40245)</f>
        <v>453.99636</v>
      </c>
      <c r="G28" s="41">
        <f>111+24.606</f>
        <v>135.606</v>
      </c>
      <c r="H28" s="154" t="s">
        <v>67</v>
      </c>
      <c r="I28" s="47"/>
    </row>
    <row r="29" spans="1:16" s="40" customFormat="1" ht="30.75" customHeight="1">
      <c r="A29" s="159"/>
      <c r="B29" s="157"/>
      <c r="C29" s="32" t="s">
        <v>170</v>
      </c>
      <c r="D29" s="41"/>
      <c r="E29" s="42"/>
      <c r="F29" s="41"/>
      <c r="G29" s="41">
        <v>133.606</v>
      </c>
      <c r="H29" s="155"/>
      <c r="I29" s="35"/>
      <c r="J29" s="35"/>
      <c r="K29" s="35"/>
      <c r="L29" s="35"/>
      <c r="M29" s="35"/>
      <c r="N29" s="35"/>
      <c r="P29" s="39"/>
    </row>
    <row r="30" spans="1:9" ht="51.75" customHeight="1">
      <c r="A30" s="53" t="s">
        <v>5</v>
      </c>
      <c r="B30" s="32" t="s">
        <v>7</v>
      </c>
      <c r="C30" s="54" t="s">
        <v>2</v>
      </c>
      <c r="D30" s="41">
        <v>9459.239</v>
      </c>
      <c r="E30" s="42">
        <f t="shared" si="0"/>
        <v>11.146322975875762</v>
      </c>
      <c r="F30" s="41">
        <f>D30-(941.458+67.92753+44.9718)</f>
        <v>8404.881669999999</v>
      </c>
      <c r="G30" s="41">
        <v>1260.732</v>
      </c>
      <c r="H30" s="43" t="s">
        <v>67</v>
      </c>
      <c r="I30" s="47"/>
    </row>
    <row r="31" spans="1:9" ht="68.25" customHeight="1">
      <c r="A31" s="158" t="s">
        <v>5</v>
      </c>
      <c r="B31" s="156" t="s">
        <v>7</v>
      </c>
      <c r="C31" s="32" t="s">
        <v>16</v>
      </c>
      <c r="D31" s="41">
        <v>15889.351</v>
      </c>
      <c r="E31" s="42">
        <f t="shared" si="0"/>
        <v>16.109992031770204</v>
      </c>
      <c r="F31" s="41">
        <f>D31-(202.12564+117.93706+2239.71048)</f>
        <v>13329.57782</v>
      </c>
      <c r="G31" s="41">
        <v>1226.691</v>
      </c>
      <c r="H31" s="154" t="s">
        <v>67</v>
      </c>
      <c r="I31" s="47"/>
    </row>
    <row r="32" spans="1:16" s="40" customFormat="1" ht="30.75" customHeight="1">
      <c r="A32" s="159"/>
      <c r="B32" s="157"/>
      <c r="C32" s="32" t="s">
        <v>170</v>
      </c>
      <c r="D32" s="41"/>
      <c r="E32" s="42"/>
      <c r="F32" s="41"/>
      <c r="G32" s="41">
        <v>87.775</v>
      </c>
      <c r="H32" s="155"/>
      <c r="I32" s="35"/>
      <c r="J32" s="35"/>
      <c r="K32" s="35"/>
      <c r="L32" s="35"/>
      <c r="M32" s="35"/>
      <c r="N32" s="35"/>
      <c r="P32" s="39"/>
    </row>
    <row r="33" spans="1:9" ht="69.75" customHeight="1">
      <c r="A33" s="53" t="s">
        <v>5</v>
      </c>
      <c r="B33" s="32" t="s">
        <v>7</v>
      </c>
      <c r="C33" s="32" t="s">
        <v>17</v>
      </c>
      <c r="D33" s="41">
        <v>4860</v>
      </c>
      <c r="E33" s="42">
        <f t="shared" si="0"/>
        <v>0</v>
      </c>
      <c r="F33" s="41">
        <f>D33</f>
        <v>4860</v>
      </c>
      <c r="G33" s="41">
        <v>690</v>
      </c>
      <c r="H33" s="43" t="s">
        <v>67</v>
      </c>
      <c r="I33" s="47"/>
    </row>
    <row r="34" spans="1:9" ht="67.5" customHeight="1">
      <c r="A34" s="158" t="s">
        <v>5</v>
      </c>
      <c r="B34" s="156" t="s">
        <v>7</v>
      </c>
      <c r="C34" s="54" t="s">
        <v>18</v>
      </c>
      <c r="D34" s="41">
        <v>14127</v>
      </c>
      <c r="E34" s="42">
        <f t="shared" si="0"/>
        <v>2.1235907128194214</v>
      </c>
      <c r="F34" s="41">
        <f>D34-(285.87266+14.127)</f>
        <v>13827.00034</v>
      </c>
      <c r="G34" s="41">
        <v>1622.577</v>
      </c>
      <c r="H34" s="154" t="s">
        <v>67</v>
      </c>
      <c r="I34" s="47"/>
    </row>
    <row r="35" spans="1:16" s="40" customFormat="1" ht="30.75" customHeight="1">
      <c r="A35" s="159"/>
      <c r="B35" s="157"/>
      <c r="C35" s="32" t="s">
        <v>170</v>
      </c>
      <c r="D35" s="41"/>
      <c r="E35" s="42"/>
      <c r="F35" s="41"/>
      <c r="G35" s="41">
        <v>20.684</v>
      </c>
      <c r="H35" s="155"/>
      <c r="I35" s="35"/>
      <c r="J35" s="35"/>
      <c r="K35" s="35"/>
      <c r="L35" s="35"/>
      <c r="M35" s="35"/>
      <c r="N35" s="35"/>
      <c r="P35" s="39"/>
    </row>
    <row r="36" spans="1:9" ht="53.25" customHeight="1">
      <c r="A36" s="53" t="s">
        <v>5</v>
      </c>
      <c r="B36" s="32" t="s">
        <v>7</v>
      </c>
      <c r="C36" s="32" t="s">
        <v>35</v>
      </c>
      <c r="D36" s="41">
        <v>600</v>
      </c>
      <c r="E36" s="42">
        <f t="shared" si="0"/>
        <v>50</v>
      </c>
      <c r="F36" s="41">
        <f>D36-300</f>
        <v>300</v>
      </c>
      <c r="G36" s="41">
        <v>300</v>
      </c>
      <c r="H36" s="43" t="s">
        <v>67</v>
      </c>
      <c r="I36" s="47"/>
    </row>
    <row r="37" spans="1:9" ht="86.25" customHeight="1">
      <c r="A37" s="53" t="s">
        <v>5</v>
      </c>
      <c r="B37" s="32" t="s">
        <v>7</v>
      </c>
      <c r="C37" s="32" t="s">
        <v>32</v>
      </c>
      <c r="D37" s="41">
        <v>350</v>
      </c>
      <c r="E37" s="42">
        <f t="shared" si="0"/>
        <v>0</v>
      </c>
      <c r="F37" s="41">
        <f>SUM(D37)</f>
        <v>350</v>
      </c>
      <c r="G37" s="41">
        <v>350</v>
      </c>
      <c r="H37" s="43" t="s">
        <v>67</v>
      </c>
      <c r="I37" s="47"/>
    </row>
    <row r="38" spans="1:9" ht="54" customHeight="1">
      <c r="A38" s="53" t="s">
        <v>5</v>
      </c>
      <c r="B38" s="32" t="s">
        <v>7</v>
      </c>
      <c r="C38" s="32" t="s">
        <v>130</v>
      </c>
      <c r="D38" s="41">
        <v>560</v>
      </c>
      <c r="E38" s="42">
        <f t="shared" si="0"/>
        <v>0</v>
      </c>
      <c r="F38" s="41">
        <f>SUM(D38)</f>
        <v>560</v>
      </c>
      <c r="G38" s="41">
        <v>560</v>
      </c>
      <c r="H38" s="43" t="s">
        <v>67</v>
      </c>
      <c r="I38" s="47"/>
    </row>
    <row r="39" spans="1:9" ht="56.25" customHeight="1">
      <c r="A39" s="53" t="s">
        <v>5</v>
      </c>
      <c r="B39" s="32" t="s">
        <v>7</v>
      </c>
      <c r="C39" s="54" t="s">
        <v>115</v>
      </c>
      <c r="D39" s="41">
        <v>12764</v>
      </c>
      <c r="E39" s="42">
        <f t="shared" si="0"/>
        <v>0</v>
      </c>
      <c r="F39" s="41">
        <f>SUM(D39)</f>
        <v>12764</v>
      </c>
      <c r="G39" s="41">
        <v>600</v>
      </c>
      <c r="H39" s="43" t="s">
        <v>67</v>
      </c>
      <c r="I39" s="47"/>
    </row>
    <row r="40" spans="1:9" ht="71.25" customHeight="1">
      <c r="A40" s="53" t="s">
        <v>5</v>
      </c>
      <c r="B40" s="32" t="s">
        <v>7</v>
      </c>
      <c r="C40" s="32" t="s">
        <v>116</v>
      </c>
      <c r="D40" s="41">
        <v>1000</v>
      </c>
      <c r="E40" s="42">
        <f t="shared" si="0"/>
        <v>0</v>
      </c>
      <c r="F40" s="41">
        <f>SUM(D40)</f>
        <v>1000</v>
      </c>
      <c r="G40" s="41">
        <v>1000</v>
      </c>
      <c r="H40" s="43" t="s">
        <v>67</v>
      </c>
      <c r="I40" s="47"/>
    </row>
    <row r="41" spans="1:9" ht="85.5" customHeight="1">
      <c r="A41" s="53" t="s">
        <v>5</v>
      </c>
      <c r="B41" s="32" t="s">
        <v>7</v>
      </c>
      <c r="C41" s="32" t="s">
        <v>173</v>
      </c>
      <c r="D41" s="41">
        <v>2105.695</v>
      </c>
      <c r="E41" s="42">
        <f t="shared" si="0"/>
        <v>92.30915683420437</v>
      </c>
      <c r="F41" s="41">
        <f>D41-158.60085-1785.14845</f>
        <v>161.94570000000022</v>
      </c>
      <c r="G41" s="41">
        <v>33.996</v>
      </c>
      <c r="H41" s="43" t="s">
        <v>67</v>
      </c>
      <c r="I41" s="47"/>
    </row>
    <row r="42" spans="1:9" ht="49.5" customHeight="1">
      <c r="A42" s="53" t="s">
        <v>5</v>
      </c>
      <c r="B42" s="32" t="s">
        <v>7</v>
      </c>
      <c r="C42" s="32" t="s">
        <v>174</v>
      </c>
      <c r="D42" s="41">
        <v>2533.338</v>
      </c>
      <c r="E42" s="42">
        <f t="shared" si="0"/>
        <v>37.15113735316803</v>
      </c>
      <c r="F42" s="41">
        <f>SUM(D42-941.16388)</f>
        <v>1592.1741200000001</v>
      </c>
      <c r="G42" s="41">
        <v>474.681</v>
      </c>
      <c r="H42" s="43" t="s">
        <v>67</v>
      </c>
      <c r="I42" s="47"/>
    </row>
    <row r="43" spans="1:9" ht="51" customHeight="1">
      <c r="A43" s="48">
        <v>14</v>
      </c>
      <c r="B43" s="31" t="s">
        <v>20</v>
      </c>
      <c r="C43" s="49"/>
      <c r="D43" s="33">
        <f>SUM(D44:D56)</f>
        <v>39010.396</v>
      </c>
      <c r="E43" s="50"/>
      <c r="F43" s="33">
        <f>SUM(F44:F56)</f>
        <v>21209.362050000003</v>
      </c>
      <c r="G43" s="33">
        <f>SUM(G44:G57)-G45-G57</f>
        <v>3107.3699999999994</v>
      </c>
      <c r="H43" s="43"/>
      <c r="I43" s="47"/>
    </row>
    <row r="44" spans="1:9" ht="68.25" customHeight="1">
      <c r="A44" s="158" t="s">
        <v>5</v>
      </c>
      <c r="B44" s="156" t="s">
        <v>7</v>
      </c>
      <c r="C44" s="55" t="s">
        <v>13</v>
      </c>
      <c r="D44" s="41">
        <v>7247.066</v>
      </c>
      <c r="E44" s="42">
        <f aca="true" t="shared" si="1" ref="E44:E56">100-(F44/D44)*100</f>
        <v>19.96581319943823</v>
      </c>
      <c r="F44" s="41">
        <f>D44-(5.555+683.13948+758.24118)</f>
        <v>5800.13034</v>
      </c>
      <c r="G44" s="41">
        <f>616.316+538.625</f>
        <v>1154.941</v>
      </c>
      <c r="H44" s="154" t="s">
        <v>67</v>
      </c>
      <c r="I44" s="47"/>
    </row>
    <row r="45" spans="1:16" s="40" customFormat="1" ht="30.75" customHeight="1">
      <c r="A45" s="159"/>
      <c r="B45" s="157"/>
      <c r="C45" s="32" t="s">
        <v>170</v>
      </c>
      <c r="D45" s="41"/>
      <c r="E45" s="42"/>
      <c r="F45" s="41"/>
      <c r="G45" s="41">
        <v>1152.941</v>
      </c>
      <c r="H45" s="155"/>
      <c r="I45" s="35"/>
      <c r="J45" s="35"/>
      <c r="K45" s="35"/>
      <c r="L45" s="35"/>
      <c r="M45" s="35"/>
      <c r="N45" s="35"/>
      <c r="P45" s="39"/>
    </row>
    <row r="46" spans="1:10" ht="86.25" customHeight="1">
      <c r="A46" s="53" t="s">
        <v>5</v>
      </c>
      <c r="B46" s="32" t="s">
        <v>7</v>
      </c>
      <c r="C46" s="56" t="s">
        <v>175</v>
      </c>
      <c r="D46" s="41">
        <v>7053.562</v>
      </c>
      <c r="E46" s="42">
        <f t="shared" si="1"/>
        <v>62.832233841568275</v>
      </c>
      <c r="F46" s="41">
        <f>D46-(1131.01602+23.73674+2.4632+1732.00326+753.14493+789.54642)</f>
        <v>2621.65143</v>
      </c>
      <c r="G46" s="41">
        <v>17.04</v>
      </c>
      <c r="H46" s="43" t="s">
        <v>67</v>
      </c>
      <c r="I46" s="47"/>
      <c r="J46" s="77"/>
    </row>
    <row r="47" spans="1:9" ht="101.25" customHeight="1">
      <c r="A47" s="53" t="s">
        <v>5</v>
      </c>
      <c r="B47" s="32" t="s">
        <v>7</v>
      </c>
      <c r="C47" s="56" t="s">
        <v>176</v>
      </c>
      <c r="D47" s="41">
        <v>778</v>
      </c>
      <c r="E47" s="42">
        <f t="shared" si="1"/>
        <v>98.63538946015424</v>
      </c>
      <c r="F47" s="41">
        <f>D47-767.38333</f>
        <v>10.61667</v>
      </c>
      <c r="G47" s="41">
        <v>1.714</v>
      </c>
      <c r="H47" s="43" t="s">
        <v>67</v>
      </c>
      <c r="I47" s="47"/>
    </row>
    <row r="48" spans="1:9" ht="105.75" customHeight="1">
      <c r="A48" s="53" t="s">
        <v>5</v>
      </c>
      <c r="B48" s="32" t="s">
        <v>7</v>
      </c>
      <c r="C48" s="111" t="s">
        <v>177</v>
      </c>
      <c r="D48" s="41">
        <v>350</v>
      </c>
      <c r="E48" s="42">
        <f t="shared" si="1"/>
        <v>0</v>
      </c>
      <c r="F48" s="41">
        <f>SUM(D48-0)</f>
        <v>350</v>
      </c>
      <c r="G48" s="41">
        <v>89.114</v>
      </c>
      <c r="H48" s="43" t="s">
        <v>67</v>
      </c>
      <c r="I48" s="47"/>
    </row>
    <row r="49" spans="1:9" ht="87" customHeight="1">
      <c r="A49" s="53" t="s">
        <v>5</v>
      </c>
      <c r="B49" s="32" t="s">
        <v>7</v>
      </c>
      <c r="C49" s="56" t="s">
        <v>178</v>
      </c>
      <c r="D49" s="41">
        <f>2652.552-128.264</f>
        <v>2524.288</v>
      </c>
      <c r="E49" s="42">
        <f t="shared" si="1"/>
        <v>6.679691857664423</v>
      </c>
      <c r="F49" s="41">
        <f>D49-(30.1488+136.05183+2.41403)</f>
        <v>2355.67334</v>
      </c>
      <c r="G49" s="41">
        <v>3.475</v>
      </c>
      <c r="H49" s="43" t="s">
        <v>67</v>
      </c>
      <c r="I49" s="47"/>
    </row>
    <row r="50" spans="1:9" ht="73.5" customHeight="1">
      <c r="A50" s="53" t="s">
        <v>5</v>
      </c>
      <c r="B50" s="32" t="s">
        <v>7</v>
      </c>
      <c r="C50" s="55" t="s">
        <v>179</v>
      </c>
      <c r="D50" s="57">
        <v>5540.75</v>
      </c>
      <c r="E50" s="42">
        <f t="shared" si="1"/>
        <v>82.35426269006904</v>
      </c>
      <c r="F50" s="41">
        <f>D50-3400.219-1162.82481</f>
        <v>977.7061899999999</v>
      </c>
      <c r="G50" s="41">
        <v>102.55</v>
      </c>
      <c r="H50" s="43" t="s">
        <v>67</v>
      </c>
      <c r="I50" s="47"/>
    </row>
    <row r="51" spans="1:9" ht="69.75" customHeight="1">
      <c r="A51" s="53" t="s">
        <v>5</v>
      </c>
      <c r="B51" s="32" t="s">
        <v>7</v>
      </c>
      <c r="C51" s="58" t="s">
        <v>180</v>
      </c>
      <c r="D51" s="41">
        <v>1100</v>
      </c>
      <c r="E51" s="42">
        <f t="shared" si="1"/>
        <v>11.815630909090913</v>
      </c>
      <c r="F51" s="41">
        <f>SUM(D51-129.97194)</f>
        <v>970.02806</v>
      </c>
      <c r="G51" s="41">
        <v>58.765</v>
      </c>
      <c r="H51" s="43" t="s">
        <v>67</v>
      </c>
      <c r="I51" s="47"/>
    </row>
    <row r="52" spans="1:9" ht="67.5" customHeight="1">
      <c r="A52" s="53" t="s">
        <v>5</v>
      </c>
      <c r="B52" s="32" t="s">
        <v>7</v>
      </c>
      <c r="C52" s="58" t="s">
        <v>181</v>
      </c>
      <c r="D52" s="41">
        <v>1200</v>
      </c>
      <c r="E52" s="42">
        <f t="shared" si="1"/>
        <v>11.818135000000012</v>
      </c>
      <c r="F52" s="41">
        <f>SUM(D52-141.81762)</f>
        <v>1058.18238</v>
      </c>
      <c r="G52" s="41">
        <v>58.183</v>
      </c>
      <c r="H52" s="43" t="s">
        <v>67</v>
      </c>
      <c r="I52" s="47"/>
    </row>
    <row r="53" spans="1:9" ht="83.25" customHeight="1">
      <c r="A53" s="53" t="s">
        <v>5</v>
      </c>
      <c r="B53" s="32" t="s">
        <v>7</v>
      </c>
      <c r="C53" s="58" t="s">
        <v>182</v>
      </c>
      <c r="D53" s="41">
        <v>1100</v>
      </c>
      <c r="E53" s="42">
        <f t="shared" si="1"/>
        <v>9.130952727272728</v>
      </c>
      <c r="F53" s="41">
        <f>SUM(D53-100.44048)</f>
        <v>999.55952</v>
      </c>
      <c r="G53" s="41">
        <v>45.634</v>
      </c>
      <c r="H53" s="43" t="s">
        <v>67</v>
      </c>
      <c r="I53" s="47"/>
    </row>
    <row r="54" spans="1:9" ht="68.25" customHeight="1">
      <c r="A54" s="53" t="s">
        <v>5</v>
      </c>
      <c r="B54" s="32" t="s">
        <v>7</v>
      </c>
      <c r="C54" s="56" t="s">
        <v>183</v>
      </c>
      <c r="D54" s="41">
        <f>300+20.647</f>
        <v>320.647</v>
      </c>
      <c r="E54" s="42">
        <f t="shared" si="1"/>
        <v>9.608697414914218</v>
      </c>
      <c r="F54" s="41">
        <f>SUM(D54-30.81)</f>
        <v>289.837</v>
      </c>
      <c r="G54" s="41">
        <v>99.822</v>
      </c>
      <c r="H54" s="43" t="s">
        <v>67</v>
      </c>
      <c r="I54" s="47"/>
    </row>
    <row r="55" spans="1:9" ht="67.5" customHeight="1">
      <c r="A55" s="53" t="s">
        <v>5</v>
      </c>
      <c r="B55" s="32" t="s">
        <v>7</v>
      </c>
      <c r="C55" s="58" t="s">
        <v>184</v>
      </c>
      <c r="D55" s="41">
        <v>3417</v>
      </c>
      <c r="E55" s="42">
        <f t="shared" si="1"/>
        <v>0.024883523558671072</v>
      </c>
      <c r="F55" s="41">
        <f>D55-0.85027</f>
        <v>3416.14973</v>
      </c>
      <c r="G55" s="41">
        <v>176.132</v>
      </c>
      <c r="H55" s="43" t="s">
        <v>67</v>
      </c>
      <c r="I55" s="47"/>
    </row>
    <row r="56" spans="1:9" ht="70.5" customHeight="1">
      <c r="A56" s="158" t="s">
        <v>5</v>
      </c>
      <c r="B56" s="156" t="s">
        <v>7</v>
      </c>
      <c r="C56" s="56" t="s">
        <v>131</v>
      </c>
      <c r="D56" s="41">
        <v>8379.083</v>
      </c>
      <c r="E56" s="42">
        <f t="shared" si="1"/>
        <v>71.83668678302864</v>
      </c>
      <c r="F56" s="41">
        <f>D56-(1388.68+1250+594.39965+183.85879+1020+1166.7+415.61717)</f>
        <v>2359.8273900000004</v>
      </c>
      <c r="G56" s="41">
        <v>1300</v>
      </c>
      <c r="H56" s="154" t="s">
        <v>67</v>
      </c>
      <c r="I56" s="47"/>
    </row>
    <row r="57" spans="1:16" s="40" customFormat="1" ht="30.75" customHeight="1">
      <c r="A57" s="159"/>
      <c r="B57" s="157"/>
      <c r="C57" s="32" t="s">
        <v>170</v>
      </c>
      <c r="D57" s="41"/>
      <c r="E57" s="42"/>
      <c r="F57" s="41"/>
      <c r="G57" s="41">
        <v>44.73</v>
      </c>
      <c r="H57" s="155"/>
      <c r="I57" s="35"/>
      <c r="J57" s="35"/>
      <c r="K57" s="35"/>
      <c r="L57" s="35"/>
      <c r="M57" s="35"/>
      <c r="N57" s="35"/>
      <c r="P57" s="39"/>
    </row>
    <row r="58" spans="1:9" ht="67.5" customHeight="1">
      <c r="A58" s="48">
        <v>15</v>
      </c>
      <c r="B58" s="31" t="s">
        <v>21</v>
      </c>
      <c r="C58" s="49"/>
      <c r="D58" s="33">
        <f>SUM(D59:D61)</f>
        <v>15066.428999999998</v>
      </c>
      <c r="E58" s="50"/>
      <c r="F58" s="33">
        <f>SUM(F59:F61)</f>
        <v>9735.28965</v>
      </c>
      <c r="G58" s="33">
        <f>SUM(G59:G61)</f>
        <v>4537.369</v>
      </c>
      <c r="H58" s="43"/>
      <c r="I58" s="47"/>
    </row>
    <row r="59" spans="1:9" ht="37.5" customHeight="1">
      <c r="A59" s="53" t="s">
        <v>5</v>
      </c>
      <c r="B59" s="32" t="s">
        <v>7</v>
      </c>
      <c r="C59" s="54" t="s">
        <v>117</v>
      </c>
      <c r="D59" s="41">
        <v>5986</v>
      </c>
      <c r="E59" s="42">
        <f>100-(F59/D59)*100</f>
        <v>2.3619413631807475</v>
      </c>
      <c r="F59" s="41">
        <f>D59-141.38581</f>
        <v>5844.61419</v>
      </c>
      <c r="G59" s="41">
        <v>3000</v>
      </c>
      <c r="H59" s="43" t="s">
        <v>67</v>
      </c>
      <c r="I59" s="47"/>
    </row>
    <row r="60" spans="1:9" ht="90" customHeight="1">
      <c r="A60" s="53" t="s">
        <v>5</v>
      </c>
      <c r="B60" s="32" t="s">
        <v>7</v>
      </c>
      <c r="C60" s="32" t="s">
        <v>185</v>
      </c>
      <c r="D60" s="41">
        <v>5314.369</v>
      </c>
      <c r="E60" s="42">
        <f>100-(F60/D60)*100</f>
        <v>42.839537299724576</v>
      </c>
      <c r="F60" s="41">
        <f>4771.974-1734.25609</f>
        <v>3037.7179100000003</v>
      </c>
      <c r="G60" s="41">
        <v>684.413</v>
      </c>
      <c r="H60" s="43" t="s">
        <v>67</v>
      </c>
      <c r="I60" s="47"/>
    </row>
    <row r="61" spans="1:9" ht="66" customHeight="1">
      <c r="A61" s="53" t="s">
        <v>5</v>
      </c>
      <c r="B61" s="32" t="s">
        <v>7</v>
      </c>
      <c r="C61" s="32" t="s">
        <v>186</v>
      </c>
      <c r="D61" s="41">
        <v>3766.06</v>
      </c>
      <c r="E61" s="42">
        <f>100-(F61/D61)*100</f>
        <v>77.35146147432594</v>
      </c>
      <c r="F61" s="41">
        <f>D61-878.841-259.25251-1775.00894</f>
        <v>852.9575500000003</v>
      </c>
      <c r="G61" s="41">
        <v>852.956</v>
      </c>
      <c r="H61" s="43" t="s">
        <v>67</v>
      </c>
      <c r="I61" s="47"/>
    </row>
    <row r="62" spans="1:9" ht="84.75" customHeight="1">
      <c r="A62" s="48">
        <v>32</v>
      </c>
      <c r="B62" s="31" t="s">
        <v>65</v>
      </c>
      <c r="C62" s="49"/>
      <c r="D62" s="33">
        <f>SUM(D63)</f>
        <v>1071.2</v>
      </c>
      <c r="E62" s="42"/>
      <c r="F62" s="33">
        <f>SUM(F63)</f>
        <v>1071.2</v>
      </c>
      <c r="G62" s="33">
        <f>SUM(G63)</f>
        <v>1071.1999999999998</v>
      </c>
      <c r="H62" s="43"/>
      <c r="I62" s="47"/>
    </row>
    <row r="63" spans="1:9" ht="54" customHeight="1">
      <c r="A63" s="53" t="s">
        <v>5</v>
      </c>
      <c r="B63" s="32" t="s">
        <v>7</v>
      </c>
      <c r="C63" s="32" t="s">
        <v>171</v>
      </c>
      <c r="D63" s="41">
        <v>1071.2</v>
      </c>
      <c r="E63" s="42">
        <f>100-(F63/D63)*100</f>
        <v>0</v>
      </c>
      <c r="F63" s="41">
        <f>SUM(D63)</f>
        <v>1071.2</v>
      </c>
      <c r="G63" s="41">
        <f>1573.6-502.4</f>
        <v>1071.1999999999998</v>
      </c>
      <c r="H63" s="43" t="s">
        <v>67</v>
      </c>
      <c r="I63" s="47"/>
    </row>
    <row r="64" spans="1:9" ht="79.5" customHeight="1">
      <c r="A64" s="48">
        <v>40</v>
      </c>
      <c r="B64" s="31" t="s">
        <v>144</v>
      </c>
      <c r="C64" s="32"/>
      <c r="D64" s="33">
        <f>SUM(D65:D147)</f>
        <v>165227.4450000001</v>
      </c>
      <c r="E64" s="50"/>
      <c r="F64" s="33">
        <f>SUM(F65:F147)</f>
        <v>108901.18296999997</v>
      </c>
      <c r="G64" s="33">
        <f>SUM(G65:G148)-G66-G85-G98-G120-G124-G126-G128-G135-G137-G139-G141-G148</f>
        <v>45883.47099999998</v>
      </c>
      <c r="H64" s="43"/>
      <c r="I64" s="47"/>
    </row>
    <row r="65" spans="1:9" ht="50.25" customHeight="1">
      <c r="A65" s="158" t="s">
        <v>5</v>
      </c>
      <c r="B65" s="156" t="s">
        <v>7</v>
      </c>
      <c r="C65" s="32" t="s">
        <v>3</v>
      </c>
      <c r="D65" s="41">
        <v>840</v>
      </c>
      <c r="E65" s="42">
        <f aca="true" t="shared" si="2" ref="E65:E92">100-(F65/D65)*100</f>
        <v>0</v>
      </c>
      <c r="F65" s="41">
        <f>SUM(D65)</f>
        <v>840</v>
      </c>
      <c r="G65" s="41">
        <v>690</v>
      </c>
      <c r="H65" s="154" t="s">
        <v>67</v>
      </c>
      <c r="I65" s="47"/>
    </row>
    <row r="66" spans="1:16" s="40" customFormat="1" ht="34.5" customHeight="1">
      <c r="A66" s="159"/>
      <c r="B66" s="157"/>
      <c r="C66" s="32" t="s">
        <v>170</v>
      </c>
      <c r="D66" s="41"/>
      <c r="E66" s="42"/>
      <c r="F66" s="41"/>
      <c r="G66" s="41">
        <v>4.107</v>
      </c>
      <c r="H66" s="155"/>
      <c r="I66" s="35"/>
      <c r="J66" s="35"/>
      <c r="K66" s="35"/>
      <c r="L66" s="35"/>
      <c r="M66" s="35"/>
      <c r="N66" s="35"/>
      <c r="P66" s="39"/>
    </row>
    <row r="67" spans="1:9" ht="84.75" customHeight="1">
      <c r="A67" s="53" t="s">
        <v>5</v>
      </c>
      <c r="B67" s="32" t="s">
        <v>7</v>
      </c>
      <c r="C67" s="32" t="s">
        <v>187</v>
      </c>
      <c r="D67" s="41">
        <v>1512</v>
      </c>
      <c r="E67" s="42">
        <f t="shared" si="2"/>
        <v>39.27824338624338</v>
      </c>
      <c r="F67" s="41">
        <f>D67-509.5064-84.38064</f>
        <v>918.11296</v>
      </c>
      <c r="G67" s="41">
        <v>24.866</v>
      </c>
      <c r="H67" s="43" t="s">
        <v>67</v>
      </c>
      <c r="I67" s="47"/>
    </row>
    <row r="68" spans="1:9" ht="54.75" customHeight="1">
      <c r="A68" s="53" t="s">
        <v>5</v>
      </c>
      <c r="B68" s="32" t="s">
        <v>7</v>
      </c>
      <c r="C68" s="32" t="s">
        <v>188</v>
      </c>
      <c r="D68" s="41">
        <v>800</v>
      </c>
      <c r="E68" s="42">
        <f t="shared" si="2"/>
        <v>0.27025374999999485</v>
      </c>
      <c r="F68" s="41">
        <f>D68-2.16203</f>
        <v>797.83797</v>
      </c>
      <c r="G68" s="41">
        <v>79.479</v>
      </c>
      <c r="H68" s="43" t="s">
        <v>67</v>
      </c>
      <c r="I68" s="47"/>
    </row>
    <row r="69" spans="1:9" ht="68.25" customHeight="1">
      <c r="A69" s="53" t="s">
        <v>5</v>
      </c>
      <c r="B69" s="32" t="s">
        <v>7</v>
      </c>
      <c r="C69" s="32" t="s">
        <v>189</v>
      </c>
      <c r="D69" s="41">
        <v>2667.701</v>
      </c>
      <c r="E69" s="42">
        <f t="shared" si="2"/>
        <v>28.663713062295955</v>
      </c>
      <c r="F69" s="41">
        <f>D69-173.115-591.54716</f>
        <v>1903.0388400000002</v>
      </c>
      <c r="G69" s="41">
        <v>4.775</v>
      </c>
      <c r="H69" s="43" t="s">
        <v>67</v>
      </c>
      <c r="I69" s="47"/>
    </row>
    <row r="70" spans="1:9" ht="54.75" customHeight="1">
      <c r="A70" s="53" t="s">
        <v>5</v>
      </c>
      <c r="B70" s="32" t="s">
        <v>7</v>
      </c>
      <c r="C70" s="54" t="s">
        <v>190</v>
      </c>
      <c r="D70" s="41">
        <v>822.602</v>
      </c>
      <c r="E70" s="42">
        <f t="shared" si="2"/>
        <v>58.667800467297674</v>
      </c>
      <c r="F70" s="41">
        <f>SUM(D70-463.8061-18.7964)</f>
        <v>339.99949999999995</v>
      </c>
      <c r="G70" s="41">
        <v>0.297</v>
      </c>
      <c r="H70" s="43" t="s">
        <v>67</v>
      </c>
      <c r="I70" s="47"/>
    </row>
    <row r="71" spans="1:9" ht="52.5" customHeight="1">
      <c r="A71" s="53" t="s">
        <v>5</v>
      </c>
      <c r="B71" s="32" t="s">
        <v>7</v>
      </c>
      <c r="C71" s="54" t="s">
        <v>191</v>
      </c>
      <c r="D71" s="41">
        <v>610.807</v>
      </c>
      <c r="E71" s="42">
        <f t="shared" si="2"/>
        <v>52.566448976517954</v>
      </c>
      <c r="F71" s="41">
        <f>467.855-178.12755</f>
        <v>289.72745</v>
      </c>
      <c r="G71" s="41">
        <v>0.419</v>
      </c>
      <c r="H71" s="43" t="s">
        <v>67</v>
      </c>
      <c r="I71" s="47"/>
    </row>
    <row r="72" spans="1:9" ht="55.5" customHeight="1">
      <c r="A72" s="53" t="s">
        <v>5</v>
      </c>
      <c r="B72" s="32" t="s">
        <v>7</v>
      </c>
      <c r="C72" s="54" t="s">
        <v>192</v>
      </c>
      <c r="D72" s="41">
        <v>294</v>
      </c>
      <c r="E72" s="42">
        <f t="shared" si="2"/>
        <v>47.73405782312924</v>
      </c>
      <c r="F72" s="41">
        <f>207.8-54.13813</f>
        <v>153.66187000000002</v>
      </c>
      <c r="G72" s="41">
        <v>0.297</v>
      </c>
      <c r="H72" s="43" t="s">
        <v>67</v>
      </c>
      <c r="I72" s="47"/>
    </row>
    <row r="73" spans="1:9" ht="53.25" customHeight="1">
      <c r="A73" s="53" t="s">
        <v>5</v>
      </c>
      <c r="B73" s="32" t="s">
        <v>7</v>
      </c>
      <c r="C73" s="54" t="s">
        <v>193</v>
      </c>
      <c r="D73" s="41">
        <v>298.864</v>
      </c>
      <c r="E73" s="42">
        <f t="shared" si="2"/>
        <v>83.58739092028482</v>
      </c>
      <c r="F73" s="41">
        <f>SUM(D73-249.81262)</f>
        <v>49.051379999999966</v>
      </c>
      <c r="G73" s="41">
        <v>28.752</v>
      </c>
      <c r="H73" s="43" t="s">
        <v>67</v>
      </c>
      <c r="I73" s="47"/>
    </row>
    <row r="74" spans="1:9" ht="51.75" customHeight="1">
      <c r="A74" s="53" t="s">
        <v>5</v>
      </c>
      <c r="B74" s="32" t="s">
        <v>7</v>
      </c>
      <c r="C74" s="54" t="s">
        <v>194</v>
      </c>
      <c r="D74" s="41">
        <v>26.666</v>
      </c>
      <c r="E74" s="42">
        <f t="shared" si="2"/>
        <v>0</v>
      </c>
      <c r="F74" s="41">
        <v>26.666</v>
      </c>
      <c r="G74" s="41">
        <v>3.74</v>
      </c>
      <c r="H74" s="43" t="s">
        <v>67</v>
      </c>
      <c r="I74" s="47"/>
    </row>
    <row r="75" spans="1:9" ht="57" customHeight="1">
      <c r="A75" s="53" t="s">
        <v>5</v>
      </c>
      <c r="B75" s="32" t="s">
        <v>7</v>
      </c>
      <c r="C75" s="54" t="s">
        <v>195</v>
      </c>
      <c r="D75" s="41">
        <v>26.666</v>
      </c>
      <c r="E75" s="42">
        <f t="shared" si="2"/>
        <v>0</v>
      </c>
      <c r="F75" s="41">
        <v>26.666</v>
      </c>
      <c r="G75" s="41">
        <v>4.346</v>
      </c>
      <c r="H75" s="43" t="s">
        <v>67</v>
      </c>
      <c r="I75" s="47"/>
    </row>
    <row r="76" spans="1:9" ht="51" customHeight="1">
      <c r="A76" s="53" t="s">
        <v>5</v>
      </c>
      <c r="B76" s="32" t="s">
        <v>7</v>
      </c>
      <c r="C76" s="54" t="s">
        <v>196</v>
      </c>
      <c r="D76" s="41">
        <v>26.666</v>
      </c>
      <c r="E76" s="42">
        <f t="shared" si="2"/>
        <v>0</v>
      </c>
      <c r="F76" s="41">
        <v>26.666</v>
      </c>
      <c r="G76" s="41">
        <v>3.942</v>
      </c>
      <c r="H76" s="43" t="s">
        <v>67</v>
      </c>
      <c r="I76" s="47"/>
    </row>
    <row r="77" spans="1:9" ht="51.75" customHeight="1">
      <c r="A77" s="53" t="s">
        <v>5</v>
      </c>
      <c r="B77" s="32" t="s">
        <v>7</v>
      </c>
      <c r="C77" s="54" t="s">
        <v>197</v>
      </c>
      <c r="D77" s="41">
        <v>26.666</v>
      </c>
      <c r="E77" s="42">
        <f t="shared" si="2"/>
        <v>0</v>
      </c>
      <c r="F77" s="41">
        <v>26.666</v>
      </c>
      <c r="G77" s="41">
        <v>3.74</v>
      </c>
      <c r="H77" s="43" t="s">
        <v>67</v>
      </c>
      <c r="I77" s="47"/>
    </row>
    <row r="78" spans="1:9" ht="55.5" customHeight="1">
      <c r="A78" s="53" t="s">
        <v>5</v>
      </c>
      <c r="B78" s="32" t="s">
        <v>7</v>
      </c>
      <c r="C78" s="54" t="s">
        <v>198</v>
      </c>
      <c r="D78" s="41">
        <v>26.666</v>
      </c>
      <c r="E78" s="42">
        <f t="shared" si="2"/>
        <v>0</v>
      </c>
      <c r="F78" s="41">
        <v>26.666</v>
      </c>
      <c r="G78" s="41">
        <v>3.74</v>
      </c>
      <c r="H78" s="43" t="s">
        <v>67</v>
      </c>
      <c r="I78" s="47"/>
    </row>
    <row r="79" spans="1:9" ht="55.5" customHeight="1">
      <c r="A79" s="53" t="s">
        <v>5</v>
      </c>
      <c r="B79" s="32" t="s">
        <v>7</v>
      </c>
      <c r="C79" s="54" t="s">
        <v>199</v>
      </c>
      <c r="D79" s="41">
        <v>26.666</v>
      </c>
      <c r="E79" s="42">
        <f t="shared" si="2"/>
        <v>0</v>
      </c>
      <c r="F79" s="41">
        <v>26.666</v>
      </c>
      <c r="G79" s="41">
        <v>4.548</v>
      </c>
      <c r="H79" s="43" t="s">
        <v>67</v>
      </c>
      <c r="I79" s="47"/>
    </row>
    <row r="80" spans="1:9" ht="51" customHeight="1">
      <c r="A80" s="53" t="s">
        <v>5</v>
      </c>
      <c r="B80" s="32" t="s">
        <v>7</v>
      </c>
      <c r="C80" s="54" t="s">
        <v>200</v>
      </c>
      <c r="D80" s="41">
        <v>26.666</v>
      </c>
      <c r="E80" s="42">
        <f t="shared" si="2"/>
        <v>0</v>
      </c>
      <c r="F80" s="41">
        <v>26.666</v>
      </c>
      <c r="G80" s="41">
        <v>4.952</v>
      </c>
      <c r="H80" s="43" t="s">
        <v>67</v>
      </c>
      <c r="I80" s="47"/>
    </row>
    <row r="81" spans="1:9" ht="49.5" customHeight="1">
      <c r="A81" s="53" t="s">
        <v>5</v>
      </c>
      <c r="B81" s="32" t="s">
        <v>7</v>
      </c>
      <c r="C81" s="54" t="s">
        <v>201</v>
      </c>
      <c r="D81" s="41">
        <v>26.666</v>
      </c>
      <c r="E81" s="42">
        <f t="shared" si="2"/>
        <v>0</v>
      </c>
      <c r="F81" s="41">
        <v>26.666</v>
      </c>
      <c r="G81" s="41">
        <v>4.548</v>
      </c>
      <c r="H81" s="43" t="s">
        <v>67</v>
      </c>
      <c r="I81" s="47"/>
    </row>
    <row r="82" spans="1:9" ht="53.25" customHeight="1">
      <c r="A82" s="53" t="s">
        <v>5</v>
      </c>
      <c r="B82" s="32" t="s">
        <v>7</v>
      </c>
      <c r="C82" s="54" t="s">
        <v>202</v>
      </c>
      <c r="D82" s="41">
        <v>26.666</v>
      </c>
      <c r="E82" s="42">
        <f t="shared" si="2"/>
        <v>0</v>
      </c>
      <c r="F82" s="41">
        <v>26.666</v>
      </c>
      <c r="G82" s="41">
        <v>4.548</v>
      </c>
      <c r="H82" s="43" t="s">
        <v>67</v>
      </c>
      <c r="I82" s="47"/>
    </row>
    <row r="83" spans="1:9" ht="72.75" customHeight="1">
      <c r="A83" s="53" t="s">
        <v>5</v>
      </c>
      <c r="B83" s="32" t="s">
        <v>7</v>
      </c>
      <c r="C83" s="54" t="s">
        <v>203</v>
      </c>
      <c r="D83" s="41">
        <v>4548.06</v>
      </c>
      <c r="E83" s="42">
        <f t="shared" si="2"/>
        <v>0.031089079739501813</v>
      </c>
      <c r="F83" s="41">
        <f>SUM(D83-1.41395)</f>
        <v>4546.64605</v>
      </c>
      <c r="G83" s="41">
        <v>3.3</v>
      </c>
      <c r="H83" s="43" t="s">
        <v>67</v>
      </c>
      <c r="I83" s="47"/>
    </row>
    <row r="84" spans="1:9" ht="56.25" customHeight="1">
      <c r="A84" s="167" t="s">
        <v>5</v>
      </c>
      <c r="B84" s="156" t="s">
        <v>7</v>
      </c>
      <c r="C84" s="32" t="s">
        <v>36</v>
      </c>
      <c r="D84" s="41">
        <v>3116.841</v>
      </c>
      <c r="E84" s="42">
        <f t="shared" si="2"/>
        <v>31.834597273328995</v>
      </c>
      <c r="F84" s="41">
        <f>D84-87-905.23378</f>
        <v>2124.60722</v>
      </c>
      <c r="G84" s="41">
        <v>1607.172</v>
      </c>
      <c r="H84" s="154" t="s">
        <v>67</v>
      </c>
      <c r="I84" s="47"/>
    </row>
    <row r="85" spans="1:16" s="40" customFormat="1" ht="30.75" customHeight="1">
      <c r="A85" s="168"/>
      <c r="B85" s="157"/>
      <c r="C85" s="32" t="s">
        <v>170</v>
      </c>
      <c r="D85" s="41"/>
      <c r="E85" s="42"/>
      <c r="F85" s="41"/>
      <c r="G85" s="41">
        <v>202.866</v>
      </c>
      <c r="H85" s="155"/>
      <c r="I85" s="35"/>
      <c r="J85" s="35"/>
      <c r="K85" s="35"/>
      <c r="L85" s="35"/>
      <c r="M85" s="35"/>
      <c r="N85" s="35"/>
      <c r="P85" s="39"/>
    </row>
    <row r="86" spans="1:9" ht="37.5" customHeight="1">
      <c r="A86" s="30" t="s">
        <v>5</v>
      </c>
      <c r="B86" s="32" t="s">
        <v>7</v>
      </c>
      <c r="C86" s="32" t="s">
        <v>41</v>
      </c>
      <c r="D86" s="41">
        <v>2560.483</v>
      </c>
      <c r="E86" s="42">
        <f t="shared" si="2"/>
        <v>0.25758616636001364</v>
      </c>
      <c r="F86" s="41">
        <f>D86-6.59545</f>
        <v>2553.8875500000004</v>
      </c>
      <c r="G86" s="41">
        <v>1510</v>
      </c>
      <c r="H86" s="43" t="s">
        <v>67</v>
      </c>
      <c r="I86" s="47"/>
    </row>
    <row r="87" spans="1:9" ht="37.5" customHeight="1">
      <c r="A87" s="30" t="s">
        <v>5</v>
      </c>
      <c r="B87" s="32" t="s">
        <v>7</v>
      </c>
      <c r="C87" s="32" t="s">
        <v>120</v>
      </c>
      <c r="D87" s="41">
        <v>742.773</v>
      </c>
      <c r="E87" s="42">
        <f t="shared" si="2"/>
        <v>0</v>
      </c>
      <c r="F87" s="41">
        <f>D87</f>
        <v>742.773</v>
      </c>
      <c r="G87" s="41">
        <v>742.773</v>
      </c>
      <c r="H87" s="43" t="s">
        <v>67</v>
      </c>
      <c r="I87" s="47"/>
    </row>
    <row r="88" spans="1:9" ht="51.75" customHeight="1">
      <c r="A88" s="53" t="s">
        <v>5</v>
      </c>
      <c r="B88" s="32" t="s">
        <v>7</v>
      </c>
      <c r="C88" s="32" t="s">
        <v>122</v>
      </c>
      <c r="D88" s="41">
        <v>560</v>
      </c>
      <c r="E88" s="42">
        <f>100-(F88/D88)*100</f>
        <v>0</v>
      </c>
      <c r="F88" s="41">
        <f>D88</f>
        <v>560</v>
      </c>
      <c r="G88" s="41">
        <v>560</v>
      </c>
      <c r="H88" s="43" t="s">
        <v>67</v>
      </c>
      <c r="I88" s="47"/>
    </row>
    <row r="89" spans="1:9" ht="51.75" customHeight="1">
      <c r="A89" s="53" t="s">
        <v>5</v>
      </c>
      <c r="B89" s="32" t="s">
        <v>7</v>
      </c>
      <c r="C89" s="151" t="s">
        <v>149</v>
      </c>
      <c r="D89" s="41">
        <v>302.611</v>
      </c>
      <c r="E89" s="42">
        <f>100-(F89/D89)*100</f>
        <v>0</v>
      </c>
      <c r="F89" s="41">
        <f>D89</f>
        <v>302.611</v>
      </c>
      <c r="G89" s="41">
        <v>302.611</v>
      </c>
      <c r="H89" s="43" t="s">
        <v>67</v>
      </c>
      <c r="I89" s="47"/>
    </row>
    <row r="90" spans="1:9" ht="36" customHeight="1">
      <c r="A90" s="53" t="s">
        <v>5</v>
      </c>
      <c r="B90" s="32" t="s">
        <v>7</v>
      </c>
      <c r="C90" s="32" t="s">
        <v>15</v>
      </c>
      <c r="D90" s="41">
        <v>3231.882</v>
      </c>
      <c r="E90" s="42">
        <f t="shared" si="2"/>
        <v>68.55799035979655</v>
      </c>
      <c r="F90" s="41">
        <f>D90-(2144.946+70.76735)</f>
        <v>1016.1686500000001</v>
      </c>
      <c r="G90" s="41">
        <v>300</v>
      </c>
      <c r="H90" s="43" t="s">
        <v>67</v>
      </c>
      <c r="I90" s="47"/>
    </row>
    <row r="91" spans="1:9" ht="51.75" customHeight="1">
      <c r="A91" s="53" t="s">
        <v>5</v>
      </c>
      <c r="B91" s="32" t="s">
        <v>7</v>
      </c>
      <c r="C91" s="32" t="s">
        <v>14</v>
      </c>
      <c r="D91" s="41">
        <v>2897.411</v>
      </c>
      <c r="E91" s="42">
        <f t="shared" si="2"/>
        <v>8.099196144419963</v>
      </c>
      <c r="F91" s="41">
        <f>D91-234.667</f>
        <v>2662.744</v>
      </c>
      <c r="G91" s="41">
        <v>900</v>
      </c>
      <c r="H91" s="43" t="s">
        <v>67</v>
      </c>
      <c r="I91" s="47"/>
    </row>
    <row r="92" spans="1:9" ht="34.5" customHeight="1">
      <c r="A92" s="53" t="s">
        <v>5</v>
      </c>
      <c r="B92" s="32" t="s">
        <v>7</v>
      </c>
      <c r="C92" s="32" t="s">
        <v>142</v>
      </c>
      <c r="D92" s="41">
        <v>140</v>
      </c>
      <c r="E92" s="42">
        <f t="shared" si="2"/>
        <v>0</v>
      </c>
      <c r="F92" s="41">
        <f>D92</f>
        <v>140</v>
      </c>
      <c r="G92" s="41">
        <v>140</v>
      </c>
      <c r="H92" s="43" t="s">
        <v>67</v>
      </c>
      <c r="I92" s="47"/>
    </row>
    <row r="93" spans="1:9" ht="34.5" customHeight="1">
      <c r="A93" s="53" t="s">
        <v>5</v>
      </c>
      <c r="B93" s="32" t="s">
        <v>7</v>
      </c>
      <c r="C93" s="32" t="s">
        <v>118</v>
      </c>
      <c r="D93" s="41">
        <v>8515.4</v>
      </c>
      <c r="E93" s="42">
        <f>100-(F93/D93)*100</f>
        <v>48.250228996876245</v>
      </c>
      <c r="F93" s="41">
        <f>D93-4108.7</f>
        <v>4406.7</v>
      </c>
      <c r="G93" s="41">
        <v>4406.7</v>
      </c>
      <c r="H93" s="43" t="s">
        <v>67</v>
      </c>
      <c r="I93" s="47"/>
    </row>
    <row r="94" spans="1:9" ht="30" customHeight="1">
      <c r="A94" s="53" t="s">
        <v>5</v>
      </c>
      <c r="B94" s="32" t="s">
        <v>7</v>
      </c>
      <c r="C94" s="32" t="s">
        <v>119</v>
      </c>
      <c r="D94" s="41">
        <v>1487.5</v>
      </c>
      <c r="E94" s="42">
        <f>100-(F94/D94)*100</f>
        <v>0</v>
      </c>
      <c r="F94" s="41">
        <v>1487.5</v>
      </c>
      <c r="G94" s="41">
        <v>1487.5</v>
      </c>
      <c r="H94" s="43" t="s">
        <v>67</v>
      </c>
      <c r="I94" s="47"/>
    </row>
    <row r="95" spans="1:9" ht="56.25" customHeight="1">
      <c r="A95" s="53" t="s">
        <v>5</v>
      </c>
      <c r="B95" s="32" t="s">
        <v>7</v>
      </c>
      <c r="C95" s="54" t="s">
        <v>121</v>
      </c>
      <c r="D95" s="41">
        <v>2921.18</v>
      </c>
      <c r="E95" s="42">
        <f>100-(F95/D95)*100</f>
        <v>0</v>
      </c>
      <c r="F95" s="41">
        <f>D95</f>
        <v>2921.18</v>
      </c>
      <c r="G95" s="41">
        <v>2921.18</v>
      </c>
      <c r="H95" s="43" t="s">
        <v>67</v>
      </c>
      <c r="I95" s="47"/>
    </row>
    <row r="96" spans="1:9" ht="59.25" customHeight="1">
      <c r="A96" s="53" t="s">
        <v>5</v>
      </c>
      <c r="B96" s="32" t="s">
        <v>7</v>
      </c>
      <c r="C96" s="32" t="s">
        <v>147</v>
      </c>
      <c r="D96" s="41">
        <v>3867.61</v>
      </c>
      <c r="E96" s="42">
        <f>100-(F96/D96)*100</f>
        <v>0</v>
      </c>
      <c r="F96" s="41">
        <f>D96</f>
        <v>3867.61</v>
      </c>
      <c r="G96" s="41">
        <v>3867.61</v>
      </c>
      <c r="H96" s="43" t="s">
        <v>67</v>
      </c>
      <c r="I96" s="47"/>
    </row>
    <row r="97" spans="1:9" ht="36" customHeight="1">
      <c r="A97" s="158" t="s">
        <v>5</v>
      </c>
      <c r="B97" s="156" t="s">
        <v>7</v>
      </c>
      <c r="C97" s="32" t="s">
        <v>26</v>
      </c>
      <c r="D97" s="41">
        <v>33418</v>
      </c>
      <c r="E97" s="42">
        <f>100-(F97/D97)*100</f>
        <v>67.82570928840745</v>
      </c>
      <c r="F97" s="41">
        <f>D97-(18568.25313+3853.69996+244.04244)</f>
        <v>10752.004469999996</v>
      </c>
      <c r="G97" s="41">
        <v>5349.747</v>
      </c>
      <c r="H97" s="154"/>
      <c r="I97" s="47"/>
    </row>
    <row r="98" spans="1:16" s="40" customFormat="1" ht="30.75" customHeight="1">
      <c r="A98" s="159"/>
      <c r="B98" s="157"/>
      <c r="C98" s="32" t="s">
        <v>170</v>
      </c>
      <c r="D98" s="41"/>
      <c r="E98" s="42"/>
      <c r="F98" s="41"/>
      <c r="G98" s="41">
        <v>95.779</v>
      </c>
      <c r="H98" s="155"/>
      <c r="I98" s="35"/>
      <c r="J98" s="35"/>
      <c r="K98" s="35"/>
      <c r="L98" s="35"/>
      <c r="M98" s="35"/>
      <c r="N98" s="35"/>
      <c r="P98" s="39"/>
    </row>
    <row r="99" spans="1:9" ht="81" customHeight="1">
      <c r="A99" s="53" t="s">
        <v>5</v>
      </c>
      <c r="B99" s="32" t="s">
        <v>7</v>
      </c>
      <c r="C99" s="32" t="s">
        <v>204</v>
      </c>
      <c r="D99" s="41">
        <v>51.997</v>
      </c>
      <c r="E99" s="42">
        <f>100-(F99/D99)*100</f>
        <v>1.1441429313229605</v>
      </c>
      <c r="F99" s="41">
        <f>51.997-0.59492</f>
        <v>51.40208</v>
      </c>
      <c r="G99" s="41">
        <v>10.661</v>
      </c>
      <c r="H99" s="43"/>
      <c r="I99" s="47"/>
    </row>
    <row r="100" spans="1:9" ht="73.5" customHeight="1">
      <c r="A100" s="53" t="s">
        <v>5</v>
      </c>
      <c r="B100" s="32" t="s">
        <v>7</v>
      </c>
      <c r="C100" s="32" t="s">
        <v>205</v>
      </c>
      <c r="D100" s="41">
        <v>44.962</v>
      </c>
      <c r="E100" s="42">
        <f aca="true" t="shared" si="3" ref="E100:E108">100-(F100/D100)*100</f>
        <v>1.9837195854276928</v>
      </c>
      <c r="F100" s="41">
        <f>44.962-0.89192</f>
        <v>44.070080000000004</v>
      </c>
      <c r="G100" s="41">
        <v>10.766</v>
      </c>
      <c r="H100" s="43"/>
      <c r="I100" s="47"/>
    </row>
    <row r="101" spans="1:9" ht="52.5" customHeight="1">
      <c r="A101" s="53" t="s">
        <v>5</v>
      </c>
      <c r="B101" s="32" t="s">
        <v>7</v>
      </c>
      <c r="C101" s="32" t="s">
        <v>206</v>
      </c>
      <c r="D101" s="57">
        <v>20.278</v>
      </c>
      <c r="E101" s="59">
        <f t="shared" si="3"/>
        <v>0</v>
      </c>
      <c r="F101" s="57">
        <f>SUM(D101)</f>
        <v>20.278</v>
      </c>
      <c r="G101" s="41">
        <v>7.492</v>
      </c>
      <c r="H101" s="43"/>
      <c r="I101" s="47"/>
    </row>
    <row r="102" spans="1:9" ht="52.5" customHeight="1">
      <c r="A102" s="53" t="s">
        <v>5</v>
      </c>
      <c r="B102" s="32" t="s">
        <v>7</v>
      </c>
      <c r="C102" s="32" t="s">
        <v>207</v>
      </c>
      <c r="D102" s="57">
        <v>21.328</v>
      </c>
      <c r="E102" s="59">
        <f t="shared" si="3"/>
        <v>0</v>
      </c>
      <c r="F102" s="57">
        <f>SUM(D102)</f>
        <v>21.328</v>
      </c>
      <c r="G102" s="41">
        <v>7.492</v>
      </c>
      <c r="H102" s="43"/>
      <c r="I102" s="47"/>
    </row>
    <row r="103" spans="1:9" ht="50.25" customHeight="1">
      <c r="A103" s="53" t="s">
        <v>5</v>
      </c>
      <c r="B103" s="32" t="s">
        <v>7</v>
      </c>
      <c r="C103" s="58" t="s">
        <v>208</v>
      </c>
      <c r="D103" s="57">
        <v>16.744</v>
      </c>
      <c r="E103" s="59">
        <f t="shared" si="3"/>
        <v>0</v>
      </c>
      <c r="F103" s="57">
        <f>SUM(D103)</f>
        <v>16.744</v>
      </c>
      <c r="G103" s="41">
        <v>7.492</v>
      </c>
      <c r="H103" s="43"/>
      <c r="I103" s="47"/>
    </row>
    <row r="104" spans="1:9" ht="58.5" customHeight="1">
      <c r="A104" s="53" t="s">
        <v>5</v>
      </c>
      <c r="B104" s="32" t="s">
        <v>7</v>
      </c>
      <c r="C104" s="58" t="s">
        <v>209</v>
      </c>
      <c r="D104" s="57">
        <v>16.014</v>
      </c>
      <c r="E104" s="59">
        <f t="shared" si="3"/>
        <v>0</v>
      </c>
      <c r="F104" s="57">
        <f>SUM(D104)</f>
        <v>16.014</v>
      </c>
      <c r="G104" s="41">
        <v>7.492</v>
      </c>
      <c r="H104" s="43"/>
      <c r="I104" s="47"/>
    </row>
    <row r="105" spans="1:9" ht="66.75" customHeight="1">
      <c r="A105" s="53" t="s">
        <v>5</v>
      </c>
      <c r="B105" s="32" t="s">
        <v>7</v>
      </c>
      <c r="C105" s="32" t="s">
        <v>210</v>
      </c>
      <c r="D105" s="41">
        <v>465</v>
      </c>
      <c r="E105" s="42">
        <f t="shared" si="3"/>
        <v>93.69531827956989</v>
      </c>
      <c r="F105" s="41">
        <f>D105-(79.512+136.904+219.26723)</f>
        <v>29.31677000000002</v>
      </c>
      <c r="G105" s="41">
        <v>23.974</v>
      </c>
      <c r="H105" s="43" t="s">
        <v>67</v>
      </c>
      <c r="I105" s="47"/>
    </row>
    <row r="106" spans="1:9" ht="69.75" customHeight="1">
      <c r="A106" s="53" t="s">
        <v>5</v>
      </c>
      <c r="B106" s="32" t="s">
        <v>7</v>
      </c>
      <c r="C106" s="32" t="s">
        <v>211</v>
      </c>
      <c r="D106" s="41">
        <v>1250.888</v>
      </c>
      <c r="E106" s="42">
        <f t="shared" si="3"/>
        <v>93.9038682919654</v>
      </c>
      <c r="F106" s="41">
        <f>SUM(D106-98.21146-96.41545-283.54791-696.4574)</f>
        <v>76.25577999999996</v>
      </c>
      <c r="G106" s="41">
        <v>0.877</v>
      </c>
      <c r="H106" s="43" t="s">
        <v>67</v>
      </c>
      <c r="I106" s="47"/>
    </row>
    <row r="107" spans="1:9" ht="55.5" customHeight="1">
      <c r="A107" s="53" t="s">
        <v>5</v>
      </c>
      <c r="B107" s="32" t="s">
        <v>7</v>
      </c>
      <c r="C107" s="32" t="s">
        <v>212</v>
      </c>
      <c r="D107" s="41">
        <f>430+31.406</f>
        <v>461.406</v>
      </c>
      <c r="E107" s="42">
        <f t="shared" si="3"/>
        <v>90.09233299957087</v>
      </c>
      <c r="F107" s="41">
        <f>D107-(60.3528+37.0812+318.25743)</f>
        <v>45.71457000000004</v>
      </c>
      <c r="G107" s="41">
        <v>25.426</v>
      </c>
      <c r="H107" s="43" t="s">
        <v>67</v>
      </c>
      <c r="I107" s="47"/>
    </row>
    <row r="108" spans="1:9" ht="108" customHeight="1">
      <c r="A108" s="53" t="s">
        <v>5</v>
      </c>
      <c r="B108" s="32" t="s">
        <v>7</v>
      </c>
      <c r="C108" s="32" t="s">
        <v>213</v>
      </c>
      <c r="D108" s="41">
        <v>2800</v>
      </c>
      <c r="E108" s="42">
        <f t="shared" si="3"/>
        <v>10.38021071428571</v>
      </c>
      <c r="F108" s="41">
        <f>D108-106.63782-184.00808</f>
        <v>2509.3541</v>
      </c>
      <c r="G108" s="41">
        <v>3.8</v>
      </c>
      <c r="H108" s="43" t="s">
        <v>67</v>
      </c>
      <c r="I108" s="47"/>
    </row>
    <row r="109" spans="1:9" ht="53.25" customHeight="1">
      <c r="A109" s="53" t="s">
        <v>5</v>
      </c>
      <c r="B109" s="32" t="s">
        <v>7</v>
      </c>
      <c r="C109" s="32" t="s">
        <v>214</v>
      </c>
      <c r="D109" s="41">
        <v>2037.432</v>
      </c>
      <c r="E109" s="42">
        <f>100-(F109/D109)*100</f>
        <v>10.877863899261428</v>
      </c>
      <c r="F109" s="41">
        <f>D109-75.93782-145.69126</f>
        <v>1815.8029199999999</v>
      </c>
      <c r="G109" s="41">
        <v>31.788</v>
      </c>
      <c r="H109" s="43" t="s">
        <v>67</v>
      </c>
      <c r="I109" s="47"/>
    </row>
    <row r="110" spans="1:9" ht="72" customHeight="1">
      <c r="A110" s="53" t="s">
        <v>5</v>
      </c>
      <c r="B110" s="32" t="s">
        <v>7</v>
      </c>
      <c r="C110" s="32" t="s">
        <v>215</v>
      </c>
      <c r="D110" s="41">
        <v>4500</v>
      </c>
      <c r="E110" s="42">
        <f>100-(F110/D110)*100</f>
        <v>6.00868088888889</v>
      </c>
      <c r="F110" s="41">
        <f>D110-169.644-100.74664</f>
        <v>4229.6093599999995</v>
      </c>
      <c r="G110" s="41">
        <v>35.675</v>
      </c>
      <c r="H110" s="43" t="s">
        <v>67</v>
      </c>
      <c r="I110" s="47"/>
    </row>
    <row r="111" spans="1:9" ht="66.75" customHeight="1">
      <c r="A111" s="53" t="s">
        <v>5</v>
      </c>
      <c r="B111" s="32" t="s">
        <v>7</v>
      </c>
      <c r="C111" s="32" t="s">
        <v>216</v>
      </c>
      <c r="D111" s="41">
        <v>1951.998</v>
      </c>
      <c r="E111" s="42">
        <f>100-(F111/D111)*100</f>
        <v>9.73150536014893</v>
      </c>
      <c r="F111" s="41">
        <f>D111-83.80703-106.15176</f>
        <v>1762.0392100000001</v>
      </c>
      <c r="G111" s="41">
        <v>9.117</v>
      </c>
      <c r="H111" s="43" t="s">
        <v>67</v>
      </c>
      <c r="I111" s="47"/>
    </row>
    <row r="112" spans="1:9" ht="66" customHeight="1">
      <c r="A112" s="53" t="s">
        <v>5</v>
      </c>
      <c r="B112" s="32" t="s">
        <v>7</v>
      </c>
      <c r="C112" s="32" t="s">
        <v>217</v>
      </c>
      <c r="D112" s="41">
        <v>325</v>
      </c>
      <c r="E112" s="42">
        <f>100-(F112/D112)*100</f>
        <v>82.55239384615385</v>
      </c>
      <c r="F112" s="41">
        <f>D112-268.29528</f>
        <v>56.70472000000001</v>
      </c>
      <c r="G112" s="41">
        <v>0.539</v>
      </c>
      <c r="H112" s="43" t="s">
        <v>67</v>
      </c>
      <c r="I112" s="47"/>
    </row>
    <row r="113" spans="1:9" ht="72.75" customHeight="1">
      <c r="A113" s="53" t="s">
        <v>5</v>
      </c>
      <c r="B113" s="32" t="s">
        <v>7</v>
      </c>
      <c r="C113" s="32" t="s">
        <v>218</v>
      </c>
      <c r="D113" s="41">
        <v>29998.001</v>
      </c>
      <c r="E113" s="46">
        <v>0</v>
      </c>
      <c r="F113" s="41">
        <f>SUM(D113-2968.98013-13451.95099-271.10955)</f>
        <v>13305.960330000002</v>
      </c>
      <c r="G113" s="41">
        <v>32.901</v>
      </c>
      <c r="H113" s="43" t="s">
        <v>67</v>
      </c>
      <c r="I113" s="47"/>
    </row>
    <row r="114" spans="1:9" ht="72.75" customHeight="1">
      <c r="A114" s="53" t="s">
        <v>5</v>
      </c>
      <c r="B114" s="32" t="s">
        <v>7</v>
      </c>
      <c r="C114" s="32" t="s">
        <v>219</v>
      </c>
      <c r="D114" s="41">
        <v>999.986</v>
      </c>
      <c r="E114" s="42">
        <f aca="true" t="shared" si="4" ref="E114:E122">100-(F114/D114)*100</f>
        <v>4.585515197212757</v>
      </c>
      <c r="F114" s="41">
        <f>SUM(D114-45.85451)</f>
        <v>954.13149</v>
      </c>
      <c r="G114" s="41">
        <v>1.507</v>
      </c>
      <c r="H114" s="43" t="s">
        <v>67</v>
      </c>
      <c r="I114" s="47"/>
    </row>
    <row r="115" spans="1:9" ht="67.5" customHeight="1">
      <c r="A115" s="53" t="s">
        <v>5</v>
      </c>
      <c r="B115" s="32" t="s">
        <v>7</v>
      </c>
      <c r="C115" s="32" t="s">
        <v>220</v>
      </c>
      <c r="D115" s="41">
        <v>987.421</v>
      </c>
      <c r="E115" s="42">
        <f t="shared" si="4"/>
        <v>4.226234807645369</v>
      </c>
      <c r="F115" s="41">
        <f>SUM(D115-41.73073)</f>
        <v>945.69027</v>
      </c>
      <c r="G115" s="41">
        <v>1.506</v>
      </c>
      <c r="H115" s="43" t="s">
        <v>67</v>
      </c>
      <c r="I115" s="47"/>
    </row>
    <row r="116" spans="1:9" ht="69.75" customHeight="1">
      <c r="A116" s="53" t="s">
        <v>5</v>
      </c>
      <c r="B116" s="32" t="s">
        <v>7</v>
      </c>
      <c r="C116" s="32" t="s">
        <v>221</v>
      </c>
      <c r="D116" s="41">
        <v>882.103</v>
      </c>
      <c r="E116" s="42">
        <f t="shared" si="4"/>
        <v>4.2919817753709</v>
      </c>
      <c r="F116" s="41">
        <f>SUM(D116-37.8597)</f>
        <v>844.2433</v>
      </c>
      <c r="G116" s="41">
        <v>1.394</v>
      </c>
      <c r="H116" s="43" t="s">
        <v>67</v>
      </c>
      <c r="I116" s="47"/>
    </row>
    <row r="117" spans="1:9" ht="66" customHeight="1">
      <c r="A117" s="53" t="s">
        <v>5</v>
      </c>
      <c r="B117" s="32" t="s">
        <v>7</v>
      </c>
      <c r="C117" s="32" t="s">
        <v>222</v>
      </c>
      <c r="D117" s="41">
        <v>999.994</v>
      </c>
      <c r="E117" s="42">
        <f t="shared" si="4"/>
        <v>4.3136898821393</v>
      </c>
      <c r="F117" s="41">
        <f>SUM(D117-43.13664)</f>
        <v>956.85736</v>
      </c>
      <c r="G117" s="41">
        <v>1.519</v>
      </c>
      <c r="H117" s="43" t="s">
        <v>67</v>
      </c>
      <c r="I117" s="47"/>
    </row>
    <row r="118" spans="1:9" ht="72" customHeight="1">
      <c r="A118" s="53" t="s">
        <v>5</v>
      </c>
      <c r="B118" s="32" t="s">
        <v>7</v>
      </c>
      <c r="C118" s="32" t="s">
        <v>223</v>
      </c>
      <c r="D118" s="41">
        <v>999.998</v>
      </c>
      <c r="E118" s="42">
        <f t="shared" si="4"/>
        <v>3.881165762331534</v>
      </c>
      <c r="F118" s="41">
        <f>SUM(D118-38.81158)</f>
        <v>961.18642</v>
      </c>
      <c r="G118" s="41">
        <v>1.521</v>
      </c>
      <c r="H118" s="43" t="s">
        <v>67</v>
      </c>
      <c r="I118" s="47"/>
    </row>
    <row r="119" spans="1:9" ht="37.5" customHeight="1">
      <c r="A119" s="158" t="s">
        <v>5</v>
      </c>
      <c r="B119" s="156" t="s">
        <v>7</v>
      </c>
      <c r="C119" s="32" t="s">
        <v>129</v>
      </c>
      <c r="D119" s="41">
        <v>1000</v>
      </c>
      <c r="E119" s="42">
        <f t="shared" si="4"/>
        <v>0</v>
      </c>
      <c r="F119" s="41">
        <v>1000</v>
      </c>
      <c r="G119" s="41">
        <v>1000</v>
      </c>
      <c r="H119" s="154" t="s">
        <v>67</v>
      </c>
      <c r="I119" s="47"/>
    </row>
    <row r="120" spans="1:16" s="40" customFormat="1" ht="33" customHeight="1">
      <c r="A120" s="159"/>
      <c r="B120" s="157"/>
      <c r="C120" s="32" t="s">
        <v>170</v>
      </c>
      <c r="D120" s="41"/>
      <c r="E120" s="42"/>
      <c r="F120" s="41"/>
      <c r="G120" s="41">
        <v>24</v>
      </c>
      <c r="H120" s="155"/>
      <c r="I120" s="35"/>
      <c r="J120" s="35"/>
      <c r="K120" s="35"/>
      <c r="L120" s="35"/>
      <c r="M120" s="35"/>
      <c r="N120" s="35"/>
      <c r="P120" s="39"/>
    </row>
    <row r="121" spans="1:9" ht="55.5" customHeight="1">
      <c r="A121" s="53" t="s">
        <v>5</v>
      </c>
      <c r="B121" s="32" t="s">
        <v>7</v>
      </c>
      <c r="C121" s="32" t="s">
        <v>224</v>
      </c>
      <c r="D121" s="41">
        <v>820.137</v>
      </c>
      <c r="E121" s="42">
        <f t="shared" si="4"/>
        <v>22.53925868482949</v>
      </c>
      <c r="F121" s="41">
        <f>SUM(D121-184.8528)</f>
        <v>635.2841999999999</v>
      </c>
      <c r="G121" s="41">
        <v>322.874</v>
      </c>
      <c r="H121" s="43" t="s">
        <v>67</v>
      </c>
      <c r="I121" s="47"/>
    </row>
    <row r="122" spans="1:9" ht="52.5" customHeight="1">
      <c r="A122" s="53" t="s">
        <v>5</v>
      </c>
      <c r="B122" s="32" t="s">
        <v>7</v>
      </c>
      <c r="C122" s="32" t="s">
        <v>225</v>
      </c>
      <c r="D122" s="41">
        <v>3216.012</v>
      </c>
      <c r="E122" s="42">
        <f t="shared" si="4"/>
        <v>64.5039629827252</v>
      </c>
      <c r="F122" s="41">
        <f>D122-3.48524-2070.96995</f>
        <v>1141.55681</v>
      </c>
      <c r="G122" s="41">
        <v>141.689</v>
      </c>
      <c r="H122" s="43" t="s">
        <v>67</v>
      </c>
      <c r="I122" s="47"/>
    </row>
    <row r="123" spans="1:9" ht="51.75" customHeight="1">
      <c r="A123" s="158" t="s">
        <v>5</v>
      </c>
      <c r="B123" s="156" t="s">
        <v>7</v>
      </c>
      <c r="C123" s="58" t="s">
        <v>22</v>
      </c>
      <c r="D123" s="41">
        <v>4621.54</v>
      </c>
      <c r="E123" s="42">
        <f>100-(F123/D123)*100</f>
        <v>1.9353488231195826</v>
      </c>
      <c r="F123" s="41">
        <f>D123-89.44292</f>
        <v>4532.09708</v>
      </c>
      <c r="G123" s="41">
        <v>4521.54</v>
      </c>
      <c r="H123" s="154" t="s">
        <v>67</v>
      </c>
      <c r="I123" s="47"/>
    </row>
    <row r="124" spans="1:16" s="40" customFormat="1" ht="19.5" customHeight="1">
      <c r="A124" s="159"/>
      <c r="B124" s="157"/>
      <c r="C124" s="32" t="s">
        <v>170</v>
      </c>
      <c r="D124" s="41"/>
      <c r="E124" s="42"/>
      <c r="F124" s="41"/>
      <c r="G124" s="41">
        <v>0.123</v>
      </c>
      <c r="H124" s="155"/>
      <c r="I124" s="35"/>
      <c r="J124" s="35"/>
      <c r="K124" s="35"/>
      <c r="L124" s="35"/>
      <c r="M124" s="35"/>
      <c r="N124" s="35"/>
      <c r="P124" s="39"/>
    </row>
    <row r="125" spans="1:9" ht="55.5" customHeight="1">
      <c r="A125" s="158" t="s">
        <v>5</v>
      </c>
      <c r="B125" s="156" t="s">
        <v>7</v>
      </c>
      <c r="C125" s="32" t="s">
        <v>148</v>
      </c>
      <c r="D125" s="41">
        <v>560</v>
      </c>
      <c r="E125" s="42">
        <f>100-(F125/D125)*100</f>
        <v>0</v>
      </c>
      <c r="F125" s="41">
        <f>D125</f>
        <v>560</v>
      </c>
      <c r="G125" s="41">
        <v>560</v>
      </c>
      <c r="H125" s="154" t="s">
        <v>67</v>
      </c>
      <c r="I125" s="47"/>
    </row>
    <row r="126" spans="1:16" s="40" customFormat="1" ht="21" customHeight="1">
      <c r="A126" s="159"/>
      <c r="B126" s="157"/>
      <c r="C126" s="32" t="s">
        <v>170</v>
      </c>
      <c r="D126" s="41"/>
      <c r="E126" s="42"/>
      <c r="F126" s="41"/>
      <c r="G126" s="41">
        <v>50</v>
      </c>
      <c r="H126" s="155"/>
      <c r="I126" s="35"/>
      <c r="J126" s="35"/>
      <c r="K126" s="35"/>
      <c r="L126" s="35"/>
      <c r="M126" s="35"/>
      <c r="N126" s="35"/>
      <c r="P126" s="39"/>
    </row>
    <row r="127" spans="1:9" ht="50.25" customHeight="1">
      <c r="A127" s="158" t="s">
        <v>5</v>
      </c>
      <c r="B127" s="156" t="s">
        <v>7</v>
      </c>
      <c r="C127" s="32" t="s">
        <v>133</v>
      </c>
      <c r="D127" s="41">
        <v>1802.026</v>
      </c>
      <c r="E127" s="42">
        <f>100-(F127/D127)*100</f>
        <v>2.662203542013259</v>
      </c>
      <c r="F127" s="41">
        <f>SUM(D127-47.9736)</f>
        <v>1754.0524</v>
      </c>
      <c r="G127" s="41">
        <v>1736.106</v>
      </c>
      <c r="H127" s="154" t="s">
        <v>67</v>
      </c>
      <c r="I127" s="47"/>
    </row>
    <row r="128" spans="1:16" s="40" customFormat="1" ht="25.5" customHeight="1">
      <c r="A128" s="159"/>
      <c r="B128" s="157"/>
      <c r="C128" s="32" t="s">
        <v>170</v>
      </c>
      <c r="D128" s="41"/>
      <c r="E128" s="42"/>
      <c r="F128" s="41"/>
      <c r="G128" s="41">
        <v>28.998</v>
      </c>
      <c r="H128" s="155"/>
      <c r="I128" s="35"/>
      <c r="J128" s="35"/>
      <c r="K128" s="35"/>
      <c r="L128" s="35"/>
      <c r="M128" s="35"/>
      <c r="N128" s="35"/>
      <c r="P128" s="39"/>
    </row>
    <row r="129" spans="1:9" ht="66.75" customHeight="1">
      <c r="A129" s="53" t="s">
        <v>5</v>
      </c>
      <c r="B129" s="32" t="s">
        <v>7</v>
      </c>
      <c r="C129" s="60" t="s">
        <v>45</v>
      </c>
      <c r="D129" s="61">
        <v>1000</v>
      </c>
      <c r="E129" s="42">
        <f aca="true" t="shared" si="5" ref="E129:E134">100-(F129/D129)*100</f>
        <v>0</v>
      </c>
      <c r="F129" s="61">
        <v>1000</v>
      </c>
      <c r="G129" s="61">
        <v>402.998</v>
      </c>
      <c r="H129" s="43" t="s">
        <v>67</v>
      </c>
      <c r="I129" s="47"/>
    </row>
    <row r="130" spans="1:9" ht="50.25" customHeight="1">
      <c r="A130" s="53" t="s">
        <v>5</v>
      </c>
      <c r="B130" s="32" t="s">
        <v>7</v>
      </c>
      <c r="C130" s="60" t="s">
        <v>155</v>
      </c>
      <c r="D130" s="61">
        <v>19003</v>
      </c>
      <c r="E130" s="42">
        <f t="shared" si="5"/>
        <v>0</v>
      </c>
      <c r="F130" s="61">
        <f>SUM(D130)</f>
        <v>19003</v>
      </c>
      <c r="G130" s="61">
        <v>400</v>
      </c>
      <c r="H130" s="43" t="s">
        <v>67</v>
      </c>
      <c r="I130" s="47"/>
    </row>
    <row r="131" spans="1:9" ht="33">
      <c r="A131" s="53" t="s">
        <v>5</v>
      </c>
      <c r="B131" s="32" t="s">
        <v>7</v>
      </c>
      <c r="C131" s="60" t="s">
        <v>113</v>
      </c>
      <c r="D131" s="61">
        <v>600</v>
      </c>
      <c r="E131" s="42">
        <f t="shared" si="5"/>
        <v>0</v>
      </c>
      <c r="F131" s="61">
        <v>600</v>
      </c>
      <c r="G131" s="61">
        <v>600</v>
      </c>
      <c r="H131" s="43" t="s">
        <v>67</v>
      </c>
      <c r="I131" s="47"/>
    </row>
    <row r="132" spans="1:9" ht="86.25" customHeight="1">
      <c r="A132" s="53" t="s">
        <v>5</v>
      </c>
      <c r="B132" s="32" t="s">
        <v>7</v>
      </c>
      <c r="C132" s="62" t="s">
        <v>27</v>
      </c>
      <c r="D132" s="41">
        <f>329+180</f>
        <v>509</v>
      </c>
      <c r="E132" s="42">
        <f t="shared" si="5"/>
        <v>0</v>
      </c>
      <c r="F132" s="41">
        <f>D132</f>
        <v>509</v>
      </c>
      <c r="G132" s="41">
        <v>180</v>
      </c>
      <c r="H132" s="43" t="s">
        <v>67</v>
      </c>
      <c r="I132" s="47"/>
    </row>
    <row r="133" spans="1:9" ht="38.25" customHeight="1">
      <c r="A133" s="53" t="s">
        <v>5</v>
      </c>
      <c r="B133" s="60" t="s">
        <v>7</v>
      </c>
      <c r="C133" s="54" t="s">
        <v>39</v>
      </c>
      <c r="D133" s="61">
        <v>1200</v>
      </c>
      <c r="E133" s="42">
        <f t="shared" si="5"/>
        <v>0</v>
      </c>
      <c r="F133" s="61">
        <v>1200</v>
      </c>
      <c r="G133" s="61">
        <v>1200</v>
      </c>
      <c r="H133" s="43" t="s">
        <v>67</v>
      </c>
      <c r="I133" s="47"/>
    </row>
    <row r="134" spans="1:9" ht="39.75" customHeight="1">
      <c r="A134" s="158" t="s">
        <v>5</v>
      </c>
      <c r="B134" s="156" t="s">
        <v>7</v>
      </c>
      <c r="C134" s="60" t="s">
        <v>33</v>
      </c>
      <c r="D134" s="61">
        <v>224.328</v>
      </c>
      <c r="E134" s="42">
        <f t="shared" si="5"/>
        <v>0</v>
      </c>
      <c r="F134" s="61">
        <v>224.328</v>
      </c>
      <c r="G134" s="61">
        <v>224.328</v>
      </c>
      <c r="H134" s="154"/>
      <c r="I134" s="47"/>
    </row>
    <row r="135" spans="1:16" s="40" customFormat="1" ht="30.75" customHeight="1">
      <c r="A135" s="159"/>
      <c r="B135" s="157"/>
      <c r="C135" s="32" t="s">
        <v>170</v>
      </c>
      <c r="D135" s="41"/>
      <c r="E135" s="42"/>
      <c r="F135" s="41"/>
      <c r="G135" s="41">
        <v>27.421</v>
      </c>
      <c r="H135" s="155"/>
      <c r="I135" s="35"/>
      <c r="J135" s="35"/>
      <c r="K135" s="35"/>
      <c r="L135" s="35"/>
      <c r="M135" s="35"/>
      <c r="N135" s="35"/>
      <c r="P135" s="39"/>
    </row>
    <row r="136" spans="1:9" ht="36" customHeight="1">
      <c r="A136" s="158" t="s">
        <v>5</v>
      </c>
      <c r="B136" s="156" t="s">
        <v>7</v>
      </c>
      <c r="C136" s="60" t="s">
        <v>34</v>
      </c>
      <c r="D136" s="61">
        <v>206.191</v>
      </c>
      <c r="E136" s="42">
        <f>100-(F136/D136)*100</f>
        <v>0</v>
      </c>
      <c r="F136" s="61">
        <v>206.191</v>
      </c>
      <c r="G136" s="61">
        <v>206.191</v>
      </c>
      <c r="H136" s="154"/>
      <c r="I136" s="47"/>
    </row>
    <row r="137" spans="1:16" s="40" customFormat="1" ht="30.75" customHeight="1">
      <c r="A137" s="159"/>
      <c r="B137" s="157"/>
      <c r="C137" s="32" t="s">
        <v>170</v>
      </c>
      <c r="D137" s="41"/>
      <c r="E137" s="42"/>
      <c r="F137" s="41"/>
      <c r="G137" s="41">
        <v>24.459</v>
      </c>
      <c r="H137" s="155"/>
      <c r="I137" s="35"/>
      <c r="J137" s="35"/>
      <c r="K137" s="35"/>
      <c r="L137" s="35"/>
      <c r="M137" s="35"/>
      <c r="N137" s="35"/>
      <c r="P137" s="39"/>
    </row>
    <row r="138" spans="1:9" ht="39" customHeight="1">
      <c r="A138" s="158" t="s">
        <v>5</v>
      </c>
      <c r="B138" s="156" t="s">
        <v>7</v>
      </c>
      <c r="C138" s="60" t="s">
        <v>40</v>
      </c>
      <c r="D138" s="61">
        <v>173.866</v>
      </c>
      <c r="E138" s="42">
        <f>100-(F138/D138)*100</f>
        <v>0</v>
      </c>
      <c r="F138" s="61">
        <v>173.866</v>
      </c>
      <c r="G138" s="61">
        <v>173.866</v>
      </c>
      <c r="H138" s="154"/>
      <c r="I138" s="47"/>
    </row>
    <row r="139" spans="1:16" s="40" customFormat="1" ht="30.75" customHeight="1">
      <c r="A139" s="159"/>
      <c r="B139" s="157"/>
      <c r="C139" s="32" t="s">
        <v>170</v>
      </c>
      <c r="D139" s="41"/>
      <c r="E139" s="42"/>
      <c r="F139" s="41"/>
      <c r="G139" s="41">
        <v>24.459</v>
      </c>
      <c r="H139" s="155"/>
      <c r="I139" s="35"/>
      <c r="J139" s="35"/>
      <c r="K139" s="35"/>
      <c r="L139" s="35"/>
      <c r="M139" s="35"/>
      <c r="N139" s="35"/>
      <c r="P139" s="39"/>
    </row>
    <row r="140" spans="1:9" ht="69" customHeight="1">
      <c r="A140" s="158" t="s">
        <v>5</v>
      </c>
      <c r="B140" s="156" t="s">
        <v>7</v>
      </c>
      <c r="C140" s="54" t="s">
        <v>123</v>
      </c>
      <c r="D140" s="61">
        <v>1864.696</v>
      </c>
      <c r="E140" s="42">
        <f>100-(F140/D140)*100</f>
        <v>0</v>
      </c>
      <c r="F140" s="61">
        <f>SUM(D140)</f>
        <v>1864.696</v>
      </c>
      <c r="G140" s="61">
        <f>1652.804-300</f>
        <v>1352.804</v>
      </c>
      <c r="H140" s="154" t="s">
        <v>67</v>
      </c>
      <c r="I140" s="47"/>
    </row>
    <row r="141" spans="1:16" s="40" customFormat="1" ht="30.75" customHeight="1">
      <c r="A141" s="159"/>
      <c r="B141" s="157"/>
      <c r="C141" s="32" t="s">
        <v>170</v>
      </c>
      <c r="D141" s="41"/>
      <c r="E141" s="42"/>
      <c r="F141" s="41"/>
      <c r="G141" s="41">
        <v>222.588</v>
      </c>
      <c r="H141" s="155"/>
      <c r="I141" s="35"/>
      <c r="J141" s="35"/>
      <c r="K141" s="35"/>
      <c r="L141" s="35"/>
      <c r="M141" s="35"/>
      <c r="N141" s="35"/>
      <c r="P141" s="39"/>
    </row>
    <row r="142" spans="1:9" ht="54" customHeight="1">
      <c r="A142" s="53" t="s">
        <v>5</v>
      </c>
      <c r="B142" s="32" t="s">
        <v>7</v>
      </c>
      <c r="C142" s="32" t="s">
        <v>136</v>
      </c>
      <c r="D142" s="61">
        <v>160.4</v>
      </c>
      <c r="E142" s="42">
        <f>100-(F142/D142)*100</f>
        <v>0</v>
      </c>
      <c r="F142" s="61">
        <f>SUM(D142)</f>
        <v>160.4</v>
      </c>
      <c r="G142" s="61">
        <v>160.4</v>
      </c>
      <c r="H142" s="43" t="s">
        <v>67</v>
      </c>
      <c r="I142" s="47"/>
    </row>
    <row r="143" spans="1:9" ht="54.75" customHeight="1">
      <c r="A143" s="53" t="s">
        <v>5</v>
      </c>
      <c r="B143" s="32" t="s">
        <v>7</v>
      </c>
      <c r="C143" s="32" t="s">
        <v>137</v>
      </c>
      <c r="D143" s="61">
        <v>999.431</v>
      </c>
      <c r="E143" s="42">
        <f>100-(F143/D143)*100</f>
        <v>0</v>
      </c>
      <c r="F143" s="61">
        <f>SUM(D143)</f>
        <v>999.431</v>
      </c>
      <c r="G143" s="61">
        <v>451.251</v>
      </c>
      <c r="H143" s="43" t="s">
        <v>67</v>
      </c>
      <c r="I143" s="47"/>
    </row>
    <row r="144" spans="1:9" ht="55.5" customHeight="1">
      <c r="A144" s="53" t="s">
        <v>5</v>
      </c>
      <c r="B144" s="32" t="s">
        <v>7</v>
      </c>
      <c r="C144" s="58" t="s">
        <v>226</v>
      </c>
      <c r="D144" s="57">
        <v>110</v>
      </c>
      <c r="E144" s="59">
        <f>100-(F144/D144)*100</f>
        <v>0</v>
      </c>
      <c r="F144" s="57">
        <f>SUM(D144)</f>
        <v>110</v>
      </c>
      <c r="G144" s="41">
        <v>0.495</v>
      </c>
      <c r="H144" s="43" t="s">
        <v>67</v>
      </c>
      <c r="I144" s="47"/>
    </row>
    <row r="145" spans="1:9" ht="72" customHeight="1">
      <c r="A145" s="53" t="s">
        <v>5</v>
      </c>
      <c r="B145" s="32" t="s">
        <v>7</v>
      </c>
      <c r="C145" s="32" t="s">
        <v>227</v>
      </c>
      <c r="D145" s="41">
        <v>330</v>
      </c>
      <c r="E145" s="42">
        <f>100-(F145/D145)*100</f>
        <v>0</v>
      </c>
      <c r="F145" s="41">
        <f>D145-0</f>
        <v>330</v>
      </c>
      <c r="G145" s="41">
        <v>71.323</v>
      </c>
      <c r="H145" s="43" t="s">
        <v>67</v>
      </c>
      <c r="I145" s="47"/>
    </row>
    <row r="146" spans="1:9" ht="56.25" customHeight="1">
      <c r="A146" s="53" t="s">
        <v>5</v>
      </c>
      <c r="B146" s="32" t="s">
        <v>7</v>
      </c>
      <c r="C146" s="32" t="s">
        <v>228</v>
      </c>
      <c r="D146" s="41">
        <v>1600.549</v>
      </c>
      <c r="E146" s="42">
        <f>100-(F146/D146)*100</f>
        <v>61.343151006310954</v>
      </c>
      <c r="F146" s="41">
        <f>1590.766-972.04419</f>
        <v>618.7218100000001</v>
      </c>
      <c r="G146" s="41">
        <v>482.465</v>
      </c>
      <c r="H146" s="43" t="s">
        <v>67</v>
      </c>
      <c r="I146" s="47"/>
    </row>
    <row r="147" spans="1:9" ht="68.25" customHeight="1">
      <c r="A147" s="158" t="s">
        <v>37</v>
      </c>
      <c r="B147" s="160" t="s">
        <v>150</v>
      </c>
      <c r="C147" s="60" t="s">
        <v>151</v>
      </c>
      <c r="D147" s="41"/>
      <c r="E147" s="42"/>
      <c r="F147" s="41"/>
      <c r="G147" s="41">
        <v>6506.62</v>
      </c>
      <c r="H147" s="154" t="s">
        <v>138</v>
      </c>
      <c r="I147" s="47"/>
    </row>
    <row r="148" spans="1:16" s="40" customFormat="1" ht="34.5" customHeight="1">
      <c r="A148" s="159"/>
      <c r="B148" s="161"/>
      <c r="C148" s="32" t="s">
        <v>170</v>
      </c>
      <c r="D148" s="41"/>
      <c r="E148" s="42"/>
      <c r="F148" s="41"/>
      <c r="G148" s="41">
        <v>5134.878</v>
      </c>
      <c r="H148" s="155"/>
      <c r="I148" s="35"/>
      <c r="J148" s="35"/>
      <c r="K148" s="35"/>
      <c r="L148" s="35"/>
      <c r="M148" s="35"/>
      <c r="N148" s="35"/>
      <c r="P148" s="39"/>
    </row>
    <row r="149" spans="1:16" s="67" customFormat="1" ht="89.25" customHeight="1">
      <c r="A149" s="36" t="s">
        <v>125</v>
      </c>
      <c r="B149" s="31" t="s">
        <v>126</v>
      </c>
      <c r="C149" s="31"/>
      <c r="D149" s="33"/>
      <c r="E149" s="33"/>
      <c r="F149" s="33"/>
      <c r="G149" s="33">
        <f>SUM(G150)</f>
        <v>928.135</v>
      </c>
      <c r="H149" s="37"/>
      <c r="I149" s="63"/>
      <c r="J149" s="63"/>
      <c r="K149" s="63"/>
      <c r="L149" s="63"/>
      <c r="M149" s="63"/>
      <c r="N149" s="64"/>
      <c r="O149" s="65"/>
      <c r="P149" s="66"/>
    </row>
    <row r="150" spans="1:16" s="67" customFormat="1" ht="52.5" customHeight="1">
      <c r="A150" s="169">
        <v>180409</v>
      </c>
      <c r="B150" s="171" t="s">
        <v>150</v>
      </c>
      <c r="C150" s="162" t="s">
        <v>160</v>
      </c>
      <c r="D150" s="164"/>
      <c r="E150" s="165"/>
      <c r="F150" s="164"/>
      <c r="G150" s="164">
        <f>293.193+634.942</f>
        <v>928.135</v>
      </c>
      <c r="H150" s="154"/>
      <c r="I150" s="13"/>
      <c r="J150" s="13"/>
      <c r="K150" s="13"/>
      <c r="L150" s="13"/>
      <c r="M150" s="13"/>
      <c r="N150" s="65"/>
      <c r="O150" s="68"/>
      <c r="P150" s="66"/>
    </row>
    <row r="151" spans="1:16" s="67" customFormat="1" ht="32.25" customHeight="1">
      <c r="A151" s="170"/>
      <c r="B151" s="172"/>
      <c r="C151" s="163"/>
      <c r="D151" s="150"/>
      <c r="E151" s="166"/>
      <c r="F151" s="150"/>
      <c r="G151" s="150"/>
      <c r="H151" s="155"/>
      <c r="I151" s="13"/>
      <c r="J151" s="13"/>
      <c r="K151" s="13"/>
      <c r="L151" s="13"/>
      <c r="M151" s="13"/>
      <c r="N151" s="65"/>
      <c r="O151" s="68"/>
      <c r="P151" s="66"/>
    </row>
    <row r="152" spans="1:9" s="69" customFormat="1" ht="66">
      <c r="A152" s="48">
        <v>73</v>
      </c>
      <c r="B152" s="31" t="s">
        <v>11</v>
      </c>
      <c r="C152" s="31"/>
      <c r="D152" s="33">
        <f>SUM(D153:D163)</f>
        <v>118483.678</v>
      </c>
      <c r="E152" s="33"/>
      <c r="F152" s="33">
        <f>SUM(F153:F163)</f>
        <v>106742.66422</v>
      </c>
      <c r="G152" s="33">
        <f>SUM(G153:G163)-G161</f>
        <v>3749.017</v>
      </c>
      <c r="H152" s="51"/>
      <c r="I152" s="47"/>
    </row>
    <row r="153" spans="1:9" ht="38.25" customHeight="1">
      <c r="A153" s="53" t="s">
        <v>5</v>
      </c>
      <c r="B153" s="32" t="s">
        <v>7</v>
      </c>
      <c r="C153" s="32" t="s">
        <v>46</v>
      </c>
      <c r="D153" s="41">
        <v>13415.939</v>
      </c>
      <c r="E153" s="42">
        <f>100-(F153/D153)*100</f>
        <v>39.61472596141052</v>
      </c>
      <c r="F153" s="41">
        <f>SUM(D153-(2.65228+224.04934+1231.39282+3025.28968+831.30335))</f>
        <v>8101.2515300000005</v>
      </c>
      <c r="G153" s="41">
        <v>900.195</v>
      </c>
      <c r="H153" s="43" t="s">
        <v>67</v>
      </c>
      <c r="I153" s="47"/>
    </row>
    <row r="154" spans="1:9" ht="52.5" customHeight="1">
      <c r="A154" s="53" t="s">
        <v>5</v>
      </c>
      <c r="B154" s="32" t="s">
        <v>7</v>
      </c>
      <c r="C154" s="32" t="s">
        <v>12</v>
      </c>
      <c r="D154" s="41">
        <f>2952.107</f>
        <v>2952.107</v>
      </c>
      <c r="E154" s="42">
        <f aca="true" t="shared" si="6" ref="E154:E173">100-(F154/D154)*100</f>
        <v>62.850767265549656</v>
      </c>
      <c r="F154" s="41">
        <f>SUM(D154)-(300+1551.5749+3.847)</f>
        <v>1096.6851</v>
      </c>
      <c r="G154" s="41">
        <f>1096.685</f>
        <v>1096.685</v>
      </c>
      <c r="H154" s="43" t="s">
        <v>67</v>
      </c>
      <c r="I154" s="47"/>
    </row>
    <row r="155" spans="1:9" ht="72.75" customHeight="1">
      <c r="A155" s="53" t="s">
        <v>5</v>
      </c>
      <c r="B155" s="32" t="s">
        <v>7</v>
      </c>
      <c r="C155" s="32" t="s">
        <v>229</v>
      </c>
      <c r="D155" s="70">
        <v>3836.2</v>
      </c>
      <c r="E155" s="42">
        <f t="shared" si="6"/>
        <v>4.809598039726808</v>
      </c>
      <c r="F155" s="70">
        <f>D155-(28.537+155.9688)</f>
        <v>3651.6942</v>
      </c>
      <c r="G155" s="41">
        <v>31.223</v>
      </c>
      <c r="H155" s="43" t="s">
        <v>67</v>
      </c>
      <c r="I155" s="47"/>
    </row>
    <row r="156" spans="1:9" ht="70.5" customHeight="1">
      <c r="A156" s="53" t="s">
        <v>5</v>
      </c>
      <c r="B156" s="32" t="s">
        <v>7</v>
      </c>
      <c r="C156" s="54" t="s">
        <v>230</v>
      </c>
      <c r="D156" s="41">
        <v>40486.207</v>
      </c>
      <c r="E156" s="42">
        <f t="shared" si="6"/>
        <v>1.1220549507144426</v>
      </c>
      <c r="F156" s="41">
        <f>D156-(160+149.35361+138.64421+6.27967)</f>
        <v>40031.92951</v>
      </c>
      <c r="G156" s="41">
        <v>3.408</v>
      </c>
      <c r="H156" s="43" t="s">
        <v>67</v>
      </c>
      <c r="I156" s="47"/>
    </row>
    <row r="157" spans="1:9" ht="72" customHeight="1">
      <c r="A157" s="53" t="s">
        <v>5</v>
      </c>
      <c r="B157" s="32" t="s">
        <v>7</v>
      </c>
      <c r="C157" s="54" t="s">
        <v>231</v>
      </c>
      <c r="D157" s="41">
        <v>41973.922</v>
      </c>
      <c r="E157" s="42">
        <f t="shared" si="6"/>
        <v>1.560880038801244</v>
      </c>
      <c r="F157" s="41">
        <f>SUM(D157-249.768-46.62-7.44519-351.32938)</f>
        <v>41318.75943</v>
      </c>
      <c r="G157" s="41">
        <v>7.119</v>
      </c>
      <c r="H157" s="43" t="s">
        <v>67</v>
      </c>
      <c r="I157" s="47"/>
    </row>
    <row r="158" spans="1:9" ht="55.5" customHeight="1">
      <c r="A158" s="53" t="s">
        <v>5</v>
      </c>
      <c r="B158" s="32" t="s">
        <v>7</v>
      </c>
      <c r="C158" s="54" t="s">
        <v>232</v>
      </c>
      <c r="D158" s="41">
        <v>1222.082</v>
      </c>
      <c r="E158" s="42">
        <f t="shared" si="6"/>
        <v>11.666511739801436</v>
      </c>
      <c r="F158" s="41">
        <f>D158-99.21296-43.36138</f>
        <v>1079.50766</v>
      </c>
      <c r="G158" s="41">
        <v>3.907</v>
      </c>
      <c r="H158" s="43" t="s">
        <v>67</v>
      </c>
      <c r="I158" s="47"/>
    </row>
    <row r="159" spans="1:9" ht="55.5" customHeight="1">
      <c r="A159" s="53" t="s">
        <v>5</v>
      </c>
      <c r="B159" s="32" t="s">
        <v>7</v>
      </c>
      <c r="C159" s="32" t="s">
        <v>233</v>
      </c>
      <c r="D159" s="41">
        <f>137.164</f>
        <v>137.164</v>
      </c>
      <c r="E159" s="71">
        <f t="shared" si="6"/>
        <v>25.13895045347175</v>
      </c>
      <c r="F159" s="41">
        <f>SUM(D159-34.48159)</f>
        <v>102.68240999999999</v>
      </c>
      <c r="G159" s="41">
        <v>8.15</v>
      </c>
      <c r="H159" s="43" t="s">
        <v>67</v>
      </c>
      <c r="I159" s="47"/>
    </row>
    <row r="160" spans="1:9" ht="86.25" customHeight="1">
      <c r="A160" s="158" t="s">
        <v>9</v>
      </c>
      <c r="B160" s="156" t="s">
        <v>10</v>
      </c>
      <c r="C160" s="32" t="s">
        <v>8</v>
      </c>
      <c r="D160" s="41">
        <v>14110.057</v>
      </c>
      <c r="E160" s="42">
        <f t="shared" si="6"/>
        <v>21.969454978105347</v>
      </c>
      <c r="F160" s="41">
        <f>SUM(D160)-(56.35656+570.604+1000+338.9424+271.5277+862.47196)</f>
        <v>11010.15438</v>
      </c>
      <c r="G160" s="41">
        <v>1348.33</v>
      </c>
      <c r="H160" s="154" t="s">
        <v>67</v>
      </c>
      <c r="I160" s="47"/>
    </row>
    <row r="161" spans="1:16" s="40" customFormat="1" ht="34.5" customHeight="1">
      <c r="A161" s="159"/>
      <c r="B161" s="157"/>
      <c r="C161" s="32" t="s">
        <v>170</v>
      </c>
      <c r="D161" s="41"/>
      <c r="E161" s="42"/>
      <c r="F161" s="41"/>
      <c r="G161" s="41">
        <v>10.944</v>
      </c>
      <c r="H161" s="155"/>
      <c r="I161" s="35"/>
      <c r="J161" s="35"/>
      <c r="K161" s="35"/>
      <c r="L161" s="35"/>
      <c r="M161" s="35"/>
      <c r="N161" s="35"/>
      <c r="P161" s="39"/>
    </row>
    <row r="162" spans="1:9" ht="52.5" customHeight="1">
      <c r="A162" s="53" t="s">
        <v>5</v>
      </c>
      <c r="B162" s="32" t="s">
        <v>7</v>
      </c>
      <c r="C162" s="32" t="s">
        <v>23</v>
      </c>
      <c r="D162" s="41">
        <v>200</v>
      </c>
      <c r="E162" s="42">
        <f t="shared" si="6"/>
        <v>0</v>
      </c>
      <c r="F162" s="41">
        <v>200</v>
      </c>
      <c r="G162" s="41">
        <v>200</v>
      </c>
      <c r="H162" s="43" t="s">
        <v>67</v>
      </c>
      <c r="I162" s="47"/>
    </row>
    <row r="163" spans="1:9" ht="54" customHeight="1">
      <c r="A163" s="53" t="s">
        <v>5</v>
      </c>
      <c r="B163" s="32" t="s">
        <v>7</v>
      </c>
      <c r="C163" s="32" t="s">
        <v>38</v>
      </c>
      <c r="D163" s="41">
        <v>150</v>
      </c>
      <c r="E163" s="42">
        <f t="shared" si="6"/>
        <v>0</v>
      </c>
      <c r="F163" s="41">
        <v>150</v>
      </c>
      <c r="G163" s="41">
        <v>150</v>
      </c>
      <c r="H163" s="43" t="s">
        <v>67</v>
      </c>
      <c r="I163" s="47"/>
    </row>
    <row r="164" spans="1:9" ht="69" customHeight="1">
      <c r="A164" s="48">
        <v>92</v>
      </c>
      <c r="B164" s="31" t="s">
        <v>24</v>
      </c>
      <c r="C164" s="49"/>
      <c r="D164" s="33">
        <f>SUM(D165:D173)</f>
        <v>15362.384000000002</v>
      </c>
      <c r="E164" s="42"/>
      <c r="F164" s="33">
        <f>SUM(F165:F173)</f>
        <v>14371.95176</v>
      </c>
      <c r="G164" s="33">
        <f>SUM(G165:G173)</f>
        <v>5297.16</v>
      </c>
      <c r="H164" s="43"/>
      <c r="I164" s="47"/>
    </row>
    <row r="165" spans="1:9" ht="38.25" customHeight="1">
      <c r="A165" s="53" t="s">
        <v>5</v>
      </c>
      <c r="B165" s="32" t="s">
        <v>7</v>
      </c>
      <c r="C165" s="32" t="s">
        <v>25</v>
      </c>
      <c r="D165" s="41">
        <v>10000</v>
      </c>
      <c r="E165" s="42">
        <f t="shared" si="6"/>
        <v>0</v>
      </c>
      <c r="F165" s="41">
        <v>10000</v>
      </c>
      <c r="G165" s="41">
        <v>4000</v>
      </c>
      <c r="H165" s="43" t="s">
        <v>67</v>
      </c>
      <c r="I165" s="47"/>
    </row>
    <row r="166" spans="1:9" ht="55.5" customHeight="1">
      <c r="A166" s="53" t="s">
        <v>5</v>
      </c>
      <c r="B166" s="32" t="s">
        <v>7</v>
      </c>
      <c r="C166" s="32" t="s">
        <v>234</v>
      </c>
      <c r="D166" s="70">
        <v>336.698</v>
      </c>
      <c r="E166" s="42">
        <f>100-(F166/D166)*100</f>
        <v>75.316123053894</v>
      </c>
      <c r="F166" s="41">
        <f>D166-253.58788</f>
        <v>83.11011999999997</v>
      </c>
      <c r="G166" s="41">
        <v>43.783</v>
      </c>
      <c r="H166" s="43" t="s">
        <v>67</v>
      </c>
      <c r="I166" s="47"/>
    </row>
    <row r="167" spans="1:9" ht="79.5" customHeight="1">
      <c r="A167" s="53" t="s">
        <v>5</v>
      </c>
      <c r="B167" s="32" t="s">
        <v>7</v>
      </c>
      <c r="C167" s="32" t="s">
        <v>235</v>
      </c>
      <c r="D167" s="70">
        <v>1000</v>
      </c>
      <c r="E167" s="42">
        <v>0</v>
      </c>
      <c r="F167" s="41">
        <f>1000-0.61696</f>
        <v>999.38304</v>
      </c>
      <c r="G167" s="41">
        <v>291.294</v>
      </c>
      <c r="H167" s="43" t="s">
        <v>67</v>
      </c>
      <c r="I167" s="47"/>
    </row>
    <row r="168" spans="1:9" ht="71.25" customHeight="1">
      <c r="A168" s="53" t="s">
        <v>5</v>
      </c>
      <c r="B168" s="32" t="s">
        <v>7</v>
      </c>
      <c r="C168" s="32" t="s">
        <v>29</v>
      </c>
      <c r="D168" s="41">
        <v>80</v>
      </c>
      <c r="E168" s="42">
        <f t="shared" si="6"/>
        <v>0</v>
      </c>
      <c r="F168" s="41">
        <v>80</v>
      </c>
      <c r="G168" s="41">
        <v>80</v>
      </c>
      <c r="H168" s="43" t="s">
        <v>67</v>
      </c>
      <c r="I168" s="47"/>
    </row>
    <row r="169" spans="1:9" ht="72" customHeight="1">
      <c r="A169" s="53" t="s">
        <v>5</v>
      </c>
      <c r="B169" s="32" t="s">
        <v>7</v>
      </c>
      <c r="C169" s="32" t="s">
        <v>236</v>
      </c>
      <c r="D169" s="70">
        <f>1000-124.05</f>
        <v>875.95</v>
      </c>
      <c r="E169" s="42">
        <v>0</v>
      </c>
      <c r="F169" s="41">
        <f>SUM(D169-471.7584)</f>
        <v>404.19160000000005</v>
      </c>
      <c r="G169" s="41">
        <v>43.256</v>
      </c>
      <c r="H169" s="43" t="s">
        <v>67</v>
      </c>
      <c r="I169" s="47"/>
    </row>
    <row r="170" spans="1:9" ht="72.75" customHeight="1">
      <c r="A170" s="53" t="s">
        <v>5</v>
      </c>
      <c r="B170" s="32" t="s">
        <v>7</v>
      </c>
      <c r="C170" s="32" t="s">
        <v>237</v>
      </c>
      <c r="D170" s="70">
        <f>1000-0.264</f>
        <v>999.736</v>
      </c>
      <c r="E170" s="42">
        <v>0</v>
      </c>
      <c r="F170" s="41">
        <f>SUM(D170-263.78662)</f>
        <v>735.94938</v>
      </c>
      <c r="G170" s="41">
        <v>444.096</v>
      </c>
      <c r="H170" s="43" t="s">
        <v>67</v>
      </c>
      <c r="I170" s="47"/>
    </row>
    <row r="171" spans="1:9" ht="69" customHeight="1">
      <c r="A171" s="53" t="s">
        <v>5</v>
      </c>
      <c r="B171" s="32" t="s">
        <v>7</v>
      </c>
      <c r="C171" s="32" t="s">
        <v>238</v>
      </c>
      <c r="D171" s="70">
        <v>1000</v>
      </c>
      <c r="E171" s="42">
        <v>0</v>
      </c>
      <c r="F171" s="41">
        <f>1000-0.68238</f>
        <v>999.31762</v>
      </c>
      <c r="G171" s="41">
        <v>254.731</v>
      </c>
      <c r="H171" s="43" t="s">
        <v>67</v>
      </c>
      <c r="I171" s="47"/>
    </row>
    <row r="172" spans="1:9" ht="49.5">
      <c r="A172" s="53" t="s">
        <v>5</v>
      </c>
      <c r="B172" s="32" t="s">
        <v>7</v>
      </c>
      <c r="C172" s="32" t="s">
        <v>30</v>
      </c>
      <c r="D172" s="41">
        <v>70</v>
      </c>
      <c r="E172" s="42">
        <f t="shared" si="6"/>
        <v>0</v>
      </c>
      <c r="F172" s="41">
        <v>70</v>
      </c>
      <c r="G172" s="41">
        <v>70</v>
      </c>
      <c r="H172" s="43" t="s">
        <v>67</v>
      </c>
      <c r="I172" s="47"/>
    </row>
    <row r="173" spans="1:9" ht="54.75" customHeight="1">
      <c r="A173" s="53" t="s">
        <v>5</v>
      </c>
      <c r="B173" s="32" t="s">
        <v>7</v>
      </c>
      <c r="C173" s="32" t="s">
        <v>31</v>
      </c>
      <c r="D173" s="41">
        <v>1000</v>
      </c>
      <c r="E173" s="42">
        <f t="shared" si="6"/>
        <v>0</v>
      </c>
      <c r="F173" s="41">
        <v>1000</v>
      </c>
      <c r="G173" s="41">
        <v>70</v>
      </c>
      <c r="H173" s="43" t="s">
        <v>67</v>
      </c>
      <c r="I173" s="47"/>
    </row>
    <row r="174" spans="1:8" ht="55.5" customHeight="1">
      <c r="A174" s="48">
        <v>93</v>
      </c>
      <c r="B174" s="31" t="s">
        <v>140</v>
      </c>
      <c r="C174" s="32"/>
      <c r="D174" s="33">
        <f>SUM(D175:D177)</f>
        <v>3710.51</v>
      </c>
      <c r="E174" s="33"/>
      <c r="F174" s="33">
        <f>SUM(F175:F177)</f>
        <v>3515.38464</v>
      </c>
      <c r="G174" s="33">
        <f>SUM(G175:G177)-G176</f>
        <v>379.596</v>
      </c>
      <c r="H174" s="51"/>
    </row>
    <row r="175" spans="1:8" ht="49.5">
      <c r="A175" s="158" t="s">
        <v>5</v>
      </c>
      <c r="B175" s="156" t="s">
        <v>7</v>
      </c>
      <c r="C175" s="32" t="s">
        <v>141</v>
      </c>
      <c r="D175" s="49">
        <v>376.904</v>
      </c>
      <c r="E175" s="42">
        <f>100-(F175/D175)*100</f>
        <v>0</v>
      </c>
      <c r="F175" s="76">
        <f>SUM(D175)</f>
        <v>376.904</v>
      </c>
      <c r="G175" s="49">
        <f>357.703+19.201</f>
        <v>376.904</v>
      </c>
      <c r="H175" s="154" t="s">
        <v>67</v>
      </c>
    </row>
    <row r="176" spans="1:16" s="40" customFormat="1" ht="34.5" customHeight="1">
      <c r="A176" s="159"/>
      <c r="B176" s="157"/>
      <c r="C176" s="32" t="s">
        <v>170</v>
      </c>
      <c r="D176" s="41"/>
      <c r="E176" s="42"/>
      <c r="F176" s="41"/>
      <c r="G176" s="41">
        <v>29.247</v>
      </c>
      <c r="H176" s="155"/>
      <c r="I176" s="35"/>
      <c r="J176" s="35"/>
      <c r="K176" s="35"/>
      <c r="L176" s="35"/>
      <c r="M176" s="35"/>
      <c r="N176" s="35"/>
      <c r="P176" s="39"/>
    </row>
    <row r="177" spans="1:8" ht="37.5" customHeight="1">
      <c r="A177" s="53" t="s">
        <v>5</v>
      </c>
      <c r="B177" s="32" t="s">
        <v>7</v>
      </c>
      <c r="C177" s="32" t="s">
        <v>153</v>
      </c>
      <c r="D177" s="70">
        <v>3333.606</v>
      </c>
      <c r="E177" s="42">
        <f>100-(F177/D177)*100</f>
        <v>5.853282001532278</v>
      </c>
      <c r="F177" s="41">
        <f>D177-195.12536</f>
        <v>3138.48064</v>
      </c>
      <c r="G177" s="49">
        <v>2.692</v>
      </c>
      <c r="H177" s="43" t="s">
        <v>67</v>
      </c>
    </row>
    <row r="178" spans="1:9" ht="57" customHeight="1">
      <c r="A178" s="73" t="s">
        <v>139</v>
      </c>
      <c r="B178" s="31" t="s">
        <v>42</v>
      </c>
      <c r="C178" s="49"/>
      <c r="D178" s="33">
        <f>SUM(D179)</f>
        <v>1145.929</v>
      </c>
      <c r="E178" s="42"/>
      <c r="F178" s="33">
        <f>SUM(F179)</f>
        <v>1145.929</v>
      </c>
      <c r="G178" s="33">
        <f>SUM(G179:G180)-G180</f>
        <v>1125.857</v>
      </c>
      <c r="H178" s="43"/>
      <c r="I178" s="47"/>
    </row>
    <row r="179" spans="1:9" ht="42" customHeight="1">
      <c r="A179" s="153" t="s">
        <v>5</v>
      </c>
      <c r="B179" s="152" t="s">
        <v>7</v>
      </c>
      <c r="C179" s="32" t="s">
        <v>43</v>
      </c>
      <c r="D179" s="41">
        <v>1145.929</v>
      </c>
      <c r="E179" s="42">
        <f>100-(F179/D179)*100</f>
        <v>0</v>
      </c>
      <c r="F179" s="41">
        <f>SUM(D179)</f>
        <v>1145.929</v>
      </c>
      <c r="G179" s="41">
        <v>1125.857</v>
      </c>
      <c r="H179" s="152" t="s">
        <v>67</v>
      </c>
      <c r="I179" s="47"/>
    </row>
    <row r="180" spans="1:16" s="40" customFormat="1" ht="34.5" customHeight="1">
      <c r="A180" s="153"/>
      <c r="B180" s="152"/>
      <c r="C180" s="32" t="s">
        <v>170</v>
      </c>
      <c r="D180" s="41"/>
      <c r="E180" s="42"/>
      <c r="F180" s="41"/>
      <c r="G180" s="41">
        <v>21.734</v>
      </c>
      <c r="H180" s="152"/>
      <c r="I180" s="35"/>
      <c r="J180" s="35"/>
      <c r="K180" s="35"/>
      <c r="L180" s="35"/>
      <c r="M180" s="35"/>
      <c r="N180" s="35"/>
      <c r="P180" s="39"/>
    </row>
  </sheetData>
  <sheetProtection/>
  <mergeCells count="94">
    <mergeCell ref="F1:H1"/>
    <mergeCell ref="F2:H2"/>
    <mergeCell ref="F3:H3"/>
    <mergeCell ref="F5:H6"/>
    <mergeCell ref="B150:B151"/>
    <mergeCell ref="A150:A151"/>
    <mergeCell ref="G8:H8"/>
    <mergeCell ref="F4:H4"/>
    <mergeCell ref="A7:H7"/>
    <mergeCell ref="G150:G151"/>
    <mergeCell ref="H150:H151"/>
    <mergeCell ref="A9:H9"/>
    <mergeCell ref="B10:C10"/>
    <mergeCell ref="C11:C12"/>
    <mergeCell ref="D11:D12"/>
    <mergeCell ref="E11:E12"/>
    <mergeCell ref="F11:F12"/>
    <mergeCell ref="G11:G12"/>
    <mergeCell ref="H11:H12"/>
    <mergeCell ref="B17:B18"/>
    <mergeCell ref="H21:H22"/>
    <mergeCell ref="H23:H24"/>
    <mergeCell ref="B23:B24"/>
    <mergeCell ref="A23:A24"/>
    <mergeCell ref="A25:A26"/>
    <mergeCell ref="A28:A29"/>
    <mergeCell ref="A17:A18"/>
    <mergeCell ref="B21:B22"/>
    <mergeCell ref="A21:A22"/>
    <mergeCell ref="H25:H26"/>
    <mergeCell ref="H28:H29"/>
    <mergeCell ref="B28:B29"/>
    <mergeCell ref="B25:B26"/>
    <mergeCell ref="H31:H32"/>
    <mergeCell ref="B31:B32"/>
    <mergeCell ref="A31:A32"/>
    <mergeCell ref="B34:B35"/>
    <mergeCell ref="A34:A35"/>
    <mergeCell ref="H34:H35"/>
    <mergeCell ref="H44:H45"/>
    <mergeCell ref="B44:B45"/>
    <mergeCell ref="A44:A45"/>
    <mergeCell ref="B56:B57"/>
    <mergeCell ref="A56:A57"/>
    <mergeCell ref="H56:H57"/>
    <mergeCell ref="B65:B66"/>
    <mergeCell ref="A65:A66"/>
    <mergeCell ref="H65:H66"/>
    <mergeCell ref="B84:B85"/>
    <mergeCell ref="A84:A85"/>
    <mergeCell ref="H84:H85"/>
    <mergeCell ref="B97:B98"/>
    <mergeCell ref="A97:A98"/>
    <mergeCell ref="H97:H98"/>
    <mergeCell ref="H123:H124"/>
    <mergeCell ref="B123:B124"/>
    <mergeCell ref="A123:A124"/>
    <mergeCell ref="H136:H137"/>
    <mergeCell ref="H138:H139"/>
    <mergeCell ref="H140:H141"/>
    <mergeCell ref="B134:B135"/>
    <mergeCell ref="B136:B137"/>
    <mergeCell ref="B138:B139"/>
    <mergeCell ref="B140:B141"/>
    <mergeCell ref="H119:H120"/>
    <mergeCell ref="B119:B120"/>
    <mergeCell ref="A119:A120"/>
    <mergeCell ref="H134:H135"/>
    <mergeCell ref="H125:H126"/>
    <mergeCell ref="B125:B126"/>
    <mergeCell ref="A125:A126"/>
    <mergeCell ref="H127:H128"/>
    <mergeCell ref="B127:B128"/>
    <mergeCell ref="A127:A128"/>
    <mergeCell ref="A134:A135"/>
    <mergeCell ref="A136:A137"/>
    <mergeCell ref="A138:A139"/>
    <mergeCell ref="A140:A141"/>
    <mergeCell ref="B147:B148"/>
    <mergeCell ref="A147:A148"/>
    <mergeCell ref="H147:H148"/>
    <mergeCell ref="B160:B161"/>
    <mergeCell ref="A160:A161"/>
    <mergeCell ref="H160:H161"/>
    <mergeCell ref="C150:C151"/>
    <mergeCell ref="D150:D151"/>
    <mergeCell ref="E150:E151"/>
    <mergeCell ref="F150:F151"/>
    <mergeCell ref="B179:B180"/>
    <mergeCell ref="A179:A180"/>
    <mergeCell ref="H179:H180"/>
    <mergeCell ref="H175:H176"/>
    <mergeCell ref="B175:B176"/>
    <mergeCell ref="A175:A176"/>
  </mergeCells>
  <printOptions horizontalCentered="1"/>
  <pageMargins left="0.2362204724409449" right="0" top="0.8661417322834646" bottom="0.1968503937007874" header="0.6299212598425197" footer="0.1968503937007874"/>
  <pageSetup firstPageNumber="1" useFirstPageNumber="1" fitToHeight="25" horizontalDpi="600" verticalDpi="600" orientation="landscape" paperSize="9" scale="77"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P58"/>
  <sheetViews>
    <sheetView view="pageBreakPreview" zoomScale="80" zoomScaleSheetLayoutView="80" zoomScalePageLayoutView="0" workbookViewId="0" topLeftCell="A1">
      <selection activeCell="I8" sqref="I8"/>
    </sheetView>
  </sheetViews>
  <sheetFormatPr defaultColWidth="9.140625" defaultRowHeight="15"/>
  <cols>
    <col min="1" max="1" width="19.140625" style="134" customWidth="1"/>
    <col min="2" max="2" width="47.8515625" style="134" customWidth="1"/>
    <col min="3" max="3" width="21.140625" style="134" customWidth="1"/>
    <col min="4" max="4" width="15.140625" style="149" customWidth="1"/>
    <col min="5" max="5" width="16.140625" style="145" bestFit="1" customWidth="1"/>
    <col min="6" max="9" width="9.140625" style="132" customWidth="1"/>
    <col min="10" max="16384" width="9.140625" style="134" customWidth="1"/>
  </cols>
  <sheetData>
    <row r="1" spans="1:6" s="116" customFormat="1" ht="22.5" customHeight="1">
      <c r="A1" s="112"/>
      <c r="B1" s="112"/>
      <c r="C1" s="112"/>
      <c r="D1" s="113" t="s">
        <v>68</v>
      </c>
      <c r="E1" s="114"/>
      <c r="F1" s="115"/>
    </row>
    <row r="2" spans="1:5" s="116" customFormat="1" ht="42" customHeight="1">
      <c r="A2" s="187" t="s">
        <v>112</v>
      </c>
      <c r="B2" s="187"/>
      <c r="C2" s="187"/>
      <c r="D2" s="187"/>
      <c r="E2" s="117"/>
    </row>
    <row r="3" spans="1:5" s="116" customFormat="1" ht="18.75" customHeight="1" thickBot="1">
      <c r="A3" s="112"/>
      <c r="B3" s="112"/>
      <c r="C3" s="118"/>
      <c r="D3" s="113" t="s">
        <v>51</v>
      </c>
      <c r="E3" s="117"/>
    </row>
    <row r="4" spans="1:5" s="13" customFormat="1" ht="60.75" customHeight="1">
      <c r="A4" s="119" t="s">
        <v>52</v>
      </c>
      <c r="B4" s="78" t="s">
        <v>4</v>
      </c>
      <c r="C4" s="188" t="s">
        <v>53</v>
      </c>
      <c r="D4" s="190" t="s">
        <v>60</v>
      </c>
      <c r="E4" s="114"/>
    </row>
    <row r="5" spans="1:5" s="13" customFormat="1" ht="63.75" customHeight="1" thickBot="1">
      <c r="A5" s="120" t="s">
        <v>57</v>
      </c>
      <c r="B5" s="121" t="s">
        <v>58</v>
      </c>
      <c r="C5" s="189"/>
      <c r="D5" s="191"/>
      <c r="E5" s="114"/>
    </row>
    <row r="6" spans="1:5" s="13" customFormat="1" ht="18" customHeight="1" thickBot="1">
      <c r="A6" s="122">
        <v>1</v>
      </c>
      <c r="B6" s="123">
        <v>2</v>
      </c>
      <c r="C6" s="123">
        <v>3</v>
      </c>
      <c r="D6" s="124">
        <v>4</v>
      </c>
      <c r="E6" s="125"/>
    </row>
    <row r="7" spans="1:5" s="13" customFormat="1" ht="21.75" customHeight="1">
      <c r="A7" s="126"/>
      <c r="B7" s="17" t="s">
        <v>59</v>
      </c>
      <c r="C7" s="78"/>
      <c r="D7" s="79">
        <f>SUM(D8+D10+D15+D19+D24+D30+D32+D34+D39+D41+D43+D46+D49+D51+D54)</f>
        <v>70203.265</v>
      </c>
      <c r="E7" s="117">
        <f>SUM(D7+'таб. 4.1'!G14)</f>
        <v>159167.775</v>
      </c>
    </row>
    <row r="8" spans="1:5" s="13" customFormat="1" ht="21.75" customHeight="1">
      <c r="A8" s="127" t="s">
        <v>69</v>
      </c>
      <c r="B8" s="80" t="s">
        <v>157</v>
      </c>
      <c r="C8" s="81"/>
      <c r="D8" s="82">
        <v>231.245</v>
      </c>
      <c r="E8" s="117">
        <f>SUM(D8+'таб. 4.1'!G16)</f>
        <v>2440.385</v>
      </c>
    </row>
    <row r="9" spans="1:5" s="13" customFormat="1" ht="21.75" customHeight="1">
      <c r="A9" s="128" t="s">
        <v>71</v>
      </c>
      <c r="B9" s="83" t="s">
        <v>72</v>
      </c>
      <c r="C9" s="84" t="s">
        <v>73</v>
      </c>
      <c r="D9" s="85">
        <v>231.245</v>
      </c>
      <c r="E9" s="114"/>
    </row>
    <row r="10" spans="1:15" ht="40.5" customHeight="1">
      <c r="A10" s="129">
        <v>10</v>
      </c>
      <c r="B10" s="86" t="s">
        <v>19</v>
      </c>
      <c r="C10" s="86"/>
      <c r="D10" s="87">
        <f>SUM(D11:D14)</f>
        <v>4352.55</v>
      </c>
      <c r="E10" s="130">
        <f>SUM(D10+'таб. 4.1'!G20)</f>
        <v>15028.744999999999</v>
      </c>
      <c r="F10" s="131"/>
      <c r="H10" s="63"/>
      <c r="I10" s="63"/>
      <c r="J10" s="63"/>
      <c r="K10" s="63"/>
      <c r="L10" s="63"/>
      <c r="M10" s="63"/>
      <c r="N10" s="116"/>
      <c r="O10" s="133"/>
    </row>
    <row r="11" spans="1:15" ht="24" customHeight="1">
      <c r="A11" s="135" t="s">
        <v>75</v>
      </c>
      <c r="B11" s="88" t="s">
        <v>76</v>
      </c>
      <c r="C11" s="89" t="s">
        <v>73</v>
      </c>
      <c r="D11" s="90">
        <v>1452.522</v>
      </c>
      <c r="E11" s="136"/>
      <c r="F11" s="137"/>
      <c r="H11" s="63"/>
      <c r="I11" s="63"/>
      <c r="J11" s="63"/>
      <c r="K11" s="63"/>
      <c r="L11" s="63"/>
      <c r="M11" s="63"/>
      <c r="N11" s="116"/>
      <c r="O11" s="133"/>
    </row>
    <row r="12" spans="1:15" ht="79.5" customHeight="1">
      <c r="A12" s="135" t="s">
        <v>77</v>
      </c>
      <c r="B12" s="91" t="s">
        <v>78</v>
      </c>
      <c r="C12" s="92" t="s">
        <v>73</v>
      </c>
      <c r="D12" s="90">
        <v>2573.978</v>
      </c>
      <c r="E12" s="136"/>
      <c r="F12" s="137"/>
      <c r="H12" s="63"/>
      <c r="I12" s="63"/>
      <c r="J12" s="63"/>
      <c r="K12" s="63"/>
      <c r="L12" s="63"/>
      <c r="M12" s="63"/>
      <c r="N12" s="116"/>
      <c r="O12" s="133"/>
    </row>
    <row r="13" spans="1:16" ht="38.25" customHeight="1">
      <c r="A13" s="135" t="s">
        <v>79</v>
      </c>
      <c r="B13" s="91" t="s">
        <v>80</v>
      </c>
      <c r="C13" s="92" t="s">
        <v>73</v>
      </c>
      <c r="D13" s="90">
        <v>129.5</v>
      </c>
      <c r="E13" s="136"/>
      <c r="F13" s="137"/>
      <c r="H13" s="63"/>
      <c r="I13" s="63"/>
      <c r="J13" s="63"/>
      <c r="K13" s="63"/>
      <c r="L13" s="63"/>
      <c r="M13" s="63"/>
      <c r="N13" s="116"/>
      <c r="O13" s="133"/>
      <c r="P13" s="116"/>
    </row>
    <row r="14" spans="1:16" ht="43.5" customHeight="1">
      <c r="A14" s="135" t="s">
        <v>81</v>
      </c>
      <c r="B14" s="91" t="s">
        <v>82</v>
      </c>
      <c r="C14" s="92" t="s">
        <v>73</v>
      </c>
      <c r="D14" s="90">
        <f>99.96+96.59</f>
        <v>196.55</v>
      </c>
      <c r="E14" s="136"/>
      <c r="F14" s="137"/>
      <c r="H14" s="63"/>
      <c r="I14" s="63"/>
      <c r="J14" s="63"/>
      <c r="K14" s="63"/>
      <c r="L14" s="63"/>
      <c r="M14" s="63"/>
      <c r="N14" s="116"/>
      <c r="O14" s="133"/>
      <c r="P14" s="116"/>
    </row>
    <row r="15" spans="1:16" ht="39.75" customHeight="1">
      <c r="A15" s="129">
        <v>14</v>
      </c>
      <c r="B15" s="86" t="s">
        <v>83</v>
      </c>
      <c r="C15" s="86"/>
      <c r="D15" s="87">
        <f>SUM(D16:D18)</f>
        <v>8447</v>
      </c>
      <c r="E15" s="130">
        <f>SUM(D15+'таб. 4.1'!G43)</f>
        <v>11554.369999999999</v>
      </c>
      <c r="F15" s="131"/>
      <c r="H15" s="63"/>
      <c r="I15" s="63"/>
      <c r="J15" s="63"/>
      <c r="K15" s="63"/>
      <c r="L15" s="63"/>
      <c r="M15" s="63"/>
      <c r="N15" s="116"/>
      <c r="O15" s="133"/>
      <c r="P15" s="116"/>
    </row>
    <row r="16" spans="1:16" ht="25.5" customHeight="1">
      <c r="A16" s="135" t="s">
        <v>84</v>
      </c>
      <c r="B16" s="88" t="s">
        <v>85</v>
      </c>
      <c r="C16" s="89" t="s">
        <v>73</v>
      </c>
      <c r="D16" s="90">
        <f>3411.3+2498</f>
        <v>5909.3</v>
      </c>
      <c r="E16" s="136"/>
      <c r="F16" s="137"/>
      <c r="H16" s="63"/>
      <c r="I16" s="63"/>
      <c r="J16" s="63"/>
      <c r="K16" s="63"/>
      <c r="L16" s="63"/>
      <c r="M16" s="63"/>
      <c r="N16" s="116"/>
      <c r="O16" s="133"/>
      <c r="P16" s="116"/>
    </row>
    <row r="17" spans="1:16" ht="21.75" customHeight="1">
      <c r="A17" s="135" t="s">
        <v>86</v>
      </c>
      <c r="B17" s="91" t="s">
        <v>87</v>
      </c>
      <c r="C17" s="89" t="s">
        <v>73</v>
      </c>
      <c r="D17" s="90">
        <v>619.3</v>
      </c>
      <c r="E17" s="136"/>
      <c r="F17" s="137"/>
      <c r="H17" s="63"/>
      <c r="I17" s="63"/>
      <c r="J17" s="63"/>
      <c r="K17" s="63"/>
      <c r="L17" s="63"/>
      <c r="M17" s="63"/>
      <c r="N17" s="116"/>
      <c r="O17" s="133"/>
      <c r="P17" s="116"/>
    </row>
    <row r="18" spans="1:16" ht="73.5" customHeight="1">
      <c r="A18" s="135" t="s">
        <v>88</v>
      </c>
      <c r="B18" s="91" t="s">
        <v>89</v>
      </c>
      <c r="C18" s="89" t="s">
        <v>73</v>
      </c>
      <c r="D18" s="90">
        <v>1918.4</v>
      </c>
      <c r="E18" s="136"/>
      <c r="F18" s="137"/>
      <c r="H18" s="63"/>
      <c r="I18" s="63"/>
      <c r="J18" s="63"/>
      <c r="K18" s="63"/>
      <c r="L18" s="63"/>
      <c r="M18" s="63"/>
      <c r="N18" s="116"/>
      <c r="O18" s="133"/>
      <c r="P18" s="116"/>
    </row>
    <row r="19" spans="1:16" ht="39.75" customHeight="1">
      <c r="A19" s="129">
        <v>15</v>
      </c>
      <c r="B19" s="86" t="s">
        <v>21</v>
      </c>
      <c r="C19" s="86"/>
      <c r="D19" s="87">
        <f>SUM(D20+D22+D23)</f>
        <v>2741.484</v>
      </c>
      <c r="E19" s="130">
        <f>SUM(D19+'таб. 4.1'!G58)</f>
        <v>7278.852999999999</v>
      </c>
      <c r="F19" s="131"/>
      <c r="H19" s="63"/>
      <c r="I19" s="63"/>
      <c r="J19" s="63"/>
      <c r="K19" s="63"/>
      <c r="L19" s="63"/>
      <c r="M19" s="63"/>
      <c r="N19" s="116"/>
      <c r="O19" s="133"/>
      <c r="P19" s="116"/>
    </row>
    <row r="20" spans="1:16" ht="207.75" customHeight="1">
      <c r="A20" s="135" t="s">
        <v>90</v>
      </c>
      <c r="B20" s="93" t="s">
        <v>143</v>
      </c>
      <c r="C20" s="92" t="s">
        <v>73</v>
      </c>
      <c r="D20" s="90">
        <v>156</v>
      </c>
      <c r="E20" s="136"/>
      <c r="F20" s="137"/>
      <c r="H20" s="63"/>
      <c r="I20" s="63"/>
      <c r="J20" s="63"/>
      <c r="K20" s="63"/>
      <c r="L20" s="63"/>
      <c r="M20" s="63"/>
      <c r="N20" s="116"/>
      <c r="O20" s="133"/>
      <c r="P20" s="116"/>
    </row>
    <row r="21" spans="1:16" ht="302.25" customHeight="1">
      <c r="A21" s="135"/>
      <c r="B21" s="94" t="s">
        <v>91</v>
      </c>
      <c r="C21" s="92"/>
      <c r="D21" s="90">
        <v>156</v>
      </c>
      <c r="E21" s="136"/>
      <c r="F21" s="137"/>
      <c r="H21" s="63"/>
      <c r="I21" s="63"/>
      <c r="J21" s="63"/>
      <c r="K21" s="63"/>
      <c r="L21" s="63"/>
      <c r="M21" s="63"/>
      <c r="N21" s="116"/>
      <c r="O21" s="133"/>
      <c r="P21" s="116"/>
    </row>
    <row r="22" spans="1:15" ht="25.5" customHeight="1">
      <c r="A22" s="135" t="s">
        <v>71</v>
      </c>
      <c r="B22" s="88" t="s">
        <v>72</v>
      </c>
      <c r="C22" s="92" t="s">
        <v>73</v>
      </c>
      <c r="D22" s="90">
        <f>2208.484+77</f>
        <v>2285.484</v>
      </c>
      <c r="E22" s="136"/>
      <c r="F22" s="137"/>
      <c r="H22" s="63"/>
      <c r="I22" s="63"/>
      <c r="J22" s="63"/>
      <c r="K22" s="63"/>
      <c r="L22" s="63"/>
      <c r="M22" s="63"/>
      <c r="N22" s="116"/>
      <c r="O22" s="133"/>
    </row>
    <row r="23" spans="1:16" ht="55.5" customHeight="1">
      <c r="A23" s="135" t="s">
        <v>134</v>
      </c>
      <c r="B23" s="95" t="s">
        <v>135</v>
      </c>
      <c r="C23" s="92" t="s">
        <v>73</v>
      </c>
      <c r="D23" s="90">
        <v>300</v>
      </c>
      <c r="E23" s="136"/>
      <c r="F23" s="137"/>
      <c r="H23" s="63"/>
      <c r="I23" s="63"/>
      <c r="J23" s="63"/>
      <c r="K23" s="63"/>
      <c r="L23" s="63"/>
      <c r="M23" s="63"/>
      <c r="N23" s="116"/>
      <c r="O23" s="133"/>
      <c r="P23" s="116"/>
    </row>
    <row r="24" spans="1:16" ht="45" customHeight="1">
      <c r="A24" s="129">
        <v>24</v>
      </c>
      <c r="B24" s="86" t="s">
        <v>92</v>
      </c>
      <c r="C24" s="86"/>
      <c r="D24" s="87">
        <f>SUM(D25:D29)</f>
        <v>3039.3999999999996</v>
      </c>
      <c r="E24" s="130">
        <f>SUM(D24)</f>
        <v>3039.3999999999996</v>
      </c>
      <c r="F24" s="131"/>
      <c r="H24" s="63"/>
      <c r="I24" s="63"/>
      <c r="J24" s="63"/>
      <c r="K24" s="63"/>
      <c r="L24" s="63"/>
      <c r="M24" s="63"/>
      <c r="N24" s="116"/>
      <c r="O24" s="133"/>
      <c r="P24" s="116"/>
    </row>
    <row r="25" spans="1:15" ht="25.5" customHeight="1">
      <c r="A25" s="135" t="s">
        <v>93</v>
      </c>
      <c r="B25" s="88" t="s">
        <v>94</v>
      </c>
      <c r="C25" s="92" t="s">
        <v>73</v>
      </c>
      <c r="D25" s="90">
        <v>129.972</v>
      </c>
      <c r="E25" s="136"/>
      <c r="F25" s="137"/>
      <c r="H25" s="63"/>
      <c r="I25" s="63"/>
      <c r="J25" s="63"/>
      <c r="K25" s="63"/>
      <c r="L25" s="63"/>
      <c r="M25" s="63"/>
      <c r="N25" s="116"/>
      <c r="O25" s="133"/>
    </row>
    <row r="26" spans="1:15" ht="25.5" customHeight="1">
      <c r="A26" s="135" t="s">
        <v>95</v>
      </c>
      <c r="B26" s="88" t="s">
        <v>96</v>
      </c>
      <c r="C26" s="92" t="s">
        <v>73</v>
      </c>
      <c r="D26" s="90">
        <f>150+855.624</f>
        <v>1005.624</v>
      </c>
      <c r="E26" s="136"/>
      <c r="F26" s="137"/>
      <c r="H26" s="63"/>
      <c r="I26" s="63"/>
      <c r="J26" s="63"/>
      <c r="K26" s="63"/>
      <c r="L26" s="63"/>
      <c r="M26" s="63"/>
      <c r="N26" s="116"/>
      <c r="O26" s="133"/>
    </row>
    <row r="27" spans="1:15" ht="37.5">
      <c r="A27" s="135" t="s">
        <v>97</v>
      </c>
      <c r="B27" s="88" t="s">
        <v>98</v>
      </c>
      <c r="C27" s="92" t="s">
        <v>73</v>
      </c>
      <c r="D27" s="90">
        <f>74.4+32.756</f>
        <v>107.156</v>
      </c>
      <c r="E27" s="136"/>
      <c r="F27" s="137"/>
      <c r="H27" s="63"/>
      <c r="I27" s="63"/>
      <c r="J27" s="63"/>
      <c r="K27" s="63"/>
      <c r="L27" s="63"/>
      <c r="M27" s="63"/>
      <c r="N27" s="116"/>
      <c r="O27" s="133"/>
    </row>
    <row r="28" spans="1:15" ht="25.5" customHeight="1">
      <c r="A28" s="135" t="s">
        <v>99</v>
      </c>
      <c r="B28" s="92" t="s">
        <v>100</v>
      </c>
      <c r="C28" s="92" t="s">
        <v>73</v>
      </c>
      <c r="D28" s="90">
        <f>2512.692-888.38</f>
        <v>1624.312</v>
      </c>
      <c r="E28" s="136"/>
      <c r="F28" s="137"/>
      <c r="H28" s="63"/>
      <c r="I28" s="63"/>
      <c r="J28" s="63"/>
      <c r="K28" s="63"/>
      <c r="L28" s="63"/>
      <c r="M28" s="63"/>
      <c r="N28" s="116"/>
      <c r="O28" s="133"/>
    </row>
    <row r="29" spans="1:15" ht="25.5" customHeight="1">
      <c r="A29" s="135" t="s">
        <v>101</v>
      </c>
      <c r="B29" s="92" t="s">
        <v>102</v>
      </c>
      <c r="C29" s="92" t="s">
        <v>73</v>
      </c>
      <c r="D29" s="90">
        <v>172.336</v>
      </c>
      <c r="E29" s="136"/>
      <c r="F29" s="137"/>
      <c r="H29" s="63"/>
      <c r="I29" s="63"/>
      <c r="J29" s="63"/>
      <c r="K29" s="63"/>
      <c r="L29" s="63"/>
      <c r="M29" s="63"/>
      <c r="N29" s="116"/>
      <c r="O29" s="133"/>
    </row>
    <row r="30" spans="1:15" ht="58.5" customHeight="1">
      <c r="A30" s="129">
        <v>32</v>
      </c>
      <c r="B30" s="86" t="s">
        <v>103</v>
      </c>
      <c r="C30" s="86"/>
      <c r="D30" s="87">
        <f>SUM(D31)</f>
        <v>37</v>
      </c>
      <c r="E30" s="130">
        <f>SUM(D30+'таб. 4.1'!G62)</f>
        <v>1108.1999999999998</v>
      </c>
      <c r="F30" s="131"/>
      <c r="H30" s="63"/>
      <c r="I30" s="63"/>
      <c r="J30" s="63"/>
      <c r="K30" s="63"/>
      <c r="L30" s="63"/>
      <c r="M30" s="63"/>
      <c r="N30" s="116"/>
      <c r="O30" s="133"/>
    </row>
    <row r="31" spans="1:15" ht="25.5" customHeight="1">
      <c r="A31" s="135" t="s">
        <v>71</v>
      </c>
      <c r="B31" s="88" t="s">
        <v>72</v>
      </c>
      <c r="C31" s="92" t="s">
        <v>73</v>
      </c>
      <c r="D31" s="90">
        <v>37</v>
      </c>
      <c r="E31" s="136"/>
      <c r="F31" s="137"/>
      <c r="H31" s="63"/>
      <c r="I31" s="63"/>
      <c r="J31" s="63"/>
      <c r="K31" s="63"/>
      <c r="L31" s="63"/>
      <c r="M31" s="63"/>
      <c r="N31" s="116"/>
      <c r="O31" s="133"/>
    </row>
    <row r="32" spans="1:15" ht="40.5" customHeight="1">
      <c r="A32" s="138" t="s">
        <v>158</v>
      </c>
      <c r="B32" s="96" t="s">
        <v>159</v>
      </c>
      <c r="C32" s="92"/>
      <c r="D32" s="87">
        <v>43.05</v>
      </c>
      <c r="E32" s="136"/>
      <c r="F32" s="137"/>
      <c r="H32" s="63"/>
      <c r="I32" s="63"/>
      <c r="J32" s="63"/>
      <c r="K32" s="63"/>
      <c r="L32" s="63"/>
      <c r="M32" s="63"/>
      <c r="N32" s="116"/>
      <c r="O32" s="133"/>
    </row>
    <row r="33" spans="1:15" ht="29.25" customHeight="1">
      <c r="A33" s="135" t="s">
        <v>71</v>
      </c>
      <c r="B33" s="88" t="s">
        <v>72</v>
      </c>
      <c r="C33" s="92" t="s">
        <v>73</v>
      </c>
      <c r="D33" s="90">
        <v>43.05</v>
      </c>
      <c r="E33" s="136"/>
      <c r="F33" s="137"/>
      <c r="H33" s="63"/>
      <c r="I33" s="63"/>
      <c r="J33" s="63"/>
      <c r="K33" s="63"/>
      <c r="L33" s="63"/>
      <c r="M33" s="63"/>
      <c r="N33" s="116"/>
      <c r="O33" s="133"/>
    </row>
    <row r="34" spans="1:15" ht="58.5" customHeight="1">
      <c r="A34" s="129">
        <v>40</v>
      </c>
      <c r="B34" s="86" t="s">
        <v>145</v>
      </c>
      <c r="C34" s="86"/>
      <c r="D34" s="87">
        <f>SUM(D35:D38)</f>
        <v>37388.632</v>
      </c>
      <c r="E34" s="130">
        <f>SUM(D34+'таб. 4.1'!G64)</f>
        <v>83272.10299999997</v>
      </c>
      <c r="F34" s="131"/>
      <c r="H34" s="63"/>
      <c r="I34" s="63"/>
      <c r="J34" s="63"/>
      <c r="K34" s="63"/>
      <c r="L34" s="63"/>
      <c r="M34" s="63"/>
      <c r="N34" s="116"/>
      <c r="O34" s="133"/>
    </row>
    <row r="35" spans="1:15" ht="25.5" customHeight="1">
      <c r="A35" s="135" t="s">
        <v>71</v>
      </c>
      <c r="B35" s="88" t="s">
        <v>72</v>
      </c>
      <c r="C35" s="92" t="s">
        <v>73</v>
      </c>
      <c r="D35" s="90">
        <v>60</v>
      </c>
      <c r="E35" s="136"/>
      <c r="F35" s="137"/>
      <c r="H35" s="63"/>
      <c r="I35" s="63"/>
      <c r="J35" s="63"/>
      <c r="K35" s="63"/>
      <c r="L35" s="63"/>
      <c r="M35" s="63"/>
      <c r="N35" s="116"/>
      <c r="O35" s="133"/>
    </row>
    <row r="36" spans="1:15" ht="36" customHeight="1">
      <c r="A36" s="135" t="s">
        <v>104</v>
      </c>
      <c r="B36" s="88" t="s">
        <v>105</v>
      </c>
      <c r="C36" s="92" t="s">
        <v>73</v>
      </c>
      <c r="D36" s="90">
        <v>30715</v>
      </c>
      <c r="E36" s="136"/>
      <c r="F36" s="137"/>
      <c r="H36" s="63"/>
      <c r="I36" s="63"/>
      <c r="J36" s="63"/>
      <c r="K36" s="63"/>
      <c r="L36" s="63"/>
      <c r="M36" s="63"/>
      <c r="N36" s="116"/>
      <c r="O36" s="133"/>
    </row>
    <row r="37" spans="1:15" ht="25.5" customHeight="1">
      <c r="A37" s="135" t="s">
        <v>108</v>
      </c>
      <c r="B37" s="91" t="s">
        <v>146</v>
      </c>
      <c r="C37" s="92" t="s">
        <v>73</v>
      </c>
      <c r="D37" s="90">
        <v>4900</v>
      </c>
      <c r="E37" s="136"/>
      <c r="F37" s="137"/>
      <c r="H37" s="63"/>
      <c r="I37" s="63"/>
      <c r="J37" s="63"/>
      <c r="K37" s="63"/>
      <c r="L37" s="63"/>
      <c r="M37" s="63"/>
      <c r="N37" s="139"/>
      <c r="O37" s="133"/>
    </row>
    <row r="38" spans="1:15" ht="25.5" customHeight="1">
      <c r="A38" s="135" t="s">
        <v>106</v>
      </c>
      <c r="B38" s="88" t="s">
        <v>74</v>
      </c>
      <c r="C38" s="92" t="s">
        <v>73</v>
      </c>
      <c r="D38" s="90">
        <f>1700+13.632</f>
        <v>1713.632</v>
      </c>
      <c r="E38" s="136"/>
      <c r="F38" s="137"/>
      <c r="H38" s="63"/>
      <c r="I38" s="63"/>
      <c r="J38" s="63"/>
      <c r="K38" s="63"/>
      <c r="L38" s="63"/>
      <c r="M38" s="63"/>
      <c r="N38" s="116"/>
      <c r="O38" s="133"/>
    </row>
    <row r="39" spans="1:15" ht="54" customHeight="1">
      <c r="A39" s="129">
        <v>45</v>
      </c>
      <c r="B39" s="86" t="s">
        <v>109</v>
      </c>
      <c r="C39" s="86" t="s">
        <v>107</v>
      </c>
      <c r="D39" s="87">
        <f>SUM(D40)</f>
        <v>46.423</v>
      </c>
      <c r="E39" s="130">
        <f>SUM(D39)</f>
        <v>46.423</v>
      </c>
      <c r="F39" s="131"/>
      <c r="H39" s="63"/>
      <c r="I39" s="63"/>
      <c r="J39" s="63"/>
      <c r="K39" s="63"/>
      <c r="L39" s="63"/>
      <c r="M39" s="63"/>
      <c r="N39" s="139"/>
      <c r="O39" s="133"/>
    </row>
    <row r="40" spans="1:15" ht="25.5" customHeight="1">
      <c r="A40" s="135" t="s">
        <v>71</v>
      </c>
      <c r="B40" s="88" t="s">
        <v>72</v>
      </c>
      <c r="C40" s="92" t="s">
        <v>73</v>
      </c>
      <c r="D40" s="90">
        <f>36+10.423</f>
        <v>46.423</v>
      </c>
      <c r="E40" s="136"/>
      <c r="F40" s="137"/>
      <c r="H40" s="63"/>
      <c r="I40" s="63"/>
      <c r="J40" s="63"/>
      <c r="K40" s="63"/>
      <c r="L40" s="63"/>
      <c r="M40" s="63"/>
      <c r="N40" s="139"/>
      <c r="O40" s="133"/>
    </row>
    <row r="41" spans="1:15" ht="39" customHeight="1">
      <c r="A41" s="129">
        <v>56</v>
      </c>
      <c r="B41" s="86" t="s">
        <v>124</v>
      </c>
      <c r="C41" s="86" t="s">
        <v>107</v>
      </c>
      <c r="D41" s="87">
        <f>SUM(D42)</f>
        <v>29</v>
      </c>
      <c r="E41" s="130">
        <f>SUM(D41)</f>
        <v>29</v>
      </c>
      <c r="F41" s="131"/>
      <c r="H41" s="63"/>
      <c r="I41" s="63"/>
      <c r="J41" s="63"/>
      <c r="K41" s="63"/>
      <c r="L41" s="63"/>
      <c r="M41" s="63"/>
      <c r="N41" s="139"/>
      <c r="O41" s="133"/>
    </row>
    <row r="42" spans="1:15" ht="25.5" customHeight="1">
      <c r="A42" s="135" t="s">
        <v>71</v>
      </c>
      <c r="B42" s="88" t="s">
        <v>72</v>
      </c>
      <c r="C42" s="92" t="s">
        <v>73</v>
      </c>
      <c r="D42" s="90">
        <v>29</v>
      </c>
      <c r="E42" s="136"/>
      <c r="F42" s="137"/>
      <c r="H42" s="63"/>
      <c r="I42" s="63"/>
      <c r="J42" s="63"/>
      <c r="K42" s="63"/>
      <c r="L42" s="63"/>
      <c r="M42" s="63"/>
      <c r="N42" s="139"/>
      <c r="O42" s="133"/>
    </row>
    <row r="43" spans="1:15" ht="56.25" customHeight="1">
      <c r="A43" s="140">
        <v>67</v>
      </c>
      <c r="B43" s="97" t="s">
        <v>152</v>
      </c>
      <c r="C43" s="86"/>
      <c r="D43" s="87">
        <f>SUM(D44:D45)</f>
        <v>6922.539</v>
      </c>
      <c r="E43" s="130">
        <f>SUM(D43)</f>
        <v>6922.539</v>
      </c>
      <c r="F43" s="131"/>
      <c r="G43" s="134"/>
      <c r="H43" s="63"/>
      <c r="I43" s="63"/>
      <c r="J43" s="63"/>
      <c r="K43" s="63"/>
      <c r="L43" s="63"/>
      <c r="M43" s="63"/>
      <c r="N43" s="116"/>
      <c r="O43" s="133"/>
    </row>
    <row r="44" spans="1:15" ht="60.75" customHeight="1">
      <c r="A44" s="141" t="s">
        <v>44</v>
      </c>
      <c r="B44" s="98" t="s">
        <v>63</v>
      </c>
      <c r="C44" s="92" t="s">
        <v>73</v>
      </c>
      <c r="D44" s="90">
        <v>6850</v>
      </c>
      <c r="E44" s="136"/>
      <c r="F44" s="137"/>
      <c r="G44" s="134"/>
      <c r="H44" s="63"/>
      <c r="I44" s="63"/>
      <c r="J44" s="63"/>
      <c r="K44" s="63"/>
      <c r="L44" s="63"/>
      <c r="M44" s="63"/>
      <c r="N44" s="116"/>
      <c r="O44" s="133"/>
    </row>
    <row r="45" spans="1:15" ht="39" customHeight="1">
      <c r="A45" s="141" t="s">
        <v>127</v>
      </c>
      <c r="B45" s="98" t="s">
        <v>128</v>
      </c>
      <c r="C45" s="92" t="s">
        <v>73</v>
      </c>
      <c r="D45" s="90">
        <v>72.539</v>
      </c>
      <c r="E45" s="136"/>
      <c r="F45" s="137"/>
      <c r="G45" s="134"/>
      <c r="H45" s="63"/>
      <c r="I45" s="63"/>
      <c r="J45" s="63"/>
      <c r="K45" s="63"/>
      <c r="L45" s="63"/>
      <c r="M45" s="63"/>
      <c r="N45" s="116"/>
      <c r="O45" s="133"/>
    </row>
    <row r="46" spans="1:15" ht="37.5" customHeight="1">
      <c r="A46" s="138">
        <v>73</v>
      </c>
      <c r="B46" s="86" t="s">
        <v>11</v>
      </c>
      <c r="C46" s="86"/>
      <c r="D46" s="87">
        <f>SUM(D47:D48)</f>
        <v>6716.751</v>
      </c>
      <c r="E46" s="130">
        <f>SUM(D46+'таб. 4.1'!G152)</f>
        <v>10465.768</v>
      </c>
      <c r="F46" s="131"/>
      <c r="G46" s="134"/>
      <c r="H46" s="63"/>
      <c r="I46" s="63"/>
      <c r="J46" s="63"/>
      <c r="K46" s="63"/>
      <c r="L46" s="63"/>
      <c r="M46" s="63"/>
      <c r="N46" s="116"/>
      <c r="O46" s="133"/>
    </row>
    <row r="47" spans="1:15" ht="25.5" customHeight="1">
      <c r="A47" s="135" t="s">
        <v>71</v>
      </c>
      <c r="B47" s="88" t="s">
        <v>72</v>
      </c>
      <c r="C47" s="92" t="s">
        <v>73</v>
      </c>
      <c r="D47" s="90">
        <v>30</v>
      </c>
      <c r="E47" s="136"/>
      <c r="F47" s="137"/>
      <c r="G47" s="134"/>
      <c r="H47" s="63"/>
      <c r="I47" s="63"/>
      <c r="J47" s="63"/>
      <c r="K47" s="63"/>
      <c r="L47" s="63"/>
      <c r="M47" s="63"/>
      <c r="N47" s="116"/>
      <c r="O47" s="133"/>
    </row>
    <row r="48" spans="1:15" ht="60.75" customHeight="1">
      <c r="A48" s="142" t="s">
        <v>44</v>
      </c>
      <c r="B48" s="99" t="s">
        <v>63</v>
      </c>
      <c r="C48" s="100" t="s">
        <v>73</v>
      </c>
      <c r="D48" s="101">
        <v>6686.751</v>
      </c>
      <c r="E48" s="136"/>
      <c r="F48" s="137"/>
      <c r="G48" s="134"/>
      <c r="H48" s="63"/>
      <c r="I48" s="63"/>
      <c r="J48" s="63"/>
      <c r="K48" s="63"/>
      <c r="L48" s="63"/>
      <c r="M48" s="63"/>
      <c r="N48" s="116"/>
      <c r="O48" s="133"/>
    </row>
    <row r="49" spans="1:15" ht="60.75" customHeight="1">
      <c r="A49" s="143" t="s">
        <v>161</v>
      </c>
      <c r="B49" s="31" t="s">
        <v>24</v>
      </c>
      <c r="C49" s="102"/>
      <c r="D49" s="103" t="s">
        <v>163</v>
      </c>
      <c r="E49" s="136">
        <f>SUM(D49+'таб. 4.1'!G164)</f>
        <v>5336.067</v>
      </c>
      <c r="F49" s="137"/>
      <c r="G49" s="134"/>
      <c r="H49" s="63"/>
      <c r="I49" s="63"/>
      <c r="J49" s="63"/>
      <c r="K49" s="63"/>
      <c r="L49" s="63"/>
      <c r="M49" s="63"/>
      <c r="N49" s="116"/>
      <c r="O49" s="133"/>
    </row>
    <row r="50" spans="1:15" ht="30.75" customHeight="1">
      <c r="A50" s="141" t="s">
        <v>108</v>
      </c>
      <c r="B50" s="102" t="s">
        <v>162</v>
      </c>
      <c r="C50" s="102" t="s">
        <v>73</v>
      </c>
      <c r="D50" s="104" t="s">
        <v>163</v>
      </c>
      <c r="E50" s="136"/>
      <c r="F50" s="137"/>
      <c r="G50" s="134"/>
      <c r="H50" s="63"/>
      <c r="I50" s="63"/>
      <c r="J50" s="63"/>
      <c r="K50" s="63"/>
      <c r="L50" s="63"/>
      <c r="M50" s="63"/>
      <c r="N50" s="116"/>
      <c r="O50" s="133"/>
    </row>
    <row r="51" spans="1:15" ht="30.75" customHeight="1">
      <c r="A51" s="73" t="s">
        <v>139</v>
      </c>
      <c r="B51" s="31" t="s">
        <v>42</v>
      </c>
      <c r="C51" s="102"/>
      <c r="D51" s="105">
        <f>SUM(D53+D52)</f>
        <v>22.896</v>
      </c>
      <c r="E51" s="136">
        <f>SUM(D51+'таб. 4.1'!G178)</f>
        <v>1148.753</v>
      </c>
      <c r="F51" s="137"/>
      <c r="G51" s="134"/>
      <c r="H51" s="63"/>
      <c r="I51" s="63"/>
      <c r="J51" s="63"/>
      <c r="K51" s="63"/>
      <c r="L51" s="63"/>
      <c r="M51" s="63"/>
      <c r="N51" s="116"/>
      <c r="O51" s="133"/>
    </row>
    <row r="52" spans="1:15" ht="30.75" customHeight="1">
      <c r="A52" s="141" t="s">
        <v>71</v>
      </c>
      <c r="B52" s="102" t="s">
        <v>72</v>
      </c>
      <c r="C52" s="102" t="s">
        <v>73</v>
      </c>
      <c r="D52" s="104" t="s">
        <v>164</v>
      </c>
      <c r="E52" s="136"/>
      <c r="F52" s="137"/>
      <c r="G52" s="134"/>
      <c r="H52" s="63"/>
      <c r="I52" s="63"/>
      <c r="J52" s="63"/>
      <c r="K52" s="63"/>
      <c r="L52" s="63"/>
      <c r="M52" s="63"/>
      <c r="N52" s="116"/>
      <c r="O52" s="133"/>
    </row>
    <row r="53" spans="1:15" ht="30.75" customHeight="1">
      <c r="A53" s="141" t="s">
        <v>108</v>
      </c>
      <c r="B53" s="102" t="s">
        <v>165</v>
      </c>
      <c r="C53" s="102" t="s">
        <v>73</v>
      </c>
      <c r="D53" s="104" t="s">
        <v>166</v>
      </c>
      <c r="E53" s="136"/>
      <c r="F53" s="137"/>
      <c r="G53" s="134"/>
      <c r="H53" s="63"/>
      <c r="I53" s="63"/>
      <c r="J53" s="63"/>
      <c r="K53" s="63"/>
      <c r="L53" s="63"/>
      <c r="M53" s="63"/>
      <c r="N53" s="116"/>
      <c r="O53" s="133"/>
    </row>
    <row r="54" spans="1:15" ht="36" customHeight="1">
      <c r="A54" s="127" t="s">
        <v>168</v>
      </c>
      <c r="B54" s="31" t="s">
        <v>167</v>
      </c>
      <c r="C54" s="106"/>
      <c r="D54" s="107" t="s">
        <v>169</v>
      </c>
      <c r="E54" s="136"/>
      <c r="F54" s="137"/>
      <c r="G54" s="134"/>
      <c r="H54" s="63"/>
      <c r="I54" s="63"/>
      <c r="J54" s="63"/>
      <c r="K54" s="63"/>
      <c r="L54" s="63"/>
      <c r="M54" s="63"/>
      <c r="N54" s="116"/>
      <c r="O54" s="133"/>
    </row>
    <row r="55" spans="1:15" ht="39.75" customHeight="1" thickBot="1">
      <c r="A55" s="144" t="s">
        <v>71</v>
      </c>
      <c r="B55" s="108" t="s">
        <v>72</v>
      </c>
      <c r="C55" s="109" t="s">
        <v>73</v>
      </c>
      <c r="D55" s="110">
        <v>146.388</v>
      </c>
      <c r="E55" s="136"/>
      <c r="F55" s="137"/>
      <c r="G55" s="134"/>
      <c r="H55" s="63"/>
      <c r="I55" s="63"/>
      <c r="J55" s="63"/>
      <c r="K55" s="63"/>
      <c r="L55" s="63"/>
      <c r="M55" s="63"/>
      <c r="N55" s="116"/>
      <c r="O55" s="133"/>
    </row>
    <row r="57" spans="1:4" ht="33" customHeight="1">
      <c r="A57" s="192"/>
      <c r="B57" s="192"/>
      <c r="C57" s="192"/>
      <c r="D57" s="192"/>
    </row>
    <row r="58" spans="1:9" s="148" customFormat="1" ht="95.25" customHeight="1">
      <c r="A58" s="193" t="s">
        <v>110</v>
      </c>
      <c r="B58" s="193"/>
      <c r="C58" s="194" t="s">
        <v>111</v>
      </c>
      <c r="D58" s="194"/>
      <c r="E58" s="146"/>
      <c r="F58" s="147"/>
      <c r="G58" s="147"/>
      <c r="H58" s="147"/>
      <c r="I58" s="147"/>
    </row>
    <row r="59" ht="18.75" hidden="1"/>
  </sheetData>
  <sheetProtection/>
  <mergeCells count="6">
    <mergeCell ref="A58:B58"/>
    <mergeCell ref="C58:D58"/>
    <mergeCell ref="A2:D2"/>
    <mergeCell ref="C4:C5"/>
    <mergeCell ref="D4:D5"/>
    <mergeCell ref="A57:D57"/>
  </mergeCells>
  <printOptions/>
  <pageMargins left="0.7086614173228347" right="0.7086614173228347" top="0.7480314960629921" bottom="0.2755905511811024" header="0.4724409448818898" footer="0.2362204724409449"/>
  <pageSetup firstPageNumber="17" useFirstPageNumber="1" horizontalDpi="600" verticalDpi="600" orientation="portrait" paperSize="9" scale="84"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dc:creator>
  <cp:keywords/>
  <dc:description/>
  <cp:lastModifiedBy>админ</cp:lastModifiedBy>
  <cp:lastPrinted>2013-01-29T11:13:11Z</cp:lastPrinted>
  <dcterms:created xsi:type="dcterms:W3CDTF">2010-08-18T08:39:04Z</dcterms:created>
  <dcterms:modified xsi:type="dcterms:W3CDTF">2013-02-07T13:15:14Z</dcterms:modified>
  <cp:category/>
  <cp:version/>
  <cp:contentType/>
  <cp:contentStatus/>
</cp:coreProperties>
</file>