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activeTab="0"/>
  </bookViews>
  <sheets>
    <sheet name="24.12.2012" sheetId="1" r:id="rId1"/>
  </sheets>
  <externalReferences>
    <externalReference r:id="rId4"/>
  </externalReferences>
  <definedNames>
    <definedName name="_xlnm.Print_Titles" localSheetId="0">'24.12.2012'!$11:$11</definedName>
    <definedName name="_xlnm.Print_Area" localSheetId="0">'24.12.2012'!$A$1:$G$465</definedName>
  </definedNames>
  <calcPr fullCalcOnLoad="1"/>
</workbook>
</file>

<file path=xl/sharedStrings.xml><?xml version="1.0" encoding="utf-8"?>
<sst xmlns="http://schemas.openxmlformats.org/spreadsheetml/2006/main" count="784" uniqueCount="395">
  <si>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</si>
  <si>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</si>
  <si>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</si>
  <si>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</si>
  <si>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</si>
  <si>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</si>
  <si>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</si>
  <si>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</si>
  <si>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</si>
  <si>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</si>
  <si>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</si>
  <si>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</si>
  <si>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</si>
  <si>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</si>
  <si>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Реконструкція прибудови до житлової будівлі під амбулаторію сімейного лікаря по вул. Дорошенко, 3 в Хортицькому районі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</si>
  <si>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</si>
  <si>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</si>
  <si>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</si>
  <si>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Управління соціального захисту населення Запорізької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</si>
  <si>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</si>
  <si>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</si>
  <si>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25.02.2013 №34 </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</si>
  <si>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</si>
  <si>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</si>
  <si>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</si>
  <si>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</si>
  <si>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</si>
  <si>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</si>
  <si>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</si>
  <si>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</si>
  <si>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</si>
  <si>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</si>
  <si>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</si>
  <si>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</si>
  <si>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</si>
  <si>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</si>
  <si>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</si>
  <si>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</si>
  <si>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</si>
  <si>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</si>
  <si>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</si>
  <si>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</si>
  <si>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</si>
  <si>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</si>
  <si>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</si>
  <si>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</si>
  <si>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</si>
  <si>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</si>
  <si>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</si>
  <si>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</si>
  <si>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</si>
  <si>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</si>
  <si>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</si>
  <si>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 xml:space="preserve">Реконструкція, переобладнання та перепланування гуртожитку під житловий будинок  по вул. Нахімова, 6  — погашення заборгованості за минулі роки </t>
  </si>
  <si>
    <t xml:space="preserve">Реконструкція гуртожитку по вул.Цегельній, 13 м. Запоріжжя під житловий будинок </t>
  </si>
  <si>
    <t>Реконструкція, переобладнання та перепланування гуртожитку під житловий будинок по вул.Українській, 4</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</si>
  <si>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</si>
  <si>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</si>
  <si>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</si>
  <si>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</si>
  <si>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</si>
  <si>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</si>
  <si>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житлового будинку по пл.Профспілок, 4</t>
  </si>
  <si>
    <t>Винос водогону з під житлової забудови по вул.Первомайській (від вул.Кооперативної до вул.Української,92) (проектні та будівельні роботи)</t>
  </si>
  <si>
    <t>Реконструкція водопроводу Д-630мм по вул. Первомайській (від ЗЦП до вул. Кооперативної)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</si>
  <si>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</si>
  <si>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</si>
  <si>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Реконструкція дороги по вул. Глісерній з автомобільною стоянкою в районі парку «Дубовий гай» м. Запоріжжя</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</si>
  <si>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</si>
  <si>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</si>
  <si>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</si>
  <si>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Будівництво світлофорного об"єкту на перехресті вул. Грязнова - вул. Артема</t>
  </si>
  <si>
    <t>Реконструкція тротуару по вул. Новокузнецькій (непарна сторона)</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</si>
  <si>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</si>
  <si>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</si>
  <si>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</si>
  <si>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</si>
  <si>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</si>
  <si>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</si>
  <si>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</si>
  <si>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</si>
  <si>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Будівництво теплової мережі до 3 - ої секції житлового будинку по вул.Дзержинського, 114 (проектні та будівельні роботи)</t>
  </si>
  <si>
    <t>Інженерне забезпечення (електропостачання) об'єкту "Будівництво та облаштування притулку для утримання безпритульних тварин м.Запоріжжя"</t>
  </si>
  <si>
    <t>Будівництво дитячого будинку сімейного типу (проектно-вишукувальні роботи)</t>
  </si>
  <si>
    <t xml:space="preserve">Реконструкція частини центральної пішохідної алеї по пр. Ювілейному в м.Запоріжжі (проектні робота, експертиза)
</t>
  </si>
  <si>
    <t>Будівництво дорожнього полотна провулку Ставропольського (проектні та будівельні роботи) — погашення заборгованості минулих років</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</si>
  <si>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минулих років</t>
  </si>
  <si>
    <t xml:space="preserve">Реконструкція мереж зовнішнього освітлення вул. Перемоги, 80 (КУ «Міська клінічна лікарня екстреної та швидкої медичної допомоги») </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</si>
  <si>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</si>
  <si>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Бородінська - погашення заборгованості за минулі роки</t>
  </si>
  <si>
    <t>Будівництво мереж зовнішнього освітлення по вул. Вогнетривка, 1-11 (проектні роботи та експертиза)</t>
  </si>
  <si>
    <t>Будівництво мереж зовнішнього освітлення по вул.Прияружна, 4а-12 (проектні роботи та експертиза)</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</si>
  <si>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минулих років</t>
  </si>
  <si>
    <t>Будівництво мереж зовнішнього освітлення вулиці Історична від буд. 1 до буд. 5 (проектні роботи)  — погашення заборгованості минулих років</t>
  </si>
  <si>
    <t>Будівництво мереж зовнішнього освітлення вулиці  Косарєва (проектні роботи)  — погашення заборгованості минулих років</t>
  </si>
  <si>
    <t>Будівництво мереж зовнішнього освітлення  пров.Кедровий (проектні роботи) — погашення заборгованості минулих років</t>
  </si>
  <si>
    <t>Будівництво мереж зовнішнього освітлення пров.Якутський (проектні роботи)  — погашення заборгованості минулих років</t>
  </si>
  <si>
    <t>Реконструкція шляхопроводу через р. Мокра Московка на автошляху Харків-Сімферополь (проектні роботи)  — погашення заборгованості минулих років</t>
  </si>
  <si>
    <t>Реконструкція автошляхопроводу  по вул. Карпенка-Карого (проектні роботи, експертиза)  — погашення заборгованості минулих років</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</si>
  <si>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 погашення заборгованості минулих років</t>
  </si>
  <si>
    <t>Завершення будівництва по вул. Калнишевського, вул. Дорошенко, вул. Рубана (зовнішнє освітлення та дороги)   — погашення заборгованості минулих років</t>
  </si>
  <si>
    <t>Реконструкція дороги по вул. Нагнибіди в Комунарському районі (проектні роботи, експертиза)   — погашення заборгованості минулих років</t>
  </si>
  <si>
    <t xml:space="preserve">Реконструкція пр. Леніна на ділянці від вул. Кірова до залізничній станції «Запоріжжя-1» (ділянка від вул. Кірова до вул. Космічної)  — погашення заборгованості минулих років
</t>
  </si>
  <si>
    <t xml:space="preserve">Реконструкція вул. Шамотної в межах від вул. Електричної до вул. Шламової (проектні та будівельні роботи)  — погашення заборгованості минулих років
</t>
  </si>
  <si>
    <t xml:space="preserve">Реконструкція вул. Фінальної в межах від вул. Північне шосе до вул. Історичної (проектні та будівельні роботи)  — погашення заборгованості минулих років
</t>
  </si>
  <si>
    <t xml:space="preserve">Реконструкція вул. Ніжинської в межах від вул. Олександра Невського до вул. Шмідта (проектні та будівельні роботи)  — погашення заборгованості минулих років
</t>
  </si>
  <si>
    <t xml:space="preserve">Реконструкція вул. Медичної в межах від вул. Айвазовського до вул. Панаса Мирного (проектні та будівельні роботи)  — погашення заборгованості минулих років
</t>
  </si>
  <si>
    <t xml:space="preserve">Реконструкція скверу ім.60-річчя СРСР та прилеглої території в м.Запоріжжі (ескізний проект) — погашення заборгованості минулих років
</t>
  </si>
  <si>
    <t xml:space="preserve">Реконструкція скидного зливового колектору в районі насосної станції № 29 в Хортицькому районі (проектні роботи, експертиза) — погашення заборгованості минулих років
</t>
  </si>
  <si>
    <t xml:space="preserve">Реконструкція парку   «Перемоги» в м. Запоріжжя (ІІ черга)  — погашення заборгованості минулих років
</t>
  </si>
  <si>
    <t xml:space="preserve">Котельня по вул.Панфьорова, 146а - технічне переоснащення  — погашення заборгованості минулих років
</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</si>
  <si>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</si>
  <si>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</si>
  <si>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</si>
  <si>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</si>
  <si>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</si>
  <si>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</si>
  <si>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</si>
  <si>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</si>
  <si>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</si>
  <si>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</si>
  <si>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</si>
  <si>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Телебачення та радіомовлення</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</si>
  <si>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</si>
  <si>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</si>
  <si>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</si>
  <si>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</si>
  <si>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</si>
  <si>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</si>
  <si>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</si>
  <si>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</si>
  <si>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</si>
  <si>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</si>
  <si>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</si>
  <si>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 — погашення заборгованості за минулі роки</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</si>
  <si>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</si>
  <si>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Будівництво позаквартальних інженерних мереж та споруд по вул. Алмазній  (проектні роботи)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</si>
  <si>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</si>
  <si>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</si>
  <si>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</si>
  <si>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</si>
  <si>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</si>
  <si>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Субвенція з місцевого бюджету державному бюджету на виконання програм соціально-економічного та культурного розвитку регіонів</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</si>
  <si>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</si>
  <si>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</si>
  <si>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</si>
  <si>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</si>
  <si>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Реконструкція частини центральної пішохідної алеї по пр. Ювілейному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</si>
  <si>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</si>
  <si>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</si>
  <si>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</si>
  <si>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</si>
  <si>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</si>
  <si>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</si>
  <si>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Правда-вул. Чубаря м.Запоріжжя (проектні та будівельні роботи)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</si>
  <si>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</si>
  <si>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</si>
  <si>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Реконструкція скверу на пл.Театральній зі спорудженням пам'ятника Т.Г.Шевченку (проектні роботи та експертиза)</t>
  </si>
  <si>
    <t>Реконструкція  центральної алеї парку "Дубовий гай" в м. Запоріжжя — погашення заборгованості за минулі роки</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</si>
  <si>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</si>
  <si>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</si>
  <si>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</si>
  <si>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</si>
  <si>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</si>
  <si>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</si>
  <si>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</si>
  <si>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</si>
  <si>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</si>
  <si>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минулих років</t>
  </si>
  <si>
    <t xml:space="preserve">Реконструкція Палацу спорту "Юність" в м. Запоріжжя"(проектні роботи) </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</si>
  <si>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роботи та експертиза) </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</si>
  <si>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</si>
  <si>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</si>
  <si>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</si>
  <si>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</si>
  <si>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</si>
  <si>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</si>
  <si>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 Ракетній, 38а </t>
  </si>
  <si>
    <t xml:space="preserve">Житловий будинок по бул. Вінтера,50 - реконструкція  </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</si>
  <si>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</si>
  <si>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</si>
  <si>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 xml:space="preserve">Реконструкція контейнерного майданчика по вул.Матросова,25  </t>
  </si>
  <si>
    <t xml:space="preserve">Реконструкція контейнерного майданчика по пр.Маяковського,10 </t>
  </si>
  <si>
    <t xml:space="preserve">Реконструкція контейнерного майданчика по вул.Перемоги,59  </t>
  </si>
  <si>
    <t xml:space="preserve">Реконструкція контейнерного майданчика по вул.Південноукраїнська,19  </t>
  </si>
  <si>
    <t xml:space="preserve">Реконструкція контейнерного майданчика по вул.Південноукраїнська,13 </t>
  </si>
  <si>
    <t xml:space="preserve">Реконструкція контейнерного майданчика по вул.Патріотична,64б </t>
  </si>
  <si>
    <t xml:space="preserve">Реконструкція контейнерного майданчика по пр.Леніна,133 </t>
  </si>
  <si>
    <t xml:space="preserve">Реконструкція контейнерного майданчика по бул.Шевченко,42  </t>
  </si>
  <si>
    <t xml:space="preserve">Реконструкція контейнерного майданчика по вул.Тбіліська,9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</si>
  <si>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</si>
  <si>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</si>
  <si>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</si>
  <si>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</si>
  <si>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Будівництво спортивного майданчику у парку Перемоги (проектні та будівельні роботи)</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</si>
  <si>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</si>
  <si>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</si>
  <si>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Термомодернізація будівлі комунальної установи "Центральна поліклініка Жовтневого району" по пр.Леніна, 88</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</si>
  <si>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</si>
  <si>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</si>
  <si>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</si>
  <si>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</si>
  <si>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</si>
  <si>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Ліквідація аварійного стану будівлі навчально-виховного комплексу № 19 по вул. Військбуд, 13 Шевченківського району (проектні та будівельні роботи) -погашення заборгованості за минулі роки</t>
  </si>
  <si>
    <t>Реконструкція самопливного каналізаціного колектору по пр.Металургів від вул.Рекордної до вул.Лучєвої</t>
  </si>
  <si>
    <t>в тому числі</t>
  </si>
  <si>
    <t>пр.Леніна, 143;</t>
  </si>
  <si>
    <t>вул. Перемоги, 65</t>
  </si>
  <si>
    <t xml:space="preserve">вул. Лермонтова, 26 </t>
  </si>
  <si>
    <t>вул. Гагаріна, 8</t>
  </si>
  <si>
    <t>вул. Н.Містечка, 19 гол. фасад.</t>
  </si>
  <si>
    <t>вул. Запорізька, 6</t>
  </si>
  <si>
    <t>вул. Українська, 57</t>
  </si>
  <si>
    <t>вул.Гудименко,9</t>
  </si>
  <si>
    <t>пр.Ювілейний,23А</t>
  </si>
  <si>
    <t>вул.Рубана,24</t>
  </si>
  <si>
    <t>вул.Рубана,21</t>
  </si>
  <si>
    <t>вул.Задніпровська,21</t>
  </si>
  <si>
    <t>вул.Задніпровська,27</t>
  </si>
  <si>
    <t xml:space="preserve">вул. Портова, буд. 2                                                                                                                                          </t>
  </si>
  <si>
    <t>вул. Південне шосе,буд. 2</t>
  </si>
  <si>
    <t xml:space="preserve">вул.Чарівна,95   </t>
  </si>
  <si>
    <t>вул.Військбуд,84</t>
  </si>
  <si>
    <t>вул.Памірська,91</t>
  </si>
  <si>
    <t xml:space="preserve">вул.Ак.В.Я.Климова-Кругова,1/109 </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</si>
  <si>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</si>
  <si>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</si>
  <si>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</si>
  <si>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</si>
  <si>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</si>
  <si>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</si>
  <si>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</si>
  <si>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</si>
  <si>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</si>
  <si>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</si>
  <si>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</si>
  <si>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</si>
  <si>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40 років Радянської    України, 49</t>
  </si>
  <si>
    <t>вул. Миру, 5</t>
  </si>
  <si>
    <t>бул. Центральний, 3</t>
  </si>
  <si>
    <t>вул. Лермонтова, 6</t>
  </si>
  <si>
    <t>вул. Перемоги, 119-б;</t>
  </si>
  <si>
    <t>вул. Гоголя, 120</t>
  </si>
  <si>
    <t>вул. Магістральна,  72а</t>
  </si>
  <si>
    <t>вул. Магістральна, 92а</t>
  </si>
  <si>
    <t>вул. Чарівна, 127</t>
  </si>
  <si>
    <t>вул.Ніжинській,66</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</si>
  <si>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</si>
  <si>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</si>
  <si>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</si>
  <si>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</si>
  <si>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</si>
  <si>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</si>
  <si>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</si>
  <si>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</si>
  <si>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</si>
  <si>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</si>
  <si>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</si>
  <si>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в тому числі за адресами:</t>
  </si>
  <si>
    <t>Внески у статутні капітали комунальних підприємств міста  - погашення заборгованості за минулі роки</t>
  </si>
  <si>
    <t>Комунальне підприємство "Експлуатаційне лінійне управління автомобільних шляхів" (придбання тротуароприбиральної машини Джонстон CN 101 - 2 одиниці, підмітально-прибиральної машини Brod Sweeden AB Scandia 2 - 1 одиниця, дорожньо-розміточної машини Graco Line Lazer IV 3900 - 1 одиниця)</t>
  </si>
  <si>
    <t>Міське комунальне підприємство "Основаніє" (придбання мотоблоків з причепом - 20 одиниць, шнеків для розчищення снігу - 50 одиниць, екскаваторів Борекс - 2106 - 2 одиниці, трактору ХТЗ 2511 - 3 одиниці)</t>
  </si>
  <si>
    <t>Концерн "Міські теплові мережі" (придбання автомобіль ЗАЗ Lanos - 2 одиниці, автомобіль Chevrolet Lacetti - 3 одиниці)</t>
  </si>
  <si>
    <t xml:space="preserve">Комунальна установа «Запорізька міська багатопрофільна дитяча лікарня №5»  (відділення недоношених новонароджених)  - реконструкція  </t>
  </si>
  <si>
    <t>Реконструкція площі другого поверху травматологічного корпусу КУ "Міська багатопрофільна клінічна лікарня №9" (проектні роботи)</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</si>
  <si>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</si>
  <si>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</si>
  <si>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</si>
  <si>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</si>
  <si>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Запорізьке комунальне підприємство міського електротранспорту "Запоріжелектротранс" (проведення капітального ремонту понтону, модернізація контактної мережі тролейбусу на греблі "Дніпрогес" та дільниці від площі Леніна до естакади через шлюзи,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</si>
  <si>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(проведення заходів для проходження чергової  сертифікаційної перевірки)</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</si>
  <si>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</si>
  <si>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</si>
  <si>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</si>
  <si>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</si>
  <si>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</si>
  <si>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</si>
  <si>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</si>
  <si>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</si>
  <si>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</si>
  <si>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</si>
  <si>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</si>
  <si>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</si>
  <si>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</si>
  <si>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</si>
  <si>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</si>
  <si>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</si>
  <si>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</si>
  <si>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</si>
  <si>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</si>
  <si>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</si>
  <si>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</si>
  <si>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</si>
  <si>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</si>
  <si>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</si>
  <si>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</si>
  <si>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</si>
  <si>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</si>
  <si>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</si>
  <si>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</si>
  <si>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</si>
  <si>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</si>
  <si>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</si>
  <si>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</si>
  <si>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</si>
  <si>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</si>
  <si>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</si>
  <si>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</si>
  <si>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</si>
  <si>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</si>
  <si>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</si>
  <si>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</si>
  <si>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</si>
  <si>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</si>
  <si>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</si>
  <si>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</si>
  <si>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</si>
  <si>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</si>
  <si>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</si>
  <si>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 xml:space="preserve">Реконструкція мереж зовнішнього освітлення по вул. Молодогвардійська </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</si>
  <si>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</si>
  <si>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</si>
  <si>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</si>
  <si>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</si>
  <si>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</si>
  <si>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</si>
  <si>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</si>
  <si>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</si>
  <si>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</si>
  <si>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</si>
  <si>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</si>
  <si>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</si>
  <si>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</si>
  <si>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</si>
  <si>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</si>
  <si>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</si>
  <si>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</si>
  <si>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</si>
  <si>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</si>
  <si>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</si>
  <si>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 xml:space="preserve">вул.Історична, 37 </t>
  </si>
  <si>
    <t>вул.Історична, 73</t>
  </si>
  <si>
    <t>вул.Республіканська, 51</t>
  </si>
  <si>
    <t>вул.Чернівецька,6</t>
  </si>
  <si>
    <t>вул.Зестафонська,10-б</t>
  </si>
  <si>
    <t>вул.Дніпровські пороги,21</t>
  </si>
  <si>
    <t>вул.Зернова,30а</t>
  </si>
  <si>
    <t>вул.Кремлівська,81</t>
  </si>
  <si>
    <t>вул. Історична, 29</t>
  </si>
  <si>
    <t>вул.Глазунова,6</t>
  </si>
  <si>
    <t>вул.Історичній,34</t>
  </si>
  <si>
    <t xml:space="preserve">Додаток 7                        </t>
  </si>
  <si>
    <t>до рішення  міської ради</t>
  </si>
  <si>
    <t>Перелік об'єктів, видатки на які у 2013 році будуть проводитися за рахунок коштів бюджету розвитку</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</si>
  <si>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</si>
  <si>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</si>
  <si>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</si>
  <si>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</si>
  <si>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</si>
  <si>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</si>
  <si>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</si>
  <si>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</si>
  <si>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</si>
  <si>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</si>
  <si>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</si>
  <si>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</si>
  <si>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</si>
  <si>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</si>
  <si>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</si>
  <si>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</si>
  <si>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</si>
  <si>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</si>
  <si>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 —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</si>
  <si>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</si>
  <si>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</si>
  <si>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</si>
  <si>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</si>
  <si>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</si>
  <si>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</si>
  <si>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</si>
  <si>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</si>
  <si>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</si>
  <si>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</si>
  <si>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</si>
  <si>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</si>
  <si>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</si>
  <si>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</si>
  <si>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</si>
  <si>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</si>
  <si>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</si>
  <si>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</si>
  <si>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</si>
  <si>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Реконструкція будівлі дошкільного навчального закладу №186 по вул.12 Квітня, 2а (проектні та будівельні роботи)</t>
  </si>
  <si>
    <t>Будівництво дитячого садку по вул. Дорошенка  у мікрорайоні №17 Хортицького району м.Запоріжжя  (проектні роботи, експертиза)</t>
  </si>
  <si>
    <t>Прибудова до загальноосвітньої школи І-ІІІ ступенів №104 по вул. Кремлівська, 65в Ленінського району - будівництво (проектні та будівельні роботи)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</si>
</sst>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s>
  <fonts count="3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Arial"/>
      <family val="2"/>
    </font>
    <font>
      <sz val="16"/>
      <color indexed="8"/>
      <name val="Calibri"/>
      <family val="2"/>
    </font>
    <font>
      <sz val="12"/>
      <color indexed="8"/>
      <name val="Arial"/>
      <family val="2"/>
    </font>
    <font>
      <b/>
      <sz val="12"/>
      <color indexed="8"/>
      <name val="Arial"/>
      <family val="2"/>
    </font>
    <font>
      <sz val="10"/>
      <name val="Times New Roman"/>
      <family val="1"/>
    </font>
    <font>
      <sz val="12"/>
      <name val="Arial"/>
      <family val="2"/>
    </font>
    <font>
      <sz val="10"/>
      <color indexed="8"/>
      <name val="Arial"/>
      <family val="2"/>
    </font>
    <font>
      <b/>
      <sz val="12"/>
      <name val="Arial"/>
      <family val="2"/>
    </font>
    <font>
      <sz val="12"/>
      <color indexed="8"/>
      <name val="Calibri"/>
      <family val="2"/>
    </font>
    <font>
      <b/>
      <sz val="12"/>
      <name val="Arial Cyr"/>
      <family val="2"/>
    </font>
    <font>
      <sz val="8"/>
      <name val="Calibri"/>
      <family val="2"/>
    </font>
    <font>
      <b/>
      <u val="single"/>
      <sz val="16"/>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71">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xf>
    <xf numFmtId="0" fontId="20"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1"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22" fillId="22" borderId="10" xfId="0" applyFont="1" applyFill="1" applyBorder="1" applyAlignment="1">
      <alignment horizontal="right" wrapText="1"/>
    </xf>
    <xf numFmtId="0" fontId="22" fillId="22" borderId="10" xfId="0" applyFont="1" applyFill="1" applyBorder="1" applyAlignment="1">
      <alignment horizontal="left" wrapText="1"/>
    </xf>
    <xf numFmtId="3" fontId="22" fillId="22" borderId="10" xfId="0" applyNumberFormat="1" applyFont="1" applyFill="1" applyBorder="1" applyAlignment="1">
      <alignment horizontal="right" wrapText="1"/>
    </xf>
    <xf numFmtId="1" fontId="9" fillId="24" borderId="0" xfId="0" applyNumberFormat="1" applyFont="1" applyFill="1" applyAlignment="1">
      <alignment wrapText="1"/>
    </xf>
    <xf numFmtId="0" fontId="9" fillId="24" borderId="0" xfId="0" applyFont="1" applyFill="1" applyAlignment="1">
      <alignment wrapText="1"/>
    </xf>
    <xf numFmtId="0" fontId="21" fillId="24" borderId="10" xfId="0" applyFont="1" applyFill="1" applyBorder="1" applyAlignment="1">
      <alignment horizontal="right" wrapText="1"/>
    </xf>
    <xf numFmtId="0" fontId="21" fillId="24" borderId="10" xfId="0" applyFont="1" applyFill="1" applyBorder="1" applyAlignment="1">
      <alignment horizontal="left" wrapText="1"/>
    </xf>
    <xf numFmtId="3" fontId="21" fillId="0" borderId="10" xfId="0" applyNumberFormat="1" applyFont="1" applyFill="1" applyBorder="1" applyAlignment="1">
      <alignment horizontal="right" wrapText="1"/>
    </xf>
    <xf numFmtId="3" fontId="21" fillId="24" borderId="10" xfId="0" applyNumberFormat="1" applyFont="1" applyFill="1" applyBorder="1" applyAlignment="1">
      <alignment horizontal="right" wrapText="1"/>
    </xf>
    <xf numFmtId="172" fontId="21" fillId="24" borderId="10" xfId="0" applyNumberFormat="1" applyFont="1" applyFill="1" applyBorder="1" applyAlignment="1">
      <alignment horizontal="right" wrapText="1"/>
    </xf>
    <xf numFmtId="0" fontId="23" fillId="0" borderId="10" xfId="0" applyFont="1" applyFill="1" applyBorder="1" applyAlignment="1">
      <alignment vertical="top" wrapText="1"/>
    </xf>
    <xf numFmtId="172" fontId="22" fillId="22" borderId="10" xfId="0" applyNumberFormat="1" applyFont="1" applyFill="1" applyBorder="1" applyAlignment="1">
      <alignment horizontal="right" wrapText="1"/>
    </xf>
    <xf numFmtId="1" fontId="9" fillId="0" borderId="0" xfId="0" applyNumberFormat="1" applyFont="1" applyFill="1" applyAlignment="1">
      <alignment wrapText="1"/>
    </xf>
    <xf numFmtId="0" fontId="9" fillId="0" borderId="0" xfId="0" applyFont="1" applyFill="1" applyAlignment="1">
      <alignment wrapText="1"/>
    </xf>
    <xf numFmtId="49" fontId="21" fillId="0" borderId="10" xfId="0" applyNumberFormat="1" applyFont="1" applyBorder="1" applyAlignment="1">
      <alignment horizontal="right"/>
    </xf>
    <xf numFmtId="0" fontId="21" fillId="0" borderId="10" xfId="0" applyFont="1" applyBorder="1" applyAlignment="1">
      <alignment horizontal="left" vertical="center" wrapText="1"/>
    </xf>
    <xf numFmtId="0" fontId="21" fillId="0" borderId="10" xfId="0" applyFont="1" applyBorder="1" applyAlignment="1">
      <alignment horizontal="left" wrapText="1"/>
    </xf>
    <xf numFmtId="3" fontId="24" fillId="24" borderId="10" xfId="0" applyNumberFormat="1" applyFont="1" applyFill="1" applyBorder="1" applyAlignment="1">
      <alignment horizontal="right" wrapText="1"/>
    </xf>
    <xf numFmtId="0" fontId="21" fillId="0" borderId="10" xfId="0" applyFont="1" applyFill="1" applyBorder="1" applyAlignment="1">
      <alignment horizontal="right" wrapText="1"/>
    </xf>
    <xf numFmtId="0" fontId="21" fillId="0" borderId="10" xfId="0" applyFont="1" applyFill="1" applyBorder="1" applyAlignment="1">
      <alignment horizontal="left" wrapText="1"/>
    </xf>
    <xf numFmtId="172" fontId="21" fillId="0" borderId="10" xfId="0" applyNumberFormat="1" applyFont="1" applyFill="1" applyBorder="1" applyAlignment="1">
      <alignment horizontal="right" wrapText="1"/>
    </xf>
    <xf numFmtId="0" fontId="0" fillId="0" borderId="0" xfId="0" applyFill="1" applyAlignment="1">
      <alignment wrapText="1"/>
    </xf>
    <xf numFmtId="0" fontId="24" fillId="0" borderId="10" xfId="0" applyFont="1" applyFill="1" applyBorder="1" applyAlignment="1">
      <alignment horizontal="left" wrapText="1"/>
    </xf>
    <xf numFmtId="0" fontId="25" fillId="24" borderId="10" xfId="0" applyFont="1" applyFill="1" applyBorder="1" applyAlignment="1">
      <alignment horizontal="left" wrapText="1"/>
    </xf>
    <xf numFmtId="0" fontId="26" fillId="22" borderId="10" xfId="0" applyFont="1" applyFill="1" applyBorder="1" applyAlignment="1">
      <alignment horizontal="right" wrapText="1"/>
    </xf>
    <xf numFmtId="0" fontId="26" fillId="22" borderId="10" xfId="0" applyFont="1" applyFill="1" applyBorder="1" applyAlignment="1">
      <alignment horizontal="left" wrapText="1"/>
    </xf>
    <xf numFmtId="0" fontId="24" fillId="0" borderId="10" xfId="0" applyFont="1" applyFill="1" applyBorder="1" applyAlignment="1">
      <alignment horizontal="right" wrapText="1"/>
    </xf>
    <xf numFmtId="172" fontId="24" fillId="24" borderId="10" xfId="0" applyNumberFormat="1" applyFont="1" applyFill="1" applyBorder="1" applyAlignment="1">
      <alignment horizontal="right" wrapText="1"/>
    </xf>
    <xf numFmtId="0" fontId="24" fillId="24" borderId="10" xfId="0" applyFont="1" applyFill="1" applyBorder="1" applyAlignment="1">
      <alignment horizontal="left" wrapText="1"/>
    </xf>
    <xf numFmtId="0" fontId="22" fillId="0" borderId="10" xfId="0" applyFont="1" applyFill="1" applyBorder="1" applyAlignment="1">
      <alignment horizontal="left" wrapText="1"/>
    </xf>
    <xf numFmtId="3" fontId="22" fillId="0" borderId="10" xfId="0" applyNumberFormat="1" applyFont="1" applyFill="1" applyBorder="1" applyAlignment="1">
      <alignment horizontal="right" wrapText="1"/>
    </xf>
    <xf numFmtId="1" fontId="0" fillId="24" borderId="0" xfId="0" applyNumberFormat="1" applyFill="1" applyAlignment="1">
      <alignment wrapText="1"/>
    </xf>
    <xf numFmtId="49" fontId="27" fillId="0" borderId="10" xfId="0" applyNumberFormat="1" applyFont="1" applyBorder="1" applyAlignment="1">
      <alignment horizontal="center"/>
    </xf>
    <xf numFmtId="0" fontId="27" fillId="0" borderId="10" xfId="0" applyFont="1" applyBorder="1" applyAlignment="1">
      <alignment wrapText="1"/>
    </xf>
    <xf numFmtId="0" fontId="28" fillId="22" borderId="10" xfId="0" applyFont="1" applyFill="1" applyBorder="1" applyAlignment="1">
      <alignment horizontal="left" wrapText="1"/>
    </xf>
    <xf numFmtId="0" fontId="27" fillId="0" borderId="10" xfId="0" applyFont="1" applyBorder="1" applyAlignment="1">
      <alignment vertical="top" wrapText="1"/>
    </xf>
    <xf numFmtId="0" fontId="21" fillId="22" borderId="10" xfId="0" applyFont="1" applyFill="1" applyBorder="1" applyAlignment="1">
      <alignment horizontal="left" wrapText="1"/>
    </xf>
    <xf numFmtId="3" fontId="21" fillId="22" borderId="10" xfId="0" applyNumberFormat="1" applyFont="1" applyFill="1" applyBorder="1" applyAlignment="1">
      <alignment horizontal="right" wrapText="1"/>
    </xf>
    <xf numFmtId="172" fontId="21" fillId="22" borderId="10" xfId="0" applyNumberFormat="1" applyFont="1" applyFill="1" applyBorder="1" applyAlignment="1">
      <alignment horizontal="right" wrapText="1"/>
    </xf>
    <xf numFmtId="0" fontId="22" fillId="24" borderId="10" xfId="0" applyFont="1" applyFill="1" applyBorder="1" applyAlignment="1">
      <alignment horizontal="right" wrapText="1"/>
    </xf>
    <xf numFmtId="0" fontId="22" fillId="24" borderId="10" xfId="0" applyFont="1" applyFill="1" applyBorder="1" applyAlignment="1">
      <alignment horizontal="left" wrapText="1"/>
    </xf>
    <xf numFmtId="3" fontId="22" fillId="24" borderId="10" xfId="0" applyNumberFormat="1" applyFont="1" applyFill="1" applyBorder="1" applyAlignment="1">
      <alignment horizontal="right" wrapText="1"/>
    </xf>
    <xf numFmtId="3" fontId="9" fillId="24" borderId="0" xfId="0" applyNumberFormat="1" applyFont="1" applyFill="1" applyAlignment="1">
      <alignment wrapText="1"/>
    </xf>
    <xf numFmtId="0" fontId="25" fillId="24" borderId="0" xfId="0" applyFont="1" applyFill="1" applyAlignment="1">
      <alignment horizontal="right" wrapText="1"/>
    </xf>
    <xf numFmtId="0" fontId="25" fillId="24" borderId="0" xfId="0" applyFont="1" applyFill="1" applyAlignment="1">
      <alignment horizontal="left" wrapText="1"/>
    </xf>
    <xf numFmtId="0" fontId="19" fillId="24" borderId="0" xfId="0" applyFont="1" applyFill="1" applyAlignment="1">
      <alignment horizontal="left" wrapText="1"/>
    </xf>
    <xf numFmtId="3" fontId="24" fillId="0" borderId="10" xfId="0" applyNumberFormat="1" applyFont="1" applyFill="1" applyBorder="1" applyAlignment="1">
      <alignment horizontal="right" wrapText="1"/>
    </xf>
    <xf numFmtId="172" fontId="24" fillId="0" borderId="10" xfId="0" applyNumberFormat="1" applyFont="1" applyFill="1" applyBorder="1" applyAlignment="1">
      <alignment horizontal="right" wrapText="1"/>
    </xf>
    <xf numFmtId="49" fontId="21" fillId="24" borderId="10" xfId="0" applyNumberFormat="1" applyFont="1" applyFill="1" applyBorder="1" applyAlignment="1">
      <alignment horizontal="right" wrapText="1"/>
    </xf>
    <xf numFmtId="0" fontId="0" fillId="25" borderId="11" xfId="0" applyFill="1" applyBorder="1" applyAlignment="1">
      <alignment horizontal="left" wrapText="1"/>
    </xf>
    <xf numFmtId="0" fontId="0" fillId="0" borderId="0" xfId="0" applyFill="1" applyAlignment="1">
      <alignment horizontal="right" wrapText="1"/>
    </xf>
    <xf numFmtId="0" fontId="0" fillId="0" borderId="0" xfId="0" applyFill="1" applyBorder="1" applyAlignment="1">
      <alignment horizontal="right" wrapText="1"/>
    </xf>
    <xf numFmtId="0" fontId="21" fillId="0" borderId="10" xfId="0" applyFont="1" applyFill="1" applyBorder="1" applyAlignment="1">
      <alignment horizontal="center" vertical="center" wrapText="1"/>
    </xf>
    <xf numFmtId="3" fontId="22" fillId="0" borderId="10" xfId="0" applyNumberFormat="1" applyFont="1" applyFill="1" applyBorder="1" applyAlignment="1">
      <alignment horizontal="left" wrapText="1"/>
    </xf>
    <xf numFmtId="0" fontId="25" fillId="0" borderId="0" xfId="0" applyFont="1" applyFill="1" applyAlignment="1">
      <alignment horizontal="right" wrapText="1"/>
    </xf>
    <xf numFmtId="0" fontId="19" fillId="24" borderId="0" xfId="0" applyFont="1" applyFill="1" applyBorder="1" applyAlignment="1">
      <alignment horizontal="center" wrapText="1"/>
    </xf>
    <xf numFmtId="0" fontId="21" fillId="24"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24" borderId="0" xfId="0" applyFont="1" applyFill="1" applyAlignment="1">
      <alignment horizontal="left"/>
    </xf>
    <xf numFmtId="0" fontId="30" fillId="24" borderId="0" xfId="0" applyFont="1" applyFill="1" applyAlignment="1">
      <alignment horizontal="left" wrapText="1"/>
    </xf>
    <xf numFmtId="0" fontId="0" fillId="0" borderId="0" xfId="0"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5" xfId="52"/>
    <cellStyle name="Плохой" xfId="53"/>
    <cellStyle name="Пояснение" xfId="54"/>
    <cellStyle name="Примечание" xfId="55"/>
    <cellStyle name="Percent" xfId="56"/>
    <cellStyle name="Процентный 2" xfId="57"/>
    <cellStyle name="Процентный 2 3" xfId="58"/>
    <cellStyle name="Процентный 5"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2828434</v>
          </cell>
        </row>
        <row r="13">
          <cell r="K13">
            <v>231245</v>
          </cell>
        </row>
        <row r="16">
          <cell r="K16">
            <v>50000</v>
          </cell>
        </row>
        <row r="39">
          <cell r="K39">
            <v>30960763</v>
          </cell>
        </row>
        <row r="43">
          <cell r="K43">
            <v>2044801</v>
          </cell>
        </row>
        <row r="45">
          <cell r="K45">
            <v>4217281</v>
          </cell>
        </row>
        <row r="47">
          <cell r="K47">
            <v>13000</v>
          </cell>
        </row>
        <row r="49">
          <cell r="K49">
            <v>161500</v>
          </cell>
        </row>
        <row r="60">
          <cell r="K60">
            <v>0</v>
          </cell>
        </row>
        <row r="67">
          <cell r="K67">
            <v>33000</v>
          </cell>
        </row>
        <row r="79">
          <cell r="K79">
            <v>20384545</v>
          </cell>
        </row>
        <row r="83">
          <cell r="K83">
            <v>7868643</v>
          </cell>
        </row>
        <row r="85">
          <cell r="K85">
            <v>756200</v>
          </cell>
        </row>
        <row r="86">
          <cell r="K86">
            <v>2104190</v>
          </cell>
        </row>
        <row r="88">
          <cell r="K88">
            <v>5000</v>
          </cell>
        </row>
        <row r="100">
          <cell r="K100">
            <v>10946656</v>
          </cell>
        </row>
        <row r="102">
          <cell r="K102">
            <v>2285484</v>
          </cell>
        </row>
        <row r="111">
          <cell r="K111">
            <v>156000</v>
          </cell>
        </row>
        <row r="155">
          <cell r="K155">
            <v>196550</v>
          </cell>
        </row>
        <row r="159">
          <cell r="K159">
            <v>926639</v>
          </cell>
        </row>
        <row r="187">
          <cell r="K187">
            <v>0</v>
          </cell>
        </row>
        <row r="192">
          <cell r="K192">
            <v>0</v>
          </cell>
        </row>
        <row r="195">
          <cell r="K195">
            <v>4641608</v>
          </cell>
        </row>
        <row r="199">
          <cell r="K199">
            <v>194379</v>
          </cell>
        </row>
        <row r="200">
          <cell r="K200">
            <v>1207124</v>
          </cell>
        </row>
        <row r="201">
          <cell r="K201">
            <v>181556</v>
          </cell>
        </row>
        <row r="202">
          <cell r="K202">
            <v>2681279</v>
          </cell>
        </row>
        <row r="206">
          <cell r="K206">
            <v>182336</v>
          </cell>
        </row>
        <row r="214">
          <cell r="K214">
            <v>1108200</v>
          </cell>
        </row>
        <row r="216">
          <cell r="K216">
            <v>37000</v>
          </cell>
        </row>
        <row r="227">
          <cell r="K227">
            <v>43050</v>
          </cell>
        </row>
        <row r="229">
          <cell r="K229">
            <v>43050</v>
          </cell>
        </row>
        <row r="230">
          <cell r="K230">
            <v>122970743</v>
          </cell>
        </row>
        <row r="232">
          <cell r="K232">
            <v>60000</v>
          </cell>
        </row>
        <row r="241">
          <cell r="K241">
            <v>48346858</v>
          </cell>
        </row>
        <row r="243">
          <cell r="K243">
            <v>3627394</v>
          </cell>
        </row>
        <row r="255">
          <cell r="K255">
            <v>1713632</v>
          </cell>
        </row>
        <row r="261">
          <cell r="K261">
            <v>0</v>
          </cell>
        </row>
        <row r="295">
          <cell r="K295">
            <v>0</v>
          </cell>
        </row>
        <row r="322">
          <cell r="K322">
            <v>46423</v>
          </cell>
        </row>
        <row r="324">
          <cell r="K324">
            <v>46423</v>
          </cell>
        </row>
        <row r="345">
          <cell r="K345">
            <v>29000</v>
          </cell>
        </row>
        <row r="347">
          <cell r="K347">
            <v>29000</v>
          </cell>
        </row>
        <row r="359">
          <cell r="K359">
            <v>4823756</v>
          </cell>
        </row>
        <row r="367">
          <cell r="J367">
            <v>0</v>
          </cell>
        </row>
        <row r="370">
          <cell r="K370">
            <v>4823756</v>
          </cell>
        </row>
        <row r="375">
          <cell r="K375">
            <v>6922539</v>
          </cell>
        </row>
        <row r="379">
          <cell r="K379">
            <v>6850000</v>
          </cell>
        </row>
        <row r="382">
          <cell r="K382">
            <v>72539</v>
          </cell>
        </row>
        <row r="383">
          <cell r="K383">
            <v>40736430</v>
          </cell>
        </row>
        <row r="385">
          <cell r="K385">
            <v>30000</v>
          </cell>
        </row>
        <row r="397">
          <cell r="K397">
            <v>20000000</v>
          </cell>
        </row>
        <row r="401">
          <cell r="K401">
            <v>0</v>
          </cell>
        </row>
        <row r="413">
          <cell r="K413">
            <v>0</v>
          </cell>
        </row>
        <row r="417">
          <cell r="K417">
            <v>0</v>
          </cell>
        </row>
        <row r="432">
          <cell r="K432">
            <v>0</v>
          </cell>
        </row>
        <row r="446">
          <cell r="K446">
            <v>5988856</v>
          </cell>
        </row>
        <row r="449">
          <cell r="K449">
            <v>38907</v>
          </cell>
        </row>
        <row r="461">
          <cell r="K461">
            <v>1375596</v>
          </cell>
        </row>
        <row r="476">
          <cell r="K476">
            <v>5200</v>
          </cell>
        </row>
        <row r="480">
          <cell r="K480">
            <v>5200</v>
          </cell>
        </row>
        <row r="491">
          <cell r="K491">
            <v>1168469</v>
          </cell>
        </row>
        <row r="493">
          <cell r="K493">
            <v>2896</v>
          </cell>
        </row>
        <row r="495">
          <cell r="K495">
            <v>20000</v>
          </cell>
        </row>
        <row r="506">
          <cell r="K506">
            <v>146388</v>
          </cell>
        </row>
        <row r="508">
          <cell r="K508">
            <v>146388</v>
          </cell>
        </row>
        <row r="518">
          <cell r="K518">
            <v>255126656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5"/>
  <sheetViews>
    <sheetView tabSelected="1" view="pageBreakPreview" zoomScale="75" zoomScaleNormal="74" zoomScaleSheetLayoutView="75" zoomScalePageLayoutView="0" workbookViewId="0" topLeftCell="A1">
      <selection activeCell="E4" sqref="E4"/>
    </sheetView>
  </sheetViews>
  <sheetFormatPr defaultColWidth="9.140625" defaultRowHeight="15"/>
  <cols>
    <col min="1" max="1" width="18.28125" style="1" customWidth="1"/>
    <col min="2" max="2" width="33.8515625" style="2" customWidth="1"/>
    <col min="3" max="3" width="48.00390625" style="2" customWidth="1"/>
    <col min="4" max="4" width="18.7109375" style="1" customWidth="1"/>
    <col min="5" max="5" width="14.140625" style="1" customWidth="1"/>
    <col min="6" max="6" width="14.7109375" style="1" customWidth="1"/>
    <col min="7" max="7" width="15.57421875" style="60" customWidth="1"/>
    <col min="8" max="8" width="15.28125" style="3" customWidth="1"/>
    <col min="9" max="9" width="11.140625" style="3" customWidth="1"/>
    <col min="10" max="16384" width="9.140625" style="3" customWidth="1"/>
  </cols>
  <sheetData>
    <row r="1" ht="20.25">
      <c r="E1" s="68" t="s">
        <v>351</v>
      </c>
    </row>
    <row r="2" ht="20.25">
      <c r="E2" s="68" t="s">
        <v>352</v>
      </c>
    </row>
    <row r="3" spans="5:6" ht="16.5">
      <c r="E3" s="69" t="s">
        <v>21</v>
      </c>
      <c r="F3" s="70"/>
    </row>
    <row r="4" spans="5:6" ht="21">
      <c r="E4" s="5"/>
      <c r="F4" s="5"/>
    </row>
    <row r="5" ht="15" hidden="1"/>
    <row r="6" spans="1:7" ht="20.25" customHeight="1">
      <c r="A6" s="65" t="s">
        <v>353</v>
      </c>
      <c r="B6" s="65"/>
      <c r="C6" s="65"/>
      <c r="D6" s="65"/>
      <c r="E6" s="65"/>
      <c r="F6" s="65"/>
      <c r="G6" s="65"/>
    </row>
    <row r="7" spans="1:7" ht="15">
      <c r="A7" s="6"/>
      <c r="B7" s="7"/>
      <c r="C7" s="7"/>
      <c r="D7" s="6"/>
      <c r="E7" s="6"/>
      <c r="F7" s="6"/>
      <c r="G7" s="61"/>
    </row>
    <row r="8" spans="1:7" ht="15">
      <c r="A8" s="6"/>
      <c r="B8" s="7"/>
      <c r="C8" s="7"/>
      <c r="D8" s="6"/>
      <c r="E8" s="6"/>
      <c r="F8" s="6"/>
      <c r="G8" s="61" t="s">
        <v>113</v>
      </c>
    </row>
    <row r="9" spans="1:7" s="9" customFormat="1" ht="90">
      <c r="A9" s="8" t="s">
        <v>354</v>
      </c>
      <c r="B9" s="8" t="s">
        <v>355</v>
      </c>
      <c r="C9" s="66" t="s">
        <v>356</v>
      </c>
      <c r="D9" s="66" t="s">
        <v>357</v>
      </c>
      <c r="E9" s="66" t="s">
        <v>358</v>
      </c>
      <c r="F9" s="66" t="s">
        <v>359</v>
      </c>
      <c r="G9" s="67" t="s">
        <v>360</v>
      </c>
    </row>
    <row r="10" spans="1:7" s="9" customFormat="1" ht="75">
      <c r="A10" s="8" t="s">
        <v>361</v>
      </c>
      <c r="B10" s="8" t="s">
        <v>362</v>
      </c>
      <c r="C10" s="66"/>
      <c r="D10" s="66"/>
      <c r="E10" s="66"/>
      <c r="F10" s="66"/>
      <c r="G10" s="67"/>
    </row>
    <row r="11" spans="1:7" s="9" customFormat="1" ht="15">
      <c r="A11" s="8">
        <v>1</v>
      </c>
      <c r="B11" s="8">
        <v>2</v>
      </c>
      <c r="C11" s="8">
        <v>3</v>
      </c>
      <c r="D11" s="8">
        <v>4</v>
      </c>
      <c r="E11" s="8">
        <v>5</v>
      </c>
      <c r="F11" s="8">
        <v>6</v>
      </c>
      <c r="G11" s="62">
        <v>7</v>
      </c>
    </row>
    <row r="12" spans="1:9" s="14" customFormat="1" ht="31.5">
      <c r="A12" s="10" t="s">
        <v>363</v>
      </c>
      <c r="B12" s="11" t="s">
        <v>364</v>
      </c>
      <c r="C12" s="11"/>
      <c r="D12" s="12">
        <f>SUM(D15:D17)-D16</f>
        <v>2498718</v>
      </c>
      <c r="E12" s="12"/>
      <c r="F12" s="12">
        <f>SUM(F15:F17)-F16</f>
        <v>2497618</v>
      </c>
      <c r="G12" s="12">
        <f>SUM(G13:G17)-G16</f>
        <v>2828434</v>
      </c>
      <c r="H12" s="13">
        <f>'[1]Місто'!$K$11</f>
        <v>2828434</v>
      </c>
      <c r="I12" s="13">
        <f>H12-G12</f>
        <v>0</v>
      </c>
    </row>
    <row r="13" spans="1:9" s="14" customFormat="1" ht="30.75">
      <c r="A13" s="15" t="s">
        <v>365</v>
      </c>
      <c r="B13" s="16" t="s">
        <v>366</v>
      </c>
      <c r="C13" s="16" t="s">
        <v>167</v>
      </c>
      <c r="D13" s="17"/>
      <c r="E13" s="17"/>
      <c r="F13" s="17"/>
      <c r="G13" s="17">
        <f>'[1]Місто'!$K$13</f>
        <v>231245</v>
      </c>
      <c r="H13" s="13"/>
      <c r="I13" s="13"/>
    </row>
    <row r="14" spans="1:9" s="14" customFormat="1" ht="30.75">
      <c r="A14" s="15">
        <v>120201</v>
      </c>
      <c r="B14" s="16" t="s">
        <v>198</v>
      </c>
      <c r="C14" s="16" t="s">
        <v>367</v>
      </c>
      <c r="D14" s="17"/>
      <c r="E14" s="17"/>
      <c r="F14" s="17"/>
      <c r="G14" s="17">
        <f>'[1]Місто'!$K$16</f>
        <v>50000</v>
      </c>
      <c r="H14" s="13"/>
      <c r="I14" s="13"/>
    </row>
    <row r="15" spans="1:9" ht="30.75">
      <c r="A15" s="15">
        <v>150101</v>
      </c>
      <c r="B15" s="16" t="s">
        <v>368</v>
      </c>
      <c r="C15" s="16" t="s">
        <v>369</v>
      </c>
      <c r="D15" s="18">
        <v>2498718</v>
      </c>
      <c r="E15" s="19">
        <f>100-(F15/D15*100)</f>
        <v>0.04402257477634919</v>
      </c>
      <c r="F15" s="18">
        <v>2497618</v>
      </c>
      <c r="G15" s="17">
        <f>2155588+338049</f>
        <v>2493637</v>
      </c>
      <c r="I15" s="13"/>
    </row>
    <row r="16" spans="1:9" ht="30.75">
      <c r="A16" s="15"/>
      <c r="B16"/>
      <c r="C16" s="16" t="s">
        <v>370</v>
      </c>
      <c r="D16" s="18"/>
      <c r="E16" s="19"/>
      <c r="F16" s="18"/>
      <c r="G16" s="17">
        <v>338049</v>
      </c>
      <c r="I16" s="13"/>
    </row>
    <row r="17" spans="1:9" ht="153">
      <c r="A17" s="15">
        <v>150107</v>
      </c>
      <c r="B17" s="20" t="s">
        <v>371</v>
      </c>
      <c r="C17" s="16" t="s">
        <v>372</v>
      </c>
      <c r="D17" s="18"/>
      <c r="E17" s="19"/>
      <c r="F17" s="18"/>
      <c r="G17" s="17">
        <v>53552</v>
      </c>
      <c r="I17" s="13"/>
    </row>
    <row r="18" spans="1:9" s="23" customFormat="1" ht="47.25">
      <c r="A18" s="10">
        <v>10</v>
      </c>
      <c r="B18" s="11" t="s">
        <v>373</v>
      </c>
      <c r="C18" s="11"/>
      <c r="D18" s="12">
        <f>SUM(D19:D52)-D29-D31-D33-D36-D39-D42-D20-D22-D26-D46-D49-D51</f>
        <v>61169980</v>
      </c>
      <c r="E18" s="21"/>
      <c r="F18" s="12">
        <f>SUM(F19:F52)-F29-F31-F33-F36-F39-F42-F20-F22-F26-F46-F49-F51</f>
        <v>51807555.4</v>
      </c>
      <c r="G18" s="12">
        <f>SUM(G19:G52)-G29-G31-G33-G36-G39-G42-G20-G22-G26-G46-G49-G51</f>
        <v>30960763</v>
      </c>
      <c r="H18" s="22">
        <f>'[1]Місто'!$K$39</f>
        <v>30960763</v>
      </c>
      <c r="I18" s="13">
        <f>H18-G18</f>
        <v>0</v>
      </c>
    </row>
    <row r="19" spans="1:9" ht="15.75">
      <c r="A19" s="24" t="s">
        <v>374</v>
      </c>
      <c r="B19" s="25" t="s">
        <v>375</v>
      </c>
      <c r="C19" s="16" t="s">
        <v>367</v>
      </c>
      <c r="D19" s="18"/>
      <c r="E19" s="19"/>
      <c r="F19" s="18"/>
      <c r="G19" s="17">
        <f>'[1]Місто'!$K$43</f>
        <v>2044801</v>
      </c>
      <c r="I19" s="13"/>
    </row>
    <row r="20" spans="1:9" ht="30.75">
      <c r="A20" s="24"/>
      <c r="B20" s="25"/>
      <c r="C20" s="16" t="s">
        <v>370</v>
      </c>
      <c r="D20" s="18"/>
      <c r="E20" s="19"/>
      <c r="F20" s="18"/>
      <c r="G20" s="17">
        <v>170836</v>
      </c>
      <c r="I20" s="13"/>
    </row>
    <row r="21" spans="1:9" ht="75.75">
      <c r="A21" s="24" t="s">
        <v>376</v>
      </c>
      <c r="B21" s="26" t="s">
        <v>377</v>
      </c>
      <c r="C21" s="16" t="s">
        <v>367</v>
      </c>
      <c r="D21" s="18"/>
      <c r="E21" s="19"/>
      <c r="F21" s="18"/>
      <c r="G21" s="17">
        <f>'[1]Місто'!$K$45</f>
        <v>4217281</v>
      </c>
      <c r="I21" s="13"/>
    </row>
    <row r="22" spans="1:9" ht="30.75">
      <c r="A22" s="24"/>
      <c r="B22" s="26"/>
      <c r="C22" s="16" t="s">
        <v>370</v>
      </c>
      <c r="D22" s="18"/>
      <c r="E22" s="19"/>
      <c r="F22" s="18"/>
      <c r="G22" s="17">
        <v>596572</v>
      </c>
      <c r="I22" s="13"/>
    </row>
    <row r="23" spans="1:9" ht="15.75">
      <c r="A23" s="24" t="s">
        <v>267</v>
      </c>
      <c r="B23" s="26" t="s">
        <v>268</v>
      </c>
      <c r="C23" s="16" t="s">
        <v>367</v>
      </c>
      <c r="D23" s="18"/>
      <c r="E23" s="19"/>
      <c r="F23" s="18"/>
      <c r="G23" s="17">
        <f>'[1]Місто'!$K$47</f>
        <v>13000</v>
      </c>
      <c r="I23" s="13"/>
    </row>
    <row r="24" spans="1:9" ht="45.75">
      <c r="A24" s="24" t="s">
        <v>378</v>
      </c>
      <c r="B24" s="26" t="s">
        <v>379</v>
      </c>
      <c r="C24" s="16" t="s">
        <v>367</v>
      </c>
      <c r="D24" s="18"/>
      <c r="E24" s="19"/>
      <c r="F24" s="18"/>
      <c r="G24" s="17">
        <f>'[1]Місто'!$K$49</f>
        <v>161500</v>
      </c>
      <c r="I24" s="13"/>
    </row>
    <row r="25" spans="1:9" ht="45.75" hidden="1">
      <c r="A25" s="24" t="s">
        <v>380</v>
      </c>
      <c r="B25" s="26" t="s">
        <v>381</v>
      </c>
      <c r="C25" s="16" t="s">
        <v>367</v>
      </c>
      <c r="D25" s="18"/>
      <c r="E25" s="19"/>
      <c r="F25" s="18"/>
      <c r="G25" s="17">
        <f>'[1]Місто'!$K$60</f>
        <v>0</v>
      </c>
      <c r="I25" s="13"/>
    </row>
    <row r="26" spans="1:9" ht="30.75">
      <c r="A26" s="24"/>
      <c r="B26" s="26"/>
      <c r="C26" s="16" t="s">
        <v>370</v>
      </c>
      <c r="D26" s="18"/>
      <c r="E26" s="19"/>
      <c r="F26" s="18"/>
      <c r="G26" s="17">
        <v>96590</v>
      </c>
      <c r="I26" s="13"/>
    </row>
    <row r="27" spans="1:9" ht="45.75">
      <c r="A27" s="24" t="s">
        <v>299</v>
      </c>
      <c r="B27" s="26" t="s">
        <v>300</v>
      </c>
      <c r="C27" s="16" t="s">
        <v>367</v>
      </c>
      <c r="D27" s="18"/>
      <c r="E27" s="19"/>
      <c r="F27" s="18"/>
      <c r="G27" s="17">
        <f>'[1]Місто'!$K$67</f>
        <v>33000</v>
      </c>
      <c r="I27" s="13"/>
    </row>
    <row r="28" spans="1:9" ht="45.75">
      <c r="A28" s="15">
        <v>150101</v>
      </c>
      <c r="B28" s="16" t="s">
        <v>368</v>
      </c>
      <c r="C28" s="16" t="s">
        <v>382</v>
      </c>
      <c r="D28" s="18">
        <v>6379139</v>
      </c>
      <c r="E28" s="19">
        <f>100-(F28/D28*100)</f>
        <v>53.87068301850767</v>
      </c>
      <c r="F28" s="18">
        <f>D28-(1687311+344040.21+13012+636198.24+755924.3)</f>
        <v>2942653.25</v>
      </c>
      <c r="G28" s="17">
        <f>213095+12354+500000</f>
        <v>725449</v>
      </c>
      <c r="I28" s="13"/>
    </row>
    <row r="29" spans="1:9" ht="30.75">
      <c r="A29" s="15"/>
      <c r="B29"/>
      <c r="C29" s="16" t="s">
        <v>370</v>
      </c>
      <c r="D29" s="18"/>
      <c r="E29" s="19"/>
      <c r="F29" s="18"/>
      <c r="G29" s="17">
        <v>12354</v>
      </c>
      <c r="I29" s="13"/>
    </row>
    <row r="30" spans="1:9" ht="45.75">
      <c r="A30" s="15">
        <v>150101</v>
      </c>
      <c r="B30" s="16" t="s">
        <v>368</v>
      </c>
      <c r="C30" s="16" t="s">
        <v>383</v>
      </c>
      <c r="D30" s="18">
        <v>7632826</v>
      </c>
      <c r="E30" s="19">
        <f>100-(F30/D30*100)</f>
        <v>16.721229725399226</v>
      </c>
      <c r="F30" s="18">
        <f>D30-(1069700+206469.24+133.13)</f>
        <v>6356523.63</v>
      </c>
      <c r="G30" s="17">
        <f>918440+4796-873236</f>
        <v>50000</v>
      </c>
      <c r="I30" s="13"/>
    </row>
    <row r="31" spans="1:9" ht="30.75">
      <c r="A31" s="15"/>
      <c r="B31" s="16"/>
      <c r="C31" s="16" t="s">
        <v>370</v>
      </c>
      <c r="D31" s="18"/>
      <c r="E31" s="19"/>
      <c r="F31" s="18"/>
      <c r="G31" s="17">
        <v>4796</v>
      </c>
      <c r="I31" s="13"/>
    </row>
    <row r="32" spans="1:9" ht="75.75">
      <c r="A32" s="15">
        <v>150101</v>
      </c>
      <c r="B32" s="16" t="s">
        <v>368</v>
      </c>
      <c r="C32" s="16" t="s">
        <v>203</v>
      </c>
      <c r="D32" s="18"/>
      <c r="E32" s="19"/>
      <c r="F32" s="18"/>
      <c r="G32" s="56">
        <f>1040377+130816-1040377</f>
        <v>130816</v>
      </c>
      <c r="I32" s="13"/>
    </row>
    <row r="33" spans="1:9" ht="15.75" hidden="1">
      <c r="A33" s="15"/>
      <c r="B33" s="16"/>
      <c r="C33" s="16"/>
      <c r="D33" s="18"/>
      <c r="E33" s="19"/>
      <c r="F33" s="27"/>
      <c r="G33" s="56"/>
      <c r="I33" s="13"/>
    </row>
    <row r="34" spans="1:9" s="31" customFormat="1" ht="72" customHeight="1">
      <c r="A34" s="28">
        <v>150101</v>
      </c>
      <c r="B34" s="29" t="s">
        <v>368</v>
      </c>
      <c r="C34" s="29" t="s">
        <v>384</v>
      </c>
      <c r="D34" s="17">
        <v>650000</v>
      </c>
      <c r="E34" s="30"/>
      <c r="F34" s="17">
        <v>650000</v>
      </c>
      <c r="G34" s="17">
        <v>250000</v>
      </c>
      <c r="I34" s="13"/>
    </row>
    <row r="35" spans="1:9" ht="58.5" customHeight="1">
      <c r="A35" s="28">
        <v>150101</v>
      </c>
      <c r="B35" s="29" t="s">
        <v>368</v>
      </c>
      <c r="C35" s="29" t="s">
        <v>385</v>
      </c>
      <c r="D35" s="17">
        <v>1002696</v>
      </c>
      <c r="E35" s="30">
        <f>100-(F35/D35*100)</f>
        <v>54.722432322458644</v>
      </c>
      <c r="F35" s="17">
        <f>D35-(21297.19+527402.45)</f>
        <v>453996.3600000001</v>
      </c>
      <c r="G35" s="17">
        <f>111000+22606+2000+111000+207390</f>
        <v>453996</v>
      </c>
      <c r="I35" s="13"/>
    </row>
    <row r="36" spans="1:9" ht="30.75">
      <c r="A36" s="28"/>
      <c r="B36" s="29"/>
      <c r="C36" s="29" t="s">
        <v>370</v>
      </c>
      <c r="D36" s="17"/>
      <c r="E36" s="30"/>
      <c r="F36" s="17"/>
      <c r="G36" s="17">
        <v>133606</v>
      </c>
      <c r="I36" s="13"/>
    </row>
    <row r="37" spans="1:9" ht="45.75" hidden="1">
      <c r="A37" s="15">
        <v>150101</v>
      </c>
      <c r="B37" s="16" t="s">
        <v>368</v>
      </c>
      <c r="C37" s="16" t="s">
        <v>386</v>
      </c>
      <c r="D37" s="18"/>
      <c r="E37" s="19"/>
      <c r="F37" s="17"/>
      <c r="G37" s="17">
        <f>1260732-1260732</f>
        <v>0</v>
      </c>
      <c r="I37" s="13"/>
    </row>
    <row r="38" spans="1:9" ht="60.75">
      <c r="A38" s="15">
        <v>150101</v>
      </c>
      <c r="B38" s="16" t="s">
        <v>368</v>
      </c>
      <c r="C38" s="16" t="s">
        <v>387</v>
      </c>
      <c r="D38" s="18">
        <v>15889351</v>
      </c>
      <c r="E38" s="19">
        <f>100-(F38/D38*100)</f>
        <v>16.109992031770204</v>
      </c>
      <c r="F38" s="17">
        <f>D38-(202125.64+117937.06+2239710.48)</f>
        <v>13329577.82</v>
      </c>
      <c r="G38" s="17">
        <f>1226691+87775+12015112</f>
        <v>13329578</v>
      </c>
      <c r="I38" s="13"/>
    </row>
    <row r="39" spans="1:9" ht="30.75">
      <c r="A39" s="15"/>
      <c r="B39" s="16"/>
      <c r="C39" s="16" t="s">
        <v>370</v>
      </c>
      <c r="D39" s="18"/>
      <c r="E39" s="19"/>
      <c r="F39" s="18"/>
      <c r="G39" s="17">
        <v>87775</v>
      </c>
      <c r="I39" s="13"/>
    </row>
    <row r="40" spans="1:9" ht="75.75">
      <c r="A40" s="15">
        <v>150101</v>
      </c>
      <c r="B40" s="16" t="s">
        <v>368</v>
      </c>
      <c r="C40" s="16" t="s">
        <v>388</v>
      </c>
      <c r="D40" s="18">
        <v>4860000</v>
      </c>
      <c r="E40" s="19"/>
      <c r="F40" s="18">
        <v>4860000</v>
      </c>
      <c r="G40" s="17">
        <f>690000+4170000</f>
        <v>4860000</v>
      </c>
      <c r="I40" s="13"/>
    </row>
    <row r="41" spans="1:9" ht="75.75">
      <c r="A41" s="15">
        <v>150101</v>
      </c>
      <c r="B41" s="16" t="s">
        <v>368</v>
      </c>
      <c r="C41" s="16" t="s">
        <v>389</v>
      </c>
      <c r="D41" s="18">
        <v>14127000</v>
      </c>
      <c r="E41" s="19">
        <f>100-(F41/D41*100)</f>
        <v>2.1235907128194214</v>
      </c>
      <c r="F41" s="18">
        <f>D41-(285872.66+14127)</f>
        <v>13827000.34</v>
      </c>
      <c r="G41" s="17">
        <f>1622577+20684-1593261</f>
        <v>50000</v>
      </c>
      <c r="I41" s="13"/>
    </row>
    <row r="42" spans="1:9" ht="30.75">
      <c r="A42" s="15"/>
      <c r="B42" s="16"/>
      <c r="C42" s="16" t="s">
        <v>370</v>
      </c>
      <c r="D42" s="18"/>
      <c r="E42" s="19"/>
      <c r="F42" s="18"/>
      <c r="G42" s="17">
        <v>20684</v>
      </c>
      <c r="I42" s="13"/>
    </row>
    <row r="43" spans="1:9" s="31" customFormat="1" ht="45.75">
      <c r="A43" s="28">
        <v>150101</v>
      </c>
      <c r="B43" s="29" t="s">
        <v>368</v>
      </c>
      <c r="C43" s="16" t="s">
        <v>390</v>
      </c>
      <c r="D43" s="17">
        <v>600000</v>
      </c>
      <c r="E43" s="30">
        <f>100-(F43/D43*100)</f>
        <v>50</v>
      </c>
      <c r="F43" s="17">
        <v>300000</v>
      </c>
      <c r="G43" s="17">
        <v>300000</v>
      </c>
      <c r="I43" s="13"/>
    </row>
    <row r="44" spans="1:9" ht="90.75">
      <c r="A44" s="15">
        <v>150101</v>
      </c>
      <c r="B44" s="16" t="s">
        <v>368</v>
      </c>
      <c r="C44" s="16" t="s">
        <v>391</v>
      </c>
      <c r="D44" s="18">
        <v>350000</v>
      </c>
      <c r="E44" s="19"/>
      <c r="F44" s="18">
        <v>350000</v>
      </c>
      <c r="G44" s="17">
        <f>350000-300000</f>
        <v>50000</v>
      </c>
      <c r="I44" s="13"/>
    </row>
    <row r="45" spans="1:9" ht="45.75">
      <c r="A45" s="15">
        <v>150101</v>
      </c>
      <c r="B45" s="16" t="s">
        <v>368</v>
      </c>
      <c r="C45" s="16" t="s">
        <v>392</v>
      </c>
      <c r="D45" s="18">
        <v>6145630</v>
      </c>
      <c r="E45" s="19"/>
      <c r="F45" s="18">
        <v>6145630</v>
      </c>
      <c r="G45" s="17">
        <f>560000+105172+1000000</f>
        <v>1665172</v>
      </c>
      <c r="I45" s="13"/>
    </row>
    <row r="46" spans="1:9" ht="30.75">
      <c r="A46" s="15"/>
      <c r="B46" s="16"/>
      <c r="C46" s="16" t="s">
        <v>370</v>
      </c>
      <c r="D46" s="18"/>
      <c r="E46" s="19"/>
      <c r="F46" s="18"/>
      <c r="G46" s="17">
        <v>105172</v>
      </c>
      <c r="I46" s="13"/>
    </row>
    <row r="47" spans="1:9" ht="60.75" hidden="1">
      <c r="A47" s="15">
        <v>150101</v>
      </c>
      <c r="B47" s="16" t="s">
        <v>368</v>
      </c>
      <c r="C47" s="16" t="s">
        <v>393</v>
      </c>
      <c r="D47" s="18"/>
      <c r="E47" s="19"/>
      <c r="F47" s="18"/>
      <c r="G47" s="17">
        <f>600000-600000</f>
        <v>0</v>
      </c>
      <c r="I47" s="13"/>
    </row>
    <row r="48" spans="1:9" s="31" customFormat="1" ht="60.75">
      <c r="A48" s="28">
        <v>150101</v>
      </c>
      <c r="B48" s="29" t="s">
        <v>368</v>
      </c>
      <c r="C48" s="16" t="s">
        <v>394</v>
      </c>
      <c r="D48" s="17">
        <v>1000000</v>
      </c>
      <c r="E48" s="30"/>
      <c r="F48" s="17">
        <v>1000000</v>
      </c>
      <c r="G48" s="17">
        <v>1000000</v>
      </c>
      <c r="I48" s="13"/>
    </row>
    <row r="49" spans="1:9" s="31" customFormat="1" ht="30.75">
      <c r="A49" s="28"/>
      <c r="B49" s="29"/>
      <c r="C49" s="16" t="s">
        <v>370</v>
      </c>
      <c r="D49" s="17"/>
      <c r="E49" s="30"/>
      <c r="F49" s="17"/>
      <c r="G49" s="17">
        <v>181427</v>
      </c>
      <c r="I49" s="13"/>
    </row>
    <row r="50" spans="1:9" s="31" customFormat="1" ht="30.75">
      <c r="A50" s="28">
        <v>150101</v>
      </c>
      <c r="B50" s="29" t="s">
        <v>368</v>
      </c>
      <c r="C50" s="16" t="s">
        <v>169</v>
      </c>
      <c r="D50" s="17">
        <v>2533338</v>
      </c>
      <c r="E50" s="30">
        <f>100-(F50/D50*100)</f>
        <v>37.15114209000141</v>
      </c>
      <c r="F50" s="17">
        <v>1592174</v>
      </c>
      <c r="G50" s="17">
        <f>474681+1117493</f>
        <v>1592174</v>
      </c>
      <c r="I50" s="13"/>
    </row>
    <row r="51" spans="1:9" s="31" customFormat="1" ht="30.75">
      <c r="A51" s="28"/>
      <c r="B51" s="29"/>
      <c r="C51" s="16" t="s">
        <v>370</v>
      </c>
      <c r="D51" s="17"/>
      <c r="E51" s="30"/>
      <c r="F51" s="17"/>
      <c r="G51" s="17">
        <v>474681</v>
      </c>
      <c r="I51" s="13"/>
    </row>
    <row r="52" spans="1:9" s="31" customFormat="1" ht="75.75">
      <c r="A52" s="28">
        <v>150101</v>
      </c>
      <c r="B52" s="29" t="s">
        <v>368</v>
      </c>
      <c r="C52" s="16" t="s">
        <v>0</v>
      </c>
      <c r="D52" s="17"/>
      <c r="E52" s="30"/>
      <c r="F52" s="17"/>
      <c r="G52" s="17">
        <v>33996</v>
      </c>
      <c r="I52" s="13"/>
    </row>
    <row r="53" spans="1:9" s="14" customFormat="1" ht="47.25">
      <c r="A53" s="10">
        <v>14</v>
      </c>
      <c r="B53" s="11" t="s">
        <v>1</v>
      </c>
      <c r="C53" s="11"/>
      <c r="D53" s="12">
        <f>SUM(D54:D82)-D64-D66-D56-D58-D61-D69-D72-D79-D74</f>
        <v>29044967</v>
      </c>
      <c r="E53" s="12"/>
      <c r="F53" s="12">
        <f>SUM(F54:F82)-F64-F66-F56-F58-F61-F69-F72-F79-F74</f>
        <v>15975377.73</v>
      </c>
      <c r="G53" s="12">
        <f>SUM(G54:G82)-G64-G66-G56-G58-G61-G69-G72-G79-G74</f>
        <v>20384545</v>
      </c>
      <c r="H53" s="13">
        <f>'[1]Місто'!$K$79</f>
        <v>20384545</v>
      </c>
      <c r="I53" s="13">
        <f>H53-G53</f>
        <v>0</v>
      </c>
    </row>
    <row r="54" spans="1:9" ht="21" customHeight="1" hidden="1">
      <c r="A54" s="15" t="s">
        <v>365</v>
      </c>
      <c r="B54" s="16" t="s">
        <v>366</v>
      </c>
      <c r="C54" s="16" t="s">
        <v>367</v>
      </c>
      <c r="D54" s="18"/>
      <c r="E54" s="19"/>
      <c r="F54" s="18"/>
      <c r="G54" s="17"/>
      <c r="I54" s="13"/>
    </row>
    <row r="55" spans="1:9" ht="15.75">
      <c r="A55" s="15" t="s">
        <v>2</v>
      </c>
      <c r="B55" s="16" t="s">
        <v>3</v>
      </c>
      <c r="C55" s="16" t="s">
        <v>367</v>
      </c>
      <c r="D55" s="18"/>
      <c r="E55" s="19"/>
      <c r="F55" s="18"/>
      <c r="G55" s="17">
        <f>'[1]Місто'!$K$83</f>
        <v>7868643</v>
      </c>
      <c r="I55" s="13"/>
    </row>
    <row r="56" spans="1:9" ht="30.75">
      <c r="A56" s="15"/>
      <c r="B56" s="16"/>
      <c r="C56" s="29" t="s">
        <v>370</v>
      </c>
      <c r="D56" s="18"/>
      <c r="E56" s="19"/>
      <c r="F56" s="18"/>
      <c r="G56" s="17">
        <v>3320311</v>
      </c>
      <c r="I56" s="13"/>
    </row>
    <row r="57" spans="1:9" ht="15.75">
      <c r="A57" s="15" t="s">
        <v>4</v>
      </c>
      <c r="B57" s="16" t="s">
        <v>5</v>
      </c>
      <c r="C57" s="16" t="s">
        <v>367</v>
      </c>
      <c r="D57" s="18"/>
      <c r="E57" s="19"/>
      <c r="F57" s="18"/>
      <c r="G57" s="17">
        <f>'[1]Місто'!$K$85</f>
        <v>756200</v>
      </c>
      <c r="I57" s="13"/>
    </row>
    <row r="58" spans="1:9" ht="30.75">
      <c r="A58" s="15"/>
      <c r="B58" s="16"/>
      <c r="C58" s="29" t="s">
        <v>370</v>
      </c>
      <c r="D58" s="18"/>
      <c r="E58" s="19"/>
      <c r="F58" s="18"/>
      <c r="G58" s="17">
        <v>11400</v>
      </c>
      <c r="I58" s="13"/>
    </row>
    <row r="59" spans="1:9" ht="60.75">
      <c r="A59" s="15" t="s">
        <v>6</v>
      </c>
      <c r="B59" s="16" t="s">
        <v>7</v>
      </c>
      <c r="C59" s="16" t="s">
        <v>367</v>
      </c>
      <c r="D59" s="18"/>
      <c r="E59" s="19"/>
      <c r="F59" s="18"/>
      <c r="G59" s="17">
        <f>'[1]Місто'!$K$86</f>
        <v>2104190</v>
      </c>
      <c r="I59" s="13"/>
    </row>
    <row r="60" spans="1:9" ht="30.75" hidden="1">
      <c r="A60" s="15" t="s">
        <v>8</v>
      </c>
      <c r="B60" s="16" t="s">
        <v>9</v>
      </c>
      <c r="C60" s="16" t="s">
        <v>367</v>
      </c>
      <c r="D60" s="18"/>
      <c r="E60" s="19"/>
      <c r="F60" s="18"/>
      <c r="G60" s="17"/>
      <c r="I60" s="13"/>
    </row>
    <row r="61" spans="1:9" ht="30.75">
      <c r="A61" s="15"/>
      <c r="B61" s="16"/>
      <c r="C61" s="29" t="s">
        <v>370</v>
      </c>
      <c r="D61" s="18"/>
      <c r="E61" s="19"/>
      <c r="F61" s="18"/>
      <c r="G61" s="17">
        <v>56190</v>
      </c>
      <c r="I61" s="13"/>
    </row>
    <row r="62" spans="1:9" ht="30.75">
      <c r="A62" s="15" t="s">
        <v>199</v>
      </c>
      <c r="B62" s="16" t="s">
        <v>200</v>
      </c>
      <c r="C62" s="16" t="s">
        <v>367</v>
      </c>
      <c r="D62" s="18"/>
      <c r="E62" s="19"/>
      <c r="F62" s="18"/>
      <c r="G62" s="17">
        <f>'[1]Місто'!$K$88</f>
        <v>5000</v>
      </c>
      <c r="I62" s="13"/>
    </row>
    <row r="63" spans="1:9" ht="75.75">
      <c r="A63" s="28">
        <v>150101</v>
      </c>
      <c r="B63" s="29" t="s">
        <v>368</v>
      </c>
      <c r="C63" s="29" t="s">
        <v>10</v>
      </c>
      <c r="D63" s="17">
        <v>8930226</v>
      </c>
      <c r="E63" s="30">
        <f>100-(F63/D63*100)</f>
        <v>16.202676841549135</v>
      </c>
      <c r="F63" s="17">
        <f>D63-(5555+683139.48+758241.18)</f>
        <v>7483290.34</v>
      </c>
      <c r="G63" s="17">
        <f>616316+536625+2000+616316+1879854</f>
        <v>3651111</v>
      </c>
      <c r="I63" s="13"/>
    </row>
    <row r="64" spans="1:9" ht="30.75">
      <c r="A64" s="28"/>
      <c r="B64" s="29"/>
      <c r="C64" s="29" t="s">
        <v>370</v>
      </c>
      <c r="D64" s="17"/>
      <c r="E64" s="30"/>
      <c r="F64" s="17"/>
      <c r="G64" s="17">
        <f>1152941</f>
        <v>1152941</v>
      </c>
      <c r="I64" s="13"/>
    </row>
    <row r="65" spans="1:9" s="31" customFormat="1" ht="75.75">
      <c r="A65" s="28">
        <v>150101</v>
      </c>
      <c r="B65" s="29" t="s">
        <v>368</v>
      </c>
      <c r="C65" s="32" t="s">
        <v>11</v>
      </c>
      <c r="D65" s="17">
        <v>8379083</v>
      </c>
      <c r="E65" s="19">
        <f>100-(F65/D65*100)</f>
        <v>71.83668678302864</v>
      </c>
      <c r="F65" s="17">
        <f>D65-(1388680+1250000+594399.65+183858.79+1020000+1166700+415617.17)</f>
        <v>2359827.3900000006</v>
      </c>
      <c r="G65" s="17">
        <f>1300000+44730</f>
        <v>1344730</v>
      </c>
      <c r="I65" s="13"/>
    </row>
    <row r="66" spans="1:9" s="31" customFormat="1" ht="30.75">
      <c r="A66" s="28"/>
      <c r="B66" s="29"/>
      <c r="C66" s="32" t="s">
        <v>370</v>
      </c>
      <c r="D66" s="17"/>
      <c r="E66" s="19"/>
      <c r="F66" s="17"/>
      <c r="G66" s="17">
        <v>44730</v>
      </c>
      <c r="I66" s="13"/>
    </row>
    <row r="67" spans="1:9" s="31" customFormat="1" ht="90.75">
      <c r="A67" s="28">
        <v>150101</v>
      </c>
      <c r="B67" s="29" t="s">
        <v>368</v>
      </c>
      <c r="C67" s="32" t="s">
        <v>12</v>
      </c>
      <c r="D67" s="17"/>
      <c r="E67" s="19"/>
      <c r="F67" s="17"/>
      <c r="G67" s="17">
        <v>17040</v>
      </c>
      <c r="I67" s="13"/>
    </row>
    <row r="68" spans="1:9" s="31" customFormat="1" ht="90.75">
      <c r="A68" s="28">
        <v>150101</v>
      </c>
      <c r="B68" s="29" t="s">
        <v>368</v>
      </c>
      <c r="C68" s="32" t="s">
        <v>170</v>
      </c>
      <c r="D68" s="17">
        <v>1048962</v>
      </c>
      <c r="E68" s="19">
        <f>100-(F68/D68*100)</f>
        <v>74.16855901357724</v>
      </c>
      <c r="F68" s="17">
        <v>270962</v>
      </c>
      <c r="G68" s="17">
        <f>1714+250000</f>
        <v>251714</v>
      </c>
      <c r="I68" s="13"/>
    </row>
    <row r="69" spans="1:9" s="31" customFormat="1" ht="30.75">
      <c r="A69" s="28"/>
      <c r="B69" s="29"/>
      <c r="C69" s="32" t="s">
        <v>370</v>
      </c>
      <c r="D69" s="17"/>
      <c r="E69" s="19"/>
      <c r="F69" s="17"/>
      <c r="G69" s="17">
        <v>1714</v>
      </c>
      <c r="I69" s="13"/>
    </row>
    <row r="70" spans="1:9" s="31" customFormat="1" ht="105.75">
      <c r="A70" s="28">
        <v>150101</v>
      </c>
      <c r="B70" s="29" t="s">
        <v>368</v>
      </c>
      <c r="C70" s="32" t="s">
        <v>13</v>
      </c>
      <c r="D70" s="17"/>
      <c r="E70" s="19"/>
      <c r="F70" s="17"/>
      <c r="G70" s="17">
        <v>89114</v>
      </c>
      <c r="I70" s="13"/>
    </row>
    <row r="71" spans="1:9" s="31" customFormat="1" ht="75.75">
      <c r="A71" s="28">
        <v>150101</v>
      </c>
      <c r="B71" s="29" t="s">
        <v>368</v>
      </c>
      <c r="C71" s="32" t="s">
        <v>171</v>
      </c>
      <c r="D71" s="17">
        <v>3575299</v>
      </c>
      <c r="E71" s="19">
        <f>100-(F71/D71*100)</f>
        <v>4.716109058291352</v>
      </c>
      <c r="F71" s="17">
        <v>3406684</v>
      </c>
      <c r="G71" s="17">
        <f>3475+1500000</f>
        <v>1503475</v>
      </c>
      <c r="I71" s="13"/>
    </row>
    <row r="72" spans="1:9" s="31" customFormat="1" ht="30.75">
      <c r="A72" s="28"/>
      <c r="B72" s="29"/>
      <c r="C72" s="32" t="s">
        <v>370</v>
      </c>
      <c r="D72" s="17"/>
      <c r="E72" s="19"/>
      <c r="F72" s="17"/>
      <c r="G72" s="17">
        <v>3475</v>
      </c>
      <c r="I72" s="13"/>
    </row>
    <row r="73" spans="1:9" s="31" customFormat="1" ht="60.75">
      <c r="A73" s="28">
        <v>150101</v>
      </c>
      <c r="B73" s="29" t="s">
        <v>368</v>
      </c>
      <c r="C73" s="32" t="s">
        <v>263</v>
      </c>
      <c r="D73" s="17">
        <v>5540750</v>
      </c>
      <c r="E73" s="19">
        <f>100-(F73/D73*100)</f>
        <v>83.49001488968099</v>
      </c>
      <c r="F73" s="17">
        <v>914777</v>
      </c>
      <c r="G73" s="17">
        <f>102550+812227</f>
        <v>914777</v>
      </c>
      <c r="I73" s="13"/>
    </row>
    <row r="74" spans="1:9" s="31" customFormat="1" ht="30.75">
      <c r="A74" s="28"/>
      <c r="B74" s="29"/>
      <c r="C74" s="32" t="s">
        <v>370</v>
      </c>
      <c r="D74" s="17"/>
      <c r="E74" s="19"/>
      <c r="F74" s="17"/>
      <c r="G74" s="17">
        <v>102550</v>
      </c>
      <c r="I74" s="13"/>
    </row>
    <row r="75" spans="1:9" s="31" customFormat="1" ht="75.75">
      <c r="A75" s="28">
        <v>150101</v>
      </c>
      <c r="B75" s="29" t="s">
        <v>368</v>
      </c>
      <c r="C75" s="32" t="s">
        <v>14</v>
      </c>
      <c r="D75" s="17"/>
      <c r="E75" s="19"/>
      <c r="F75" s="17"/>
      <c r="G75" s="17">
        <v>58765</v>
      </c>
      <c r="I75" s="13"/>
    </row>
    <row r="76" spans="1:9" s="31" customFormat="1" ht="60.75">
      <c r="A76" s="28">
        <v>150101</v>
      </c>
      <c r="B76" s="29" t="s">
        <v>368</v>
      </c>
      <c r="C76" s="32" t="s">
        <v>15</v>
      </c>
      <c r="D76" s="17"/>
      <c r="E76" s="19"/>
      <c r="F76" s="17"/>
      <c r="G76" s="17">
        <v>58183</v>
      </c>
      <c r="I76" s="13"/>
    </row>
    <row r="77" spans="1:9" s="31" customFormat="1" ht="90.75">
      <c r="A77" s="28">
        <v>150101</v>
      </c>
      <c r="B77" s="29" t="s">
        <v>368</v>
      </c>
      <c r="C77" s="32" t="s">
        <v>16</v>
      </c>
      <c r="D77" s="17"/>
      <c r="E77" s="19"/>
      <c r="F77" s="17"/>
      <c r="G77" s="17">
        <v>45634</v>
      </c>
      <c r="I77" s="13"/>
    </row>
    <row r="78" spans="1:9" s="31" customFormat="1" ht="45.75">
      <c r="A78" s="28">
        <v>150101</v>
      </c>
      <c r="B78" s="29" t="s">
        <v>368</v>
      </c>
      <c r="C78" s="32" t="s">
        <v>172</v>
      </c>
      <c r="D78" s="17">
        <v>320647</v>
      </c>
      <c r="E78" s="19">
        <f>100-(F78/D78*100)</f>
        <v>9.608697414914218</v>
      </c>
      <c r="F78" s="17">
        <v>289837</v>
      </c>
      <c r="G78" s="17">
        <f>99822+190015</f>
        <v>289837</v>
      </c>
      <c r="I78" s="13"/>
    </row>
    <row r="79" spans="1:9" s="31" customFormat="1" ht="30.75">
      <c r="A79" s="28"/>
      <c r="B79" s="29"/>
      <c r="C79" s="32" t="s">
        <v>370</v>
      </c>
      <c r="D79" s="17"/>
      <c r="E79" s="19"/>
      <c r="F79" s="17"/>
      <c r="G79" s="17">
        <v>99822</v>
      </c>
      <c r="I79" s="13"/>
    </row>
    <row r="80" spans="1:9" s="31" customFormat="1" ht="75.75">
      <c r="A80" s="28">
        <v>150101</v>
      </c>
      <c r="B80" s="29" t="s">
        <v>368</v>
      </c>
      <c r="C80" s="32" t="s">
        <v>17</v>
      </c>
      <c r="D80" s="17"/>
      <c r="E80" s="19"/>
      <c r="F80" s="17"/>
      <c r="G80" s="17">
        <v>176132</v>
      </c>
      <c r="I80" s="13"/>
    </row>
    <row r="81" spans="1:9" s="31" customFormat="1" ht="60.75">
      <c r="A81" s="28">
        <v>150101</v>
      </c>
      <c r="B81" s="29" t="s">
        <v>368</v>
      </c>
      <c r="C81" s="32" t="s">
        <v>264</v>
      </c>
      <c r="D81" s="17">
        <v>300000</v>
      </c>
      <c r="E81" s="19"/>
      <c r="F81" s="17">
        <v>300000</v>
      </c>
      <c r="G81" s="17">
        <v>300000</v>
      </c>
      <c r="I81" s="13"/>
    </row>
    <row r="82" spans="1:9" s="31" customFormat="1" ht="45.75">
      <c r="A82" s="28">
        <v>150101</v>
      </c>
      <c r="B82" s="29" t="s">
        <v>368</v>
      </c>
      <c r="C82" s="32" t="s">
        <v>197</v>
      </c>
      <c r="D82" s="17">
        <v>950000</v>
      </c>
      <c r="E82" s="19"/>
      <c r="F82" s="17">
        <v>950000</v>
      </c>
      <c r="G82" s="17">
        <v>950000</v>
      </c>
      <c r="I82" s="13"/>
    </row>
    <row r="83" spans="1:9" s="14" customFormat="1" ht="48" customHeight="1">
      <c r="A83" s="10">
        <v>15</v>
      </c>
      <c r="B83" s="11" t="s">
        <v>18</v>
      </c>
      <c r="C83" s="11"/>
      <c r="D83" s="12">
        <f>SUM(D84:D94)-D87-D85-D90</f>
        <v>5986000</v>
      </c>
      <c r="E83" s="12"/>
      <c r="F83" s="12">
        <f>SUM(F84:F94)-F87-F85-F90</f>
        <v>5844614.19</v>
      </c>
      <c r="G83" s="12">
        <f>SUM(G84:G94)-G87-G85-G90</f>
        <v>10946656</v>
      </c>
      <c r="H83" s="13">
        <f>'[1]Місто'!$K$100</f>
        <v>10946656</v>
      </c>
      <c r="I83" s="13">
        <f>H83-G83</f>
        <v>0</v>
      </c>
    </row>
    <row r="84" spans="1:9" ht="33" customHeight="1">
      <c r="A84" s="15" t="s">
        <v>365</v>
      </c>
      <c r="B84" s="16" t="s">
        <v>366</v>
      </c>
      <c r="C84" s="16" t="s">
        <v>367</v>
      </c>
      <c r="D84" s="18"/>
      <c r="E84" s="19"/>
      <c r="F84" s="18"/>
      <c r="G84" s="17">
        <f>'[1]Місто'!$K$102</f>
        <v>2285484</v>
      </c>
      <c r="I84" s="13"/>
    </row>
    <row r="85" spans="1:9" ht="33" customHeight="1">
      <c r="A85" s="15"/>
      <c r="B85" s="16"/>
      <c r="C85" s="29" t="s">
        <v>370</v>
      </c>
      <c r="D85" s="18"/>
      <c r="E85" s="19"/>
      <c r="F85" s="18"/>
      <c r="G85" s="17">
        <v>77000</v>
      </c>
      <c r="I85" s="13"/>
    </row>
    <row r="86" spans="1:9" ht="276" customHeight="1">
      <c r="A86" s="15" t="s">
        <v>19</v>
      </c>
      <c r="B86" s="33" t="s">
        <v>20</v>
      </c>
      <c r="C86" s="16" t="s">
        <v>367</v>
      </c>
      <c r="D86" s="18"/>
      <c r="E86" s="19"/>
      <c r="F86" s="18"/>
      <c r="G86" s="17">
        <f>'[1]Місто'!$K$111</f>
        <v>156000</v>
      </c>
      <c r="I86" s="13"/>
    </row>
    <row r="87" spans="1:9" ht="210.75" customHeight="1">
      <c r="A87" s="15"/>
      <c r="B87" s="33" t="s">
        <v>22</v>
      </c>
      <c r="C87" s="16"/>
      <c r="D87" s="18"/>
      <c r="E87" s="19"/>
      <c r="F87" s="18"/>
      <c r="G87" s="17">
        <f>G86</f>
        <v>156000</v>
      </c>
      <c r="I87" s="13"/>
    </row>
    <row r="88" spans="1:9" ht="45.75">
      <c r="A88" s="24" t="s">
        <v>380</v>
      </c>
      <c r="B88" s="26" t="s">
        <v>381</v>
      </c>
      <c r="C88" s="16" t="s">
        <v>367</v>
      </c>
      <c r="D88" s="18"/>
      <c r="E88" s="19"/>
      <c r="F88" s="18"/>
      <c r="G88" s="17">
        <f>'[1]Місто'!$K$155</f>
        <v>196550</v>
      </c>
      <c r="I88" s="13"/>
    </row>
    <row r="89" spans="1:9" ht="45.75">
      <c r="A89" s="58" t="s">
        <v>23</v>
      </c>
      <c r="B89" s="16" t="s">
        <v>24</v>
      </c>
      <c r="C89" s="16" t="s">
        <v>367</v>
      </c>
      <c r="D89" s="18"/>
      <c r="E89" s="19"/>
      <c r="F89" s="18"/>
      <c r="G89" s="17">
        <f>'[1]Місто'!$K$159</f>
        <v>926639</v>
      </c>
      <c r="I89" s="13"/>
    </row>
    <row r="90" spans="1:9" ht="30.75">
      <c r="A90" s="15"/>
      <c r="B90" s="16"/>
      <c r="C90" s="29" t="s">
        <v>370</v>
      </c>
      <c r="D90" s="18"/>
      <c r="E90" s="19"/>
      <c r="F90" s="18"/>
      <c r="G90" s="17">
        <v>249139</v>
      </c>
      <c r="I90" s="13"/>
    </row>
    <row r="91" spans="1:9" ht="75.75" hidden="1">
      <c r="A91" s="15">
        <v>150101</v>
      </c>
      <c r="B91" s="16" t="s">
        <v>368</v>
      </c>
      <c r="C91" s="16" t="s">
        <v>25</v>
      </c>
      <c r="D91" s="18"/>
      <c r="E91" s="19"/>
      <c r="F91" s="18"/>
      <c r="G91" s="17"/>
      <c r="I91" s="13"/>
    </row>
    <row r="92" spans="1:9" ht="68.25" customHeight="1">
      <c r="A92" s="15">
        <v>150101</v>
      </c>
      <c r="B92" s="16" t="s">
        <v>368</v>
      </c>
      <c r="C92" s="16" t="s">
        <v>26</v>
      </c>
      <c r="D92" s="18">
        <v>5986000</v>
      </c>
      <c r="E92" s="19">
        <f>100-(F92/D92*100)</f>
        <v>2.3619413631807475</v>
      </c>
      <c r="F92" s="18">
        <f>D92-141385.81</f>
        <v>5844614.19</v>
      </c>
      <c r="G92" s="17">
        <f>3000000+2844614</f>
        <v>5844614</v>
      </c>
      <c r="I92" s="13"/>
    </row>
    <row r="93" spans="1:9" ht="90.75">
      <c r="A93" s="15">
        <v>150101</v>
      </c>
      <c r="B93" s="16" t="s">
        <v>368</v>
      </c>
      <c r="C93" s="16" t="s">
        <v>27</v>
      </c>
      <c r="D93" s="18"/>
      <c r="E93" s="19"/>
      <c r="F93" s="18"/>
      <c r="G93" s="17">
        <v>684413</v>
      </c>
      <c r="I93" s="13"/>
    </row>
    <row r="94" spans="1:9" ht="68.25" customHeight="1">
      <c r="A94" s="15">
        <v>150101</v>
      </c>
      <c r="B94" s="16" t="s">
        <v>368</v>
      </c>
      <c r="C94" s="16" t="s">
        <v>28</v>
      </c>
      <c r="D94" s="18"/>
      <c r="E94" s="19"/>
      <c r="F94" s="18"/>
      <c r="G94" s="17">
        <v>852956</v>
      </c>
      <c r="I94" s="13"/>
    </row>
    <row r="95" spans="1:9" s="14" customFormat="1" ht="47.25" hidden="1">
      <c r="A95" s="10">
        <v>20</v>
      </c>
      <c r="B95" s="11" t="s">
        <v>29</v>
      </c>
      <c r="C95" s="11"/>
      <c r="D95" s="12"/>
      <c r="E95" s="21"/>
      <c r="F95" s="12"/>
      <c r="G95" s="40"/>
      <c r="H95" s="13">
        <f>'[1]Місто'!$K$187</f>
        <v>0</v>
      </c>
      <c r="I95" s="13">
        <f>H95-G95</f>
        <v>0</v>
      </c>
    </row>
    <row r="96" spans="1:9" ht="30.75" hidden="1">
      <c r="A96" s="15" t="s">
        <v>365</v>
      </c>
      <c r="B96" s="16" t="s">
        <v>366</v>
      </c>
      <c r="C96" s="16" t="s">
        <v>367</v>
      </c>
      <c r="D96" s="18"/>
      <c r="E96" s="19"/>
      <c r="F96" s="18"/>
      <c r="G96" s="17"/>
      <c r="I96" s="13"/>
    </row>
    <row r="97" spans="1:9" s="14" customFormat="1" ht="78.75" hidden="1">
      <c r="A97" s="10">
        <v>23</v>
      </c>
      <c r="B97" s="11" t="s">
        <v>30</v>
      </c>
      <c r="C97" s="11"/>
      <c r="D97" s="12"/>
      <c r="E97" s="21"/>
      <c r="F97" s="12"/>
      <c r="G97" s="40"/>
      <c r="H97" s="13">
        <f>'[1]Місто'!$K$192</f>
        <v>0</v>
      </c>
      <c r="I97" s="13">
        <f>H97-G97</f>
        <v>0</v>
      </c>
    </row>
    <row r="98" spans="1:9" ht="30.75" hidden="1">
      <c r="A98" s="15" t="s">
        <v>365</v>
      </c>
      <c r="B98" s="16" t="s">
        <v>366</v>
      </c>
      <c r="C98" s="16" t="s">
        <v>367</v>
      </c>
      <c r="D98" s="18"/>
      <c r="E98" s="19"/>
      <c r="F98" s="18"/>
      <c r="G98" s="17"/>
      <c r="I98" s="13"/>
    </row>
    <row r="99" spans="1:9" s="14" customFormat="1" ht="47.25">
      <c r="A99" s="10">
        <v>24</v>
      </c>
      <c r="B99" s="11" t="s">
        <v>31</v>
      </c>
      <c r="C99" s="11"/>
      <c r="D99" s="12">
        <f>SUM(D100:D109)-D101-D107-D103-D105</f>
        <v>206754</v>
      </c>
      <c r="E99" s="21"/>
      <c r="F99" s="12">
        <f>SUM(F100:F109)-F101-F107-F103-F105</f>
        <v>194934</v>
      </c>
      <c r="G99" s="12">
        <f>SUM(G100:G109)-G101-G107-G103-G105</f>
        <v>4641608</v>
      </c>
      <c r="H99" s="13">
        <f>'[1]Місто'!$K$195</f>
        <v>4641608</v>
      </c>
      <c r="I99" s="13">
        <f>H99-G99</f>
        <v>0</v>
      </c>
    </row>
    <row r="100" spans="1:9" ht="15.75">
      <c r="A100" s="15" t="s">
        <v>32</v>
      </c>
      <c r="B100" s="16" t="s">
        <v>33</v>
      </c>
      <c r="C100" s="16" t="s">
        <v>367</v>
      </c>
      <c r="D100" s="18"/>
      <c r="E100" s="19"/>
      <c r="F100" s="18"/>
      <c r="G100" s="17">
        <f>'[1]Місто'!$K$199</f>
        <v>194379</v>
      </c>
      <c r="I100" s="13"/>
    </row>
    <row r="101" spans="1:9" ht="30.75">
      <c r="A101" s="15"/>
      <c r="B101" s="16"/>
      <c r="C101" s="29" t="s">
        <v>370</v>
      </c>
      <c r="D101" s="18"/>
      <c r="E101" s="19"/>
      <c r="F101" s="18"/>
      <c r="G101" s="17">
        <v>64407</v>
      </c>
      <c r="I101" s="13"/>
    </row>
    <row r="102" spans="1:9" ht="15.75">
      <c r="A102" s="15" t="s">
        <v>34</v>
      </c>
      <c r="B102" s="16" t="s">
        <v>35</v>
      </c>
      <c r="C102" s="16" t="s">
        <v>173</v>
      </c>
      <c r="D102" s="18"/>
      <c r="E102" s="19"/>
      <c r="F102" s="18"/>
      <c r="G102" s="17">
        <f>'[1]Місто'!$K$200</f>
        <v>1207124</v>
      </c>
      <c r="I102" s="13"/>
    </row>
    <row r="103" spans="1:9" ht="30.75">
      <c r="A103" s="15"/>
      <c r="B103" s="16"/>
      <c r="C103" s="29" t="s">
        <v>370</v>
      </c>
      <c r="D103" s="18"/>
      <c r="E103" s="19"/>
      <c r="F103" s="18"/>
      <c r="G103" s="17">
        <v>1005624</v>
      </c>
      <c r="I103" s="13"/>
    </row>
    <row r="104" spans="1:9" ht="45.75">
      <c r="A104" s="15" t="s">
        <v>36</v>
      </c>
      <c r="B104" s="16" t="s">
        <v>37</v>
      </c>
      <c r="C104" s="16" t="s">
        <v>173</v>
      </c>
      <c r="D104" s="18"/>
      <c r="E104" s="19"/>
      <c r="F104" s="18"/>
      <c r="G104" s="17">
        <f>'[1]Місто'!$K$201</f>
        <v>181556</v>
      </c>
      <c r="I104" s="13"/>
    </row>
    <row r="105" spans="1:9" ht="30.75">
      <c r="A105" s="15"/>
      <c r="B105" s="16"/>
      <c r="C105" s="29" t="s">
        <v>370</v>
      </c>
      <c r="D105" s="18"/>
      <c r="E105" s="19"/>
      <c r="F105" s="18"/>
      <c r="G105" s="17">
        <v>107156</v>
      </c>
      <c r="I105" s="13"/>
    </row>
    <row r="106" spans="1:9" ht="30.75">
      <c r="A106" s="15" t="s">
        <v>38</v>
      </c>
      <c r="B106" s="16" t="s">
        <v>39</v>
      </c>
      <c r="C106" s="16" t="s">
        <v>367</v>
      </c>
      <c r="D106" s="18"/>
      <c r="E106" s="19"/>
      <c r="F106" s="18"/>
      <c r="G106" s="17">
        <f>'[1]Місто'!$K$202</f>
        <v>2681279</v>
      </c>
      <c r="I106" s="13"/>
    </row>
    <row r="107" spans="1:9" ht="30.75">
      <c r="A107" s="15"/>
      <c r="B107" s="16"/>
      <c r="C107" s="29" t="s">
        <v>370</v>
      </c>
      <c r="D107" s="18"/>
      <c r="E107" s="19"/>
      <c r="F107" s="18"/>
      <c r="G107" s="17">
        <v>163087</v>
      </c>
      <c r="I107" s="13"/>
    </row>
    <row r="108" spans="1:9" ht="30.75">
      <c r="A108" s="15" t="s">
        <v>40</v>
      </c>
      <c r="B108" s="16" t="s">
        <v>41</v>
      </c>
      <c r="C108" s="16" t="s">
        <v>367</v>
      </c>
      <c r="D108" s="18"/>
      <c r="E108" s="19"/>
      <c r="F108" s="18"/>
      <c r="G108" s="17">
        <f>'[1]Місто'!$K$206</f>
        <v>182336</v>
      </c>
      <c r="I108" s="13"/>
    </row>
    <row r="109" spans="1:9" ht="60.75">
      <c r="A109" s="15">
        <v>150101</v>
      </c>
      <c r="B109" s="16" t="s">
        <v>368</v>
      </c>
      <c r="C109" s="16" t="s">
        <v>174</v>
      </c>
      <c r="D109" s="18">
        <v>206754</v>
      </c>
      <c r="E109" s="19">
        <f>100-(F109/D109*100)</f>
        <v>5.716938970950977</v>
      </c>
      <c r="F109" s="18">
        <v>194934</v>
      </c>
      <c r="G109" s="17">
        <v>194934</v>
      </c>
      <c r="I109" s="13"/>
    </row>
    <row r="110" spans="1:9" s="14" customFormat="1" ht="63">
      <c r="A110" s="10" t="s">
        <v>42</v>
      </c>
      <c r="B110" s="11" t="s">
        <v>43</v>
      </c>
      <c r="C110" s="11"/>
      <c r="D110" s="12">
        <f>SUM(D111:D112)</f>
        <v>1071200</v>
      </c>
      <c r="E110" s="12"/>
      <c r="F110" s="12">
        <f>SUM(F111:F112)</f>
        <v>1071200</v>
      </c>
      <c r="G110" s="12">
        <f>SUM(G111:G112)</f>
        <v>1108200</v>
      </c>
      <c r="H110" s="13">
        <f>'[1]Місто'!$K$214</f>
        <v>1108200</v>
      </c>
      <c r="I110" s="13">
        <f>H110-G110</f>
        <v>0</v>
      </c>
    </row>
    <row r="111" spans="1:9" ht="30.75">
      <c r="A111" s="15" t="s">
        <v>365</v>
      </c>
      <c r="B111" s="16" t="s">
        <v>366</v>
      </c>
      <c r="C111" s="16" t="s">
        <v>367</v>
      </c>
      <c r="D111" s="18"/>
      <c r="E111" s="19"/>
      <c r="F111" s="18"/>
      <c r="G111" s="17">
        <f>'[1]Місто'!$K$216</f>
        <v>37000</v>
      </c>
      <c r="I111" s="13"/>
    </row>
    <row r="112" spans="1:9" ht="60.75">
      <c r="A112" s="15">
        <v>150101</v>
      </c>
      <c r="B112" s="16" t="s">
        <v>368</v>
      </c>
      <c r="C112" s="16" t="s">
        <v>166</v>
      </c>
      <c r="D112" s="18">
        <v>1071200</v>
      </c>
      <c r="E112" s="19"/>
      <c r="F112" s="18">
        <v>1071200</v>
      </c>
      <c r="G112" s="17">
        <f>1573600-502400</f>
        <v>1071200</v>
      </c>
      <c r="I112" s="13"/>
    </row>
    <row r="113" spans="1:9" s="14" customFormat="1" ht="53.25" customHeight="1">
      <c r="A113" s="10" t="s">
        <v>44</v>
      </c>
      <c r="B113" s="11" t="s">
        <v>45</v>
      </c>
      <c r="C113" s="11"/>
      <c r="D113" s="12"/>
      <c r="E113" s="21"/>
      <c r="F113" s="12"/>
      <c r="G113" s="12">
        <f>G114</f>
        <v>43050</v>
      </c>
      <c r="H113" s="13">
        <f>'[1]Місто'!$K$227</f>
        <v>43050</v>
      </c>
      <c r="I113" s="13">
        <f>H113-G113</f>
        <v>0</v>
      </c>
    </row>
    <row r="114" spans="1:9" ht="33.75" customHeight="1">
      <c r="A114" s="15" t="s">
        <v>365</v>
      </c>
      <c r="B114" s="16" t="s">
        <v>366</v>
      </c>
      <c r="C114" s="16" t="s">
        <v>167</v>
      </c>
      <c r="D114" s="18"/>
      <c r="E114" s="19"/>
      <c r="F114" s="18"/>
      <c r="G114" s="17">
        <f>'[1]Місто'!$K$229</f>
        <v>43050</v>
      </c>
      <c r="I114" s="13"/>
    </row>
    <row r="115" spans="1:9" s="14" customFormat="1" ht="63">
      <c r="A115" s="34">
        <v>40</v>
      </c>
      <c r="B115" s="35" t="s">
        <v>46</v>
      </c>
      <c r="C115" s="11"/>
      <c r="D115" s="12">
        <f>SUM(D116:D380)-D124-D236-D317-D319-D321-D327-D329-D331-D334-D342-D118-D120-D122-D160-D213-D375-D251-D265-D267-D269-D276-D279-D284-D291-D299-D310</f>
        <v>91862829</v>
      </c>
      <c r="E115" s="12"/>
      <c r="F115" s="12">
        <f>SUM(F116:F380)-F124-F236-F317-F319-F321-F327-F329-F331-F334-F342-F118-F120-F122-F160-F213-F375-F251-F265-F267-F269-F276-F279-F284-F291-F299-F310</f>
        <v>82062741.9</v>
      </c>
      <c r="G115" s="12">
        <f>SUM(G116:G380)-G124-G236-G317-G319-G321-G327-G329-G331-G334-G342-G118-G120-G122-G126-G128-G131-G133-G135-G137-G139-G141-G143-G145-G147-G149-G151-G153-G155-G157-G352-G356-G369-G160-G213-G375-G251-G265-G267-G269-G276-G279-G284-G291-G299-G310</f>
        <v>122970743</v>
      </c>
      <c r="H115" s="13">
        <f>'[1]Місто'!$K$230</f>
        <v>122970743</v>
      </c>
      <c r="I115" s="13">
        <f>H115-G115</f>
        <v>0</v>
      </c>
    </row>
    <row r="116" spans="1:9" s="14" customFormat="1" ht="36" customHeight="1">
      <c r="A116" s="15" t="s">
        <v>365</v>
      </c>
      <c r="B116" s="32" t="s">
        <v>366</v>
      </c>
      <c r="C116" s="16" t="s">
        <v>367</v>
      </c>
      <c r="D116" s="17"/>
      <c r="E116" s="17"/>
      <c r="F116" s="17"/>
      <c r="G116" s="17">
        <f>'[1]Місто'!$K$232</f>
        <v>60000</v>
      </c>
      <c r="I116" s="13"/>
    </row>
    <row r="117" spans="1:9" ht="30.75">
      <c r="A117" s="15" t="s">
        <v>47</v>
      </c>
      <c r="B117" s="16" t="s">
        <v>48</v>
      </c>
      <c r="C117" s="16" t="s">
        <v>367</v>
      </c>
      <c r="D117" s="18"/>
      <c r="E117" s="19"/>
      <c r="F117" s="18"/>
      <c r="G117" s="17">
        <f>'[1]Місто'!$K$241</f>
        <v>48346858</v>
      </c>
      <c r="I117" s="13"/>
    </row>
    <row r="118" spans="1:9" ht="30.75">
      <c r="A118" s="15"/>
      <c r="B118" s="16"/>
      <c r="C118" s="29" t="s">
        <v>370</v>
      </c>
      <c r="D118" s="18"/>
      <c r="E118" s="19"/>
      <c r="F118" s="18"/>
      <c r="G118" s="17">
        <v>7409833</v>
      </c>
      <c r="I118" s="13"/>
    </row>
    <row r="119" spans="1:9" ht="18.75" customHeight="1">
      <c r="A119" s="15">
        <v>100203</v>
      </c>
      <c r="B119" s="16" t="s">
        <v>49</v>
      </c>
      <c r="C119" s="16" t="s">
        <v>367</v>
      </c>
      <c r="D119" s="18"/>
      <c r="E119" s="19"/>
      <c r="F119" s="18"/>
      <c r="G119" s="17">
        <f>'[1]Місто'!$K$243</f>
        <v>3627394</v>
      </c>
      <c r="I119" s="13"/>
    </row>
    <row r="120" spans="1:9" ht="30.75">
      <c r="A120" s="15"/>
      <c r="B120" s="16"/>
      <c r="C120" s="29" t="s">
        <v>370</v>
      </c>
      <c r="D120" s="18"/>
      <c r="E120" s="19"/>
      <c r="F120" s="18"/>
      <c r="G120" s="17">
        <v>319273</v>
      </c>
      <c r="I120" s="13"/>
    </row>
    <row r="121" spans="1:9" ht="21" customHeight="1">
      <c r="A121" s="15" t="s">
        <v>50</v>
      </c>
      <c r="B121" s="16" t="s">
        <v>51</v>
      </c>
      <c r="C121" s="16" t="s">
        <v>367</v>
      </c>
      <c r="D121" s="18"/>
      <c r="E121" s="19"/>
      <c r="F121" s="18"/>
      <c r="G121" s="17">
        <f>'[1]Місто'!$K$255</f>
        <v>1713632</v>
      </c>
      <c r="I121" s="13"/>
    </row>
    <row r="122" spans="1:9" ht="30.75">
      <c r="A122" s="15"/>
      <c r="B122" s="16"/>
      <c r="C122" s="29" t="s">
        <v>370</v>
      </c>
      <c r="D122" s="18"/>
      <c r="E122" s="19"/>
      <c r="F122" s="18"/>
      <c r="G122" s="17">
        <v>13632</v>
      </c>
      <c r="I122" s="13"/>
    </row>
    <row r="123" spans="1:9" s="31" customFormat="1" ht="45.75">
      <c r="A123" s="28">
        <v>150101</v>
      </c>
      <c r="B123" s="29" t="s">
        <v>368</v>
      </c>
      <c r="C123" s="29" t="s">
        <v>52</v>
      </c>
      <c r="D123" s="17">
        <v>706344</v>
      </c>
      <c r="E123" s="30"/>
      <c r="F123" s="17">
        <v>706344</v>
      </c>
      <c r="G123" s="17">
        <f>840000-150000+4107+12237</f>
        <v>706344</v>
      </c>
      <c r="I123" s="13"/>
    </row>
    <row r="124" spans="1:9" s="31" customFormat="1" ht="30.75">
      <c r="A124" s="28"/>
      <c r="B124" s="29"/>
      <c r="C124" s="29" t="s">
        <v>370</v>
      </c>
      <c r="D124" s="17"/>
      <c r="E124" s="30"/>
      <c r="F124" s="17"/>
      <c r="G124" s="17">
        <v>4107</v>
      </c>
      <c r="I124" s="13"/>
    </row>
    <row r="125" spans="1:9" s="31" customFormat="1" ht="75.75">
      <c r="A125" s="15">
        <v>150101</v>
      </c>
      <c r="B125" s="16" t="s">
        <v>368</v>
      </c>
      <c r="C125" s="29" t="s">
        <v>175</v>
      </c>
      <c r="D125" s="17">
        <v>1512000</v>
      </c>
      <c r="E125" s="19">
        <f>100-(F125/D125*100)</f>
        <v>39.27824074074074</v>
      </c>
      <c r="F125" s="17">
        <v>918113</v>
      </c>
      <c r="G125" s="17">
        <f>24866+893247</f>
        <v>918113</v>
      </c>
      <c r="I125" s="13"/>
    </row>
    <row r="126" spans="1:9" s="31" customFormat="1" ht="30.75">
      <c r="A126" s="15"/>
      <c r="B126" s="16"/>
      <c r="C126" s="29" t="s">
        <v>370</v>
      </c>
      <c r="D126" s="17"/>
      <c r="E126" s="30"/>
      <c r="F126" s="17"/>
      <c r="G126" s="17">
        <v>24866</v>
      </c>
      <c r="I126" s="13"/>
    </row>
    <row r="127" spans="1:9" s="31" customFormat="1" ht="30.75">
      <c r="A127" s="15">
        <v>150101</v>
      </c>
      <c r="B127" s="16" t="s">
        <v>368</v>
      </c>
      <c r="C127" s="29" t="s">
        <v>176</v>
      </c>
      <c r="D127" s="17">
        <v>800000</v>
      </c>
      <c r="E127" s="19">
        <f>100-(F127/D127*100)</f>
        <v>0.2702500000000043</v>
      </c>
      <c r="F127" s="17">
        <v>797838</v>
      </c>
      <c r="G127" s="17">
        <f>79479+718359</f>
        <v>797838</v>
      </c>
      <c r="I127" s="13"/>
    </row>
    <row r="128" spans="1:9" s="31" customFormat="1" ht="30.75">
      <c r="A128" s="15"/>
      <c r="B128" s="16"/>
      <c r="C128" s="29" t="s">
        <v>370</v>
      </c>
      <c r="D128" s="17"/>
      <c r="E128" s="30"/>
      <c r="F128" s="17"/>
      <c r="G128" s="17">
        <v>79479</v>
      </c>
      <c r="I128" s="13"/>
    </row>
    <row r="129" spans="1:9" s="31" customFormat="1" ht="60.75">
      <c r="A129" s="15">
        <v>150101</v>
      </c>
      <c r="B129" s="16" t="s">
        <v>368</v>
      </c>
      <c r="C129" s="29" t="s">
        <v>53</v>
      </c>
      <c r="D129" s="17"/>
      <c r="E129" s="30"/>
      <c r="F129" s="17"/>
      <c r="G129" s="17">
        <v>4775</v>
      </c>
      <c r="I129" s="13"/>
    </row>
    <row r="130" spans="1:9" s="31" customFormat="1" ht="30.75">
      <c r="A130" s="15">
        <v>150101</v>
      </c>
      <c r="B130" s="16" t="s">
        <v>368</v>
      </c>
      <c r="C130" s="29" t="s">
        <v>177</v>
      </c>
      <c r="D130" s="17">
        <v>822602</v>
      </c>
      <c r="E130" s="19">
        <f>100-(F130/D130*100)</f>
        <v>58.667739684561916</v>
      </c>
      <c r="F130" s="17">
        <v>340000</v>
      </c>
      <c r="G130" s="17">
        <f>297+339703</f>
        <v>340000</v>
      </c>
      <c r="I130" s="13"/>
    </row>
    <row r="131" spans="1:9" s="31" customFormat="1" ht="30.75">
      <c r="A131" s="15"/>
      <c r="B131" s="16"/>
      <c r="C131" s="29" t="s">
        <v>370</v>
      </c>
      <c r="D131" s="17"/>
      <c r="E131" s="30"/>
      <c r="F131" s="17"/>
      <c r="G131" s="17">
        <v>297</v>
      </c>
      <c r="I131" s="13"/>
    </row>
    <row r="132" spans="1:9" s="31" customFormat="1" ht="30.75">
      <c r="A132" s="15">
        <v>150101</v>
      </c>
      <c r="B132" s="16" t="s">
        <v>368</v>
      </c>
      <c r="C132" s="29" t="s">
        <v>178</v>
      </c>
      <c r="D132" s="17">
        <v>610807</v>
      </c>
      <c r="E132" s="19">
        <f>100-(F132/D132*100)</f>
        <v>52.56652264954396</v>
      </c>
      <c r="F132" s="17">
        <v>289727</v>
      </c>
      <c r="G132" s="17">
        <f>419+289308</f>
        <v>289727</v>
      </c>
      <c r="I132" s="13"/>
    </row>
    <row r="133" spans="1:9" s="31" customFormat="1" ht="30.75">
      <c r="A133" s="15"/>
      <c r="B133" s="16"/>
      <c r="C133" s="29" t="s">
        <v>370</v>
      </c>
      <c r="D133" s="17"/>
      <c r="E133" s="30"/>
      <c r="F133" s="17"/>
      <c r="G133" s="17">
        <v>419</v>
      </c>
      <c r="I133" s="13"/>
    </row>
    <row r="134" spans="1:9" s="31" customFormat="1" ht="45.75">
      <c r="A134" s="15">
        <v>150101</v>
      </c>
      <c r="B134" s="16" t="s">
        <v>368</v>
      </c>
      <c r="C134" s="29" t="s">
        <v>179</v>
      </c>
      <c r="D134" s="17">
        <v>294000</v>
      </c>
      <c r="E134" s="19">
        <f>100-(F134/D134*100)</f>
        <v>47.73401360544217</v>
      </c>
      <c r="F134" s="17">
        <v>153662</v>
      </c>
      <c r="G134" s="17">
        <f>297+153365</f>
        <v>153662</v>
      </c>
      <c r="I134" s="13"/>
    </row>
    <row r="135" spans="1:9" s="31" customFormat="1" ht="30.75">
      <c r="A135" s="15"/>
      <c r="B135" s="16"/>
      <c r="C135" s="29" t="s">
        <v>370</v>
      </c>
      <c r="D135" s="17"/>
      <c r="E135" s="30"/>
      <c r="F135" s="17"/>
      <c r="G135" s="17">
        <v>297</v>
      </c>
      <c r="I135" s="13"/>
    </row>
    <row r="136" spans="1:9" s="31" customFormat="1" ht="30.75">
      <c r="A136" s="15">
        <v>150101</v>
      </c>
      <c r="B136" s="16" t="s">
        <v>368</v>
      </c>
      <c r="C136" s="29" t="s">
        <v>180</v>
      </c>
      <c r="D136" s="17">
        <v>298864</v>
      </c>
      <c r="E136" s="19">
        <f>100-(F136/D136*100)</f>
        <v>83.58751806841909</v>
      </c>
      <c r="F136" s="17">
        <v>49051</v>
      </c>
      <c r="G136" s="17">
        <f>28752+20299</f>
        <v>49051</v>
      </c>
      <c r="I136" s="13"/>
    </row>
    <row r="137" spans="1:9" s="31" customFormat="1" ht="30.75">
      <c r="A137" s="15"/>
      <c r="B137" s="16"/>
      <c r="C137" s="29" t="s">
        <v>370</v>
      </c>
      <c r="D137" s="17"/>
      <c r="E137" s="30"/>
      <c r="F137" s="17"/>
      <c r="G137" s="17">
        <v>28752</v>
      </c>
      <c r="I137" s="13"/>
    </row>
    <row r="138" spans="1:9" s="31" customFormat="1" ht="30.75">
      <c r="A138" s="15">
        <v>150101</v>
      </c>
      <c r="B138" s="16" t="s">
        <v>368</v>
      </c>
      <c r="C138" s="29" t="s">
        <v>181</v>
      </c>
      <c r="D138" s="17">
        <v>26666</v>
      </c>
      <c r="E138" s="30"/>
      <c r="F138" s="17">
        <v>26666</v>
      </c>
      <c r="G138" s="17">
        <f>3740+22926</f>
        <v>26666</v>
      </c>
      <c r="I138" s="13"/>
    </row>
    <row r="139" spans="1:9" s="31" customFormat="1" ht="30.75">
      <c r="A139" s="15"/>
      <c r="B139" s="16"/>
      <c r="C139" s="29" t="s">
        <v>370</v>
      </c>
      <c r="D139" s="17"/>
      <c r="E139" s="30"/>
      <c r="F139" s="17"/>
      <c r="G139" s="17">
        <v>3740</v>
      </c>
      <c r="I139" s="13"/>
    </row>
    <row r="140" spans="1:9" s="31" customFormat="1" ht="30.75">
      <c r="A140" s="15">
        <v>150101</v>
      </c>
      <c r="B140" s="16" t="s">
        <v>368</v>
      </c>
      <c r="C140" s="29" t="s">
        <v>182</v>
      </c>
      <c r="D140" s="17">
        <v>22426</v>
      </c>
      <c r="E140" s="30"/>
      <c r="F140" s="17">
        <v>22426</v>
      </c>
      <c r="G140" s="17">
        <f>4346+18080</f>
        <v>22426</v>
      </c>
      <c r="I140" s="13"/>
    </row>
    <row r="141" spans="1:9" s="31" customFormat="1" ht="30.75">
      <c r="A141" s="15"/>
      <c r="B141" s="16"/>
      <c r="C141" s="29" t="s">
        <v>370</v>
      </c>
      <c r="D141" s="17"/>
      <c r="E141" s="30"/>
      <c r="F141" s="17"/>
      <c r="G141" s="17">
        <v>4346</v>
      </c>
      <c r="I141" s="13"/>
    </row>
    <row r="142" spans="1:9" s="31" customFormat="1" ht="30.75">
      <c r="A142" s="15">
        <v>150101</v>
      </c>
      <c r="B142" s="16" t="s">
        <v>368</v>
      </c>
      <c r="C142" s="29" t="s">
        <v>183</v>
      </c>
      <c r="D142" s="17">
        <v>21511</v>
      </c>
      <c r="E142" s="30"/>
      <c r="F142" s="17">
        <v>21511</v>
      </c>
      <c r="G142" s="17">
        <f>3942+17569</f>
        <v>21511</v>
      </c>
      <c r="I142" s="13"/>
    </row>
    <row r="143" spans="1:9" s="31" customFormat="1" ht="30.75">
      <c r="A143" s="15"/>
      <c r="B143" s="16"/>
      <c r="C143" s="29" t="s">
        <v>370</v>
      </c>
      <c r="D143" s="17"/>
      <c r="E143" s="30"/>
      <c r="F143" s="17"/>
      <c r="G143" s="17">
        <v>3942</v>
      </c>
      <c r="I143" s="13"/>
    </row>
    <row r="144" spans="1:9" s="31" customFormat="1" ht="30.75">
      <c r="A144" s="15">
        <v>150101</v>
      </c>
      <c r="B144" s="16" t="s">
        <v>368</v>
      </c>
      <c r="C144" s="29" t="s">
        <v>184</v>
      </c>
      <c r="D144" s="17">
        <v>16771</v>
      </c>
      <c r="E144" s="30"/>
      <c r="F144" s="17">
        <v>16771</v>
      </c>
      <c r="G144" s="17">
        <f>3740+13031</f>
        <v>16771</v>
      </c>
      <c r="I144" s="13"/>
    </row>
    <row r="145" spans="1:9" s="31" customFormat="1" ht="30.75">
      <c r="A145" s="15"/>
      <c r="B145" s="16"/>
      <c r="C145" s="29" t="s">
        <v>370</v>
      </c>
      <c r="D145" s="17"/>
      <c r="E145" s="30"/>
      <c r="F145" s="17"/>
      <c r="G145" s="17">
        <v>3740</v>
      </c>
      <c r="I145" s="13"/>
    </row>
    <row r="146" spans="1:9" s="31" customFormat="1" ht="30.75">
      <c r="A146" s="15">
        <v>150101</v>
      </c>
      <c r="B146" s="16" t="s">
        <v>368</v>
      </c>
      <c r="C146" s="29" t="s">
        <v>185</v>
      </c>
      <c r="D146" s="17">
        <v>17286</v>
      </c>
      <c r="E146" s="30"/>
      <c r="F146" s="17">
        <v>17286</v>
      </c>
      <c r="G146" s="17">
        <f>3740+13546</f>
        <v>17286</v>
      </c>
      <c r="I146" s="13"/>
    </row>
    <row r="147" spans="1:9" s="31" customFormat="1" ht="30.75">
      <c r="A147" s="15"/>
      <c r="B147" s="16"/>
      <c r="C147" s="29" t="s">
        <v>370</v>
      </c>
      <c r="D147" s="17"/>
      <c r="E147" s="30"/>
      <c r="F147" s="17"/>
      <c r="G147" s="17">
        <v>3740</v>
      </c>
      <c r="I147" s="13"/>
    </row>
    <row r="148" spans="1:9" s="31" customFormat="1" ht="30.75">
      <c r="A148" s="15">
        <v>150101</v>
      </c>
      <c r="B148" s="16" t="s">
        <v>368</v>
      </c>
      <c r="C148" s="29" t="s">
        <v>186</v>
      </c>
      <c r="D148" s="17">
        <v>28339</v>
      </c>
      <c r="E148" s="30"/>
      <c r="F148" s="17">
        <v>28339</v>
      </c>
      <c r="G148" s="17">
        <f>4548+23851</f>
        <v>28399</v>
      </c>
      <c r="I148" s="13"/>
    </row>
    <row r="149" spans="1:9" s="31" customFormat="1" ht="30.75">
      <c r="A149" s="15"/>
      <c r="B149" s="16"/>
      <c r="C149" s="29" t="s">
        <v>370</v>
      </c>
      <c r="D149" s="17"/>
      <c r="E149" s="30"/>
      <c r="F149" s="17"/>
      <c r="G149" s="17">
        <v>4548</v>
      </c>
      <c r="I149" s="13"/>
    </row>
    <row r="150" spans="1:9" s="31" customFormat="1" ht="30.75">
      <c r="A150" s="15">
        <v>150101</v>
      </c>
      <c r="B150" s="16" t="s">
        <v>368</v>
      </c>
      <c r="C150" s="29" t="s">
        <v>187</v>
      </c>
      <c r="D150" s="17">
        <v>43706</v>
      </c>
      <c r="E150" s="30"/>
      <c r="F150" s="17">
        <v>43706</v>
      </c>
      <c r="G150" s="17">
        <f>4952+38754</f>
        <v>43706</v>
      </c>
      <c r="I150" s="13"/>
    </row>
    <row r="151" spans="1:9" s="31" customFormat="1" ht="30.75">
      <c r="A151" s="15"/>
      <c r="B151" s="16"/>
      <c r="C151" s="29" t="s">
        <v>370</v>
      </c>
      <c r="D151" s="17"/>
      <c r="E151" s="30"/>
      <c r="F151" s="17"/>
      <c r="G151" s="17">
        <v>4952</v>
      </c>
      <c r="I151" s="13"/>
    </row>
    <row r="152" spans="1:9" s="31" customFormat="1" ht="30.75">
      <c r="A152" s="15">
        <v>150101</v>
      </c>
      <c r="B152" s="16" t="s">
        <v>368</v>
      </c>
      <c r="C152" s="29" t="s">
        <v>188</v>
      </c>
      <c r="D152" s="17">
        <v>29153</v>
      </c>
      <c r="E152" s="30"/>
      <c r="F152" s="17">
        <v>29153</v>
      </c>
      <c r="G152" s="17">
        <f>4548+24605</f>
        <v>29153</v>
      </c>
      <c r="I152" s="13"/>
    </row>
    <row r="153" spans="1:9" s="31" customFormat="1" ht="30.75">
      <c r="A153" s="15"/>
      <c r="B153" s="16"/>
      <c r="C153" s="29" t="s">
        <v>370</v>
      </c>
      <c r="D153" s="17"/>
      <c r="E153" s="30"/>
      <c r="F153" s="17"/>
      <c r="G153" s="17">
        <v>4548</v>
      </c>
      <c r="I153" s="13"/>
    </row>
    <row r="154" spans="1:9" s="31" customFormat="1" ht="30.75">
      <c r="A154" s="15">
        <v>150101</v>
      </c>
      <c r="B154" s="16" t="s">
        <v>368</v>
      </c>
      <c r="C154" s="29" t="s">
        <v>189</v>
      </c>
      <c r="D154" s="17">
        <v>29509</v>
      </c>
      <c r="E154" s="30"/>
      <c r="F154" s="17">
        <v>29509</v>
      </c>
      <c r="G154" s="17">
        <f>4548+24961</f>
        <v>29509</v>
      </c>
      <c r="I154" s="13"/>
    </row>
    <row r="155" spans="1:9" s="31" customFormat="1" ht="30.75">
      <c r="A155" s="15"/>
      <c r="B155" s="16"/>
      <c r="C155" s="29" t="s">
        <v>370</v>
      </c>
      <c r="D155" s="17"/>
      <c r="E155" s="30"/>
      <c r="F155" s="17"/>
      <c r="G155" s="17">
        <v>4548</v>
      </c>
      <c r="I155" s="13"/>
    </row>
    <row r="156" spans="1:9" s="31" customFormat="1" ht="45.75">
      <c r="A156" s="15">
        <v>150101</v>
      </c>
      <c r="B156" s="16" t="s">
        <v>368</v>
      </c>
      <c r="C156" s="29" t="s">
        <v>190</v>
      </c>
      <c r="D156" s="17">
        <v>4548060</v>
      </c>
      <c r="E156" s="19"/>
      <c r="F156" s="17">
        <v>4546646</v>
      </c>
      <c r="G156" s="17">
        <f>3300+4543346</f>
        <v>4546646</v>
      </c>
      <c r="I156" s="13"/>
    </row>
    <row r="157" spans="1:9" s="31" customFormat="1" ht="30.75">
      <c r="A157" s="15"/>
      <c r="B157" s="16"/>
      <c r="C157" s="29" t="s">
        <v>370</v>
      </c>
      <c r="D157" s="17"/>
      <c r="E157" s="30"/>
      <c r="F157" s="17"/>
      <c r="G157" s="17">
        <v>3300</v>
      </c>
      <c r="I157" s="13"/>
    </row>
    <row r="158" spans="1:9" ht="30.75">
      <c r="A158" s="15">
        <v>150101</v>
      </c>
      <c r="B158" s="16" t="s">
        <v>368</v>
      </c>
      <c r="C158" s="29" t="s">
        <v>54</v>
      </c>
      <c r="D158" s="18">
        <v>3231882</v>
      </c>
      <c r="E158" s="19">
        <f>100-(F158/D158*100)</f>
        <v>68.55799035979655</v>
      </c>
      <c r="F158" s="18">
        <f>D158-(2144946+70767.35)</f>
        <v>1016168.6499999999</v>
      </c>
      <c r="G158" s="17">
        <v>300000</v>
      </c>
      <c r="I158" s="13"/>
    </row>
    <row r="159" spans="1:9" ht="45.75">
      <c r="A159" s="15">
        <v>150101</v>
      </c>
      <c r="B159" s="16" t="s">
        <v>368</v>
      </c>
      <c r="C159" s="16" t="s">
        <v>55</v>
      </c>
      <c r="D159" s="27">
        <v>2897411</v>
      </c>
      <c r="E159" s="37">
        <f>100-(F159/D159*100)</f>
        <v>8.099196144419963</v>
      </c>
      <c r="F159" s="27">
        <v>2662744</v>
      </c>
      <c r="G159" s="56">
        <v>900000</v>
      </c>
      <c r="I159" s="13"/>
    </row>
    <row r="160" spans="1:9" ht="30.75">
      <c r="A160" s="15">
        <v>150101</v>
      </c>
      <c r="B160" s="16" t="s">
        <v>368</v>
      </c>
      <c r="C160" s="38" t="s">
        <v>58</v>
      </c>
      <c r="D160" s="27">
        <v>4406700</v>
      </c>
      <c r="E160" s="37"/>
      <c r="F160" s="27">
        <v>4406700</v>
      </c>
      <c r="G160" s="56">
        <v>4406700</v>
      </c>
      <c r="I160" s="13"/>
    </row>
    <row r="161" spans="1:9" ht="15.75">
      <c r="A161" s="15"/>
      <c r="B161" s="16"/>
      <c r="C161" s="38" t="s">
        <v>258</v>
      </c>
      <c r="D161" s="27"/>
      <c r="E161" s="37"/>
      <c r="F161" s="27"/>
      <c r="G161" s="56"/>
      <c r="I161" s="13"/>
    </row>
    <row r="162" spans="1:9" ht="15.75">
      <c r="A162" s="15"/>
      <c r="B162" s="16"/>
      <c r="C162" s="38" t="s">
        <v>206</v>
      </c>
      <c r="D162" s="27">
        <v>86405</v>
      </c>
      <c r="E162" s="37"/>
      <c r="F162" s="27">
        <v>86405</v>
      </c>
      <c r="G162" s="56">
        <v>86405</v>
      </c>
      <c r="I162" s="13"/>
    </row>
    <row r="163" spans="1:9" ht="15.75">
      <c r="A163" s="15"/>
      <c r="B163" s="16"/>
      <c r="C163" s="38" t="s">
        <v>207</v>
      </c>
      <c r="D163" s="27">
        <v>86405</v>
      </c>
      <c r="E163" s="37"/>
      <c r="F163" s="27">
        <v>86405</v>
      </c>
      <c r="G163" s="56">
        <v>86405</v>
      </c>
      <c r="I163" s="13"/>
    </row>
    <row r="164" spans="1:9" ht="15.75">
      <c r="A164" s="15"/>
      <c r="B164" s="16"/>
      <c r="C164" s="38" t="s">
        <v>208</v>
      </c>
      <c r="D164" s="27">
        <v>86405</v>
      </c>
      <c r="E164" s="37"/>
      <c r="F164" s="27">
        <v>86405</v>
      </c>
      <c r="G164" s="56">
        <v>86405</v>
      </c>
      <c r="I164" s="13"/>
    </row>
    <row r="165" spans="1:9" ht="15.75">
      <c r="A165" s="15"/>
      <c r="B165" s="16"/>
      <c r="C165" s="38" t="s">
        <v>209</v>
      </c>
      <c r="D165" s="27">
        <v>86405</v>
      </c>
      <c r="E165" s="37"/>
      <c r="F165" s="27">
        <v>86405</v>
      </c>
      <c r="G165" s="56">
        <v>86405</v>
      </c>
      <c r="I165" s="13"/>
    </row>
    <row r="166" spans="1:9" ht="15.75">
      <c r="A166" s="15"/>
      <c r="B166" s="16"/>
      <c r="C166" s="38" t="s">
        <v>210</v>
      </c>
      <c r="D166" s="27">
        <v>86405</v>
      </c>
      <c r="E166" s="37"/>
      <c r="F166" s="27">
        <v>86405</v>
      </c>
      <c r="G166" s="56">
        <v>86405</v>
      </c>
      <c r="I166" s="13"/>
    </row>
    <row r="167" spans="1:9" ht="15.75">
      <c r="A167" s="15"/>
      <c r="B167" s="16"/>
      <c r="C167" s="38" t="s">
        <v>211</v>
      </c>
      <c r="D167" s="27">
        <v>86405</v>
      </c>
      <c r="E167" s="37"/>
      <c r="F167" s="27">
        <v>86405</v>
      </c>
      <c r="G167" s="56">
        <v>86405</v>
      </c>
      <c r="I167" s="13"/>
    </row>
    <row r="168" spans="1:9" ht="15.75">
      <c r="A168" s="15"/>
      <c r="B168" s="16"/>
      <c r="C168" s="38" t="s">
        <v>212</v>
      </c>
      <c r="D168" s="27">
        <v>86405</v>
      </c>
      <c r="E168" s="37"/>
      <c r="F168" s="27">
        <v>86405</v>
      </c>
      <c r="G168" s="56">
        <v>86405</v>
      </c>
      <c r="I168" s="13"/>
    </row>
    <row r="169" spans="1:9" ht="15.75">
      <c r="A169" s="15"/>
      <c r="B169" s="16"/>
      <c r="C169" s="38" t="s">
        <v>332</v>
      </c>
      <c r="D169" s="27">
        <v>86405</v>
      </c>
      <c r="E169" s="37"/>
      <c r="F169" s="27">
        <v>86405</v>
      </c>
      <c r="G169" s="56">
        <v>86405</v>
      </c>
      <c r="I169" s="13"/>
    </row>
    <row r="170" spans="1:9" ht="15.75">
      <c r="A170" s="15"/>
      <c r="B170" s="16"/>
      <c r="C170" s="38" t="s">
        <v>333</v>
      </c>
      <c r="D170" s="27">
        <v>86405</v>
      </c>
      <c r="E170" s="37"/>
      <c r="F170" s="27">
        <v>86405</v>
      </c>
      <c r="G170" s="56">
        <v>86405</v>
      </c>
      <c r="I170" s="13"/>
    </row>
    <row r="171" spans="1:9" ht="15.75">
      <c r="A171" s="15"/>
      <c r="B171" s="16"/>
      <c r="C171" s="38" t="s">
        <v>334</v>
      </c>
      <c r="D171" s="27">
        <v>86405</v>
      </c>
      <c r="E171" s="37"/>
      <c r="F171" s="27">
        <v>86405</v>
      </c>
      <c r="G171" s="56">
        <v>86405</v>
      </c>
      <c r="I171" s="13"/>
    </row>
    <row r="172" spans="1:9" ht="15.75">
      <c r="A172" s="15"/>
      <c r="B172" s="16"/>
      <c r="C172" s="38" t="s">
        <v>335</v>
      </c>
      <c r="D172" s="27">
        <v>86405</v>
      </c>
      <c r="E172" s="37"/>
      <c r="F172" s="27">
        <v>86405</v>
      </c>
      <c r="G172" s="56">
        <v>86405</v>
      </c>
      <c r="I172" s="13"/>
    </row>
    <row r="173" spans="1:9" ht="15.75">
      <c r="A173" s="15"/>
      <c r="B173" s="16"/>
      <c r="C173" s="38" t="s">
        <v>336</v>
      </c>
      <c r="D173" s="27">
        <v>86405</v>
      </c>
      <c r="E173" s="37"/>
      <c r="F173" s="27">
        <v>86405</v>
      </c>
      <c r="G173" s="56">
        <v>86405</v>
      </c>
      <c r="I173" s="13"/>
    </row>
    <row r="174" spans="1:9" ht="15.75">
      <c r="A174" s="15"/>
      <c r="B174" s="16"/>
      <c r="C174" s="38" t="s">
        <v>337</v>
      </c>
      <c r="D174" s="27">
        <v>86405</v>
      </c>
      <c r="E174" s="37"/>
      <c r="F174" s="27">
        <v>86405</v>
      </c>
      <c r="G174" s="56">
        <v>86405</v>
      </c>
      <c r="I174" s="13"/>
    </row>
    <row r="175" spans="1:9" ht="15.75">
      <c r="A175" s="15"/>
      <c r="B175" s="16"/>
      <c r="C175" s="38" t="s">
        <v>338</v>
      </c>
      <c r="D175" s="27">
        <v>86405</v>
      </c>
      <c r="E175" s="37"/>
      <c r="F175" s="27">
        <v>86405</v>
      </c>
      <c r="G175" s="56">
        <v>86405</v>
      </c>
      <c r="I175" s="13"/>
    </row>
    <row r="176" spans="1:9" ht="15.75">
      <c r="A176" s="15"/>
      <c r="B176" s="16"/>
      <c r="C176" s="38" t="s">
        <v>339</v>
      </c>
      <c r="D176" s="27">
        <v>86405</v>
      </c>
      <c r="E176" s="37"/>
      <c r="F176" s="27">
        <v>86405</v>
      </c>
      <c r="G176" s="56">
        <v>86405</v>
      </c>
      <c r="I176" s="13"/>
    </row>
    <row r="177" spans="1:9" ht="15.75">
      <c r="A177" s="15"/>
      <c r="B177" s="16"/>
      <c r="C177" s="38" t="s">
        <v>340</v>
      </c>
      <c r="D177" s="27">
        <v>86405</v>
      </c>
      <c r="E177" s="37"/>
      <c r="F177" s="27">
        <v>86405</v>
      </c>
      <c r="G177" s="56">
        <v>86405</v>
      </c>
      <c r="I177" s="13"/>
    </row>
    <row r="178" spans="1:9" ht="15.75">
      <c r="A178" s="15"/>
      <c r="B178" s="16"/>
      <c r="C178" s="38" t="s">
        <v>341</v>
      </c>
      <c r="D178" s="27">
        <v>86405</v>
      </c>
      <c r="E178" s="37"/>
      <c r="F178" s="27">
        <v>86405</v>
      </c>
      <c r="G178" s="56">
        <v>86405</v>
      </c>
      <c r="I178" s="13"/>
    </row>
    <row r="179" spans="1:9" ht="15.75">
      <c r="A179" s="15"/>
      <c r="B179" s="16"/>
      <c r="C179" s="38" t="s">
        <v>342</v>
      </c>
      <c r="D179" s="27">
        <v>86405</v>
      </c>
      <c r="E179" s="37"/>
      <c r="F179" s="27">
        <v>86405</v>
      </c>
      <c r="G179" s="56">
        <v>86405</v>
      </c>
      <c r="I179" s="13"/>
    </row>
    <row r="180" spans="1:9" ht="15.75">
      <c r="A180" s="15"/>
      <c r="B180" s="16"/>
      <c r="C180" s="38" t="s">
        <v>343</v>
      </c>
      <c r="D180" s="27">
        <v>86405</v>
      </c>
      <c r="E180" s="37"/>
      <c r="F180" s="27">
        <v>86405</v>
      </c>
      <c r="G180" s="56">
        <v>86405</v>
      </c>
      <c r="I180" s="13"/>
    </row>
    <row r="181" spans="1:9" ht="15.75">
      <c r="A181" s="15"/>
      <c r="B181" s="16"/>
      <c r="C181" s="38" t="s">
        <v>213</v>
      </c>
      <c r="D181" s="27">
        <v>86405</v>
      </c>
      <c r="E181" s="37"/>
      <c r="F181" s="27">
        <v>86405</v>
      </c>
      <c r="G181" s="56">
        <v>86405</v>
      </c>
      <c r="I181" s="13"/>
    </row>
    <row r="182" spans="1:9" ht="15.75">
      <c r="A182" s="15"/>
      <c r="B182" s="16"/>
      <c r="C182" s="38" t="s">
        <v>214</v>
      </c>
      <c r="D182" s="27">
        <v>86405</v>
      </c>
      <c r="E182" s="37"/>
      <c r="F182" s="27">
        <v>86405</v>
      </c>
      <c r="G182" s="56">
        <v>86405</v>
      </c>
      <c r="I182" s="13"/>
    </row>
    <row r="183" spans="1:9" ht="15.75">
      <c r="A183" s="15"/>
      <c r="B183" s="16"/>
      <c r="C183" s="38" t="s">
        <v>215</v>
      </c>
      <c r="D183" s="27">
        <v>86405</v>
      </c>
      <c r="E183" s="37"/>
      <c r="F183" s="27">
        <v>86405</v>
      </c>
      <c r="G183" s="56">
        <v>86405</v>
      </c>
      <c r="I183" s="13"/>
    </row>
    <row r="184" spans="1:9" ht="15.75">
      <c r="A184" s="15"/>
      <c r="B184" s="16"/>
      <c r="C184" s="38" t="s">
        <v>216</v>
      </c>
      <c r="D184" s="27">
        <v>86405</v>
      </c>
      <c r="E184" s="37"/>
      <c r="F184" s="27">
        <v>86405</v>
      </c>
      <c r="G184" s="56">
        <v>86405</v>
      </c>
      <c r="I184" s="13"/>
    </row>
    <row r="185" spans="1:9" ht="15.75">
      <c r="A185" s="15"/>
      <c r="B185" s="16"/>
      <c r="C185" s="38" t="s">
        <v>217</v>
      </c>
      <c r="D185" s="27">
        <v>86405</v>
      </c>
      <c r="E185" s="37"/>
      <c r="F185" s="27">
        <v>86405</v>
      </c>
      <c r="G185" s="56">
        <v>86405</v>
      </c>
      <c r="I185" s="13"/>
    </row>
    <row r="186" spans="1:9" ht="15.75">
      <c r="A186" s="15"/>
      <c r="B186" s="16"/>
      <c r="C186" s="38" t="s">
        <v>218</v>
      </c>
      <c r="D186" s="27">
        <v>86405</v>
      </c>
      <c r="E186" s="37"/>
      <c r="F186" s="27">
        <v>86405</v>
      </c>
      <c r="G186" s="56">
        <v>86405</v>
      </c>
      <c r="I186" s="13"/>
    </row>
    <row r="187" spans="1:9" ht="15.75">
      <c r="A187" s="15"/>
      <c r="B187" s="16"/>
      <c r="C187" s="38" t="s">
        <v>344</v>
      </c>
      <c r="D187" s="27">
        <v>86405</v>
      </c>
      <c r="E187" s="37"/>
      <c r="F187" s="27">
        <v>86405</v>
      </c>
      <c r="G187" s="56">
        <v>86405</v>
      </c>
      <c r="I187" s="13"/>
    </row>
    <row r="188" spans="1:9" ht="15.75">
      <c r="A188" s="15"/>
      <c r="B188" s="16"/>
      <c r="C188" s="38" t="s">
        <v>345</v>
      </c>
      <c r="D188" s="27">
        <v>86405</v>
      </c>
      <c r="E188" s="37"/>
      <c r="F188" s="27">
        <v>86405</v>
      </c>
      <c r="G188" s="56">
        <v>86405</v>
      </c>
      <c r="I188" s="13"/>
    </row>
    <row r="189" spans="1:9" ht="15.75">
      <c r="A189" s="15"/>
      <c r="B189" s="16"/>
      <c r="C189" s="38" t="s">
        <v>346</v>
      </c>
      <c r="D189" s="27">
        <v>86405</v>
      </c>
      <c r="E189" s="37"/>
      <c r="F189" s="27">
        <v>86405</v>
      </c>
      <c r="G189" s="56">
        <v>86405</v>
      </c>
      <c r="I189" s="13"/>
    </row>
    <row r="190" spans="1:9" ht="15.75">
      <c r="A190" s="15"/>
      <c r="B190" s="16"/>
      <c r="C190" s="38" t="s">
        <v>347</v>
      </c>
      <c r="D190" s="27">
        <v>86405</v>
      </c>
      <c r="E190" s="37"/>
      <c r="F190" s="27">
        <v>86405</v>
      </c>
      <c r="G190" s="56">
        <v>86405</v>
      </c>
      <c r="I190" s="13"/>
    </row>
    <row r="191" spans="1:9" ht="15.75">
      <c r="A191" s="15"/>
      <c r="B191" s="16"/>
      <c r="C191" s="38" t="s">
        <v>219</v>
      </c>
      <c r="D191" s="27">
        <v>86405</v>
      </c>
      <c r="E191" s="37"/>
      <c r="F191" s="27">
        <v>86405</v>
      </c>
      <c r="G191" s="56">
        <v>86405</v>
      </c>
      <c r="I191" s="13"/>
    </row>
    <row r="192" spans="1:9" ht="15.75">
      <c r="A192" s="15"/>
      <c r="B192" s="16"/>
      <c r="C192" s="38" t="s">
        <v>220</v>
      </c>
      <c r="D192" s="27">
        <v>86405</v>
      </c>
      <c r="E192" s="37"/>
      <c r="F192" s="27">
        <v>86405</v>
      </c>
      <c r="G192" s="56">
        <v>86405</v>
      </c>
      <c r="I192" s="13"/>
    </row>
    <row r="193" spans="1:9" ht="15.75">
      <c r="A193" s="15"/>
      <c r="B193" s="16"/>
      <c r="C193" s="38" t="s">
        <v>221</v>
      </c>
      <c r="D193" s="27">
        <v>86405</v>
      </c>
      <c r="E193" s="37"/>
      <c r="F193" s="27">
        <v>86405</v>
      </c>
      <c r="G193" s="56">
        <v>86405</v>
      </c>
      <c r="I193" s="13"/>
    </row>
    <row r="194" spans="1:9" ht="15.75">
      <c r="A194" s="15"/>
      <c r="B194" s="16"/>
      <c r="C194" s="38" t="s">
        <v>222</v>
      </c>
      <c r="D194" s="27">
        <v>86405</v>
      </c>
      <c r="E194" s="37"/>
      <c r="F194" s="27">
        <v>86405</v>
      </c>
      <c r="G194" s="56">
        <v>86405</v>
      </c>
      <c r="I194" s="13"/>
    </row>
    <row r="195" spans="1:9" ht="15.75">
      <c r="A195" s="15"/>
      <c r="B195" s="16"/>
      <c r="C195" s="38" t="s">
        <v>223</v>
      </c>
      <c r="D195" s="27">
        <v>86405</v>
      </c>
      <c r="E195" s="37"/>
      <c r="F195" s="27">
        <v>86405</v>
      </c>
      <c r="G195" s="56">
        <v>86405</v>
      </c>
      <c r="I195" s="13"/>
    </row>
    <row r="196" spans="1:9" ht="15.75">
      <c r="A196" s="15"/>
      <c r="B196" s="16"/>
      <c r="C196" s="38" t="s">
        <v>224</v>
      </c>
      <c r="D196" s="27">
        <v>86405</v>
      </c>
      <c r="E196" s="37"/>
      <c r="F196" s="27">
        <v>86405</v>
      </c>
      <c r="G196" s="56">
        <v>86405</v>
      </c>
      <c r="I196" s="13"/>
    </row>
    <row r="197" spans="1:9" ht="15.75">
      <c r="A197" s="15"/>
      <c r="B197" s="16"/>
      <c r="C197" s="38" t="s">
        <v>225</v>
      </c>
      <c r="D197" s="27">
        <v>86405</v>
      </c>
      <c r="E197" s="37"/>
      <c r="F197" s="27">
        <v>86405</v>
      </c>
      <c r="G197" s="56">
        <v>86405</v>
      </c>
      <c r="I197" s="13"/>
    </row>
    <row r="198" spans="1:9" ht="15.75">
      <c r="A198" s="15"/>
      <c r="B198" s="16"/>
      <c r="C198" s="38" t="s">
        <v>226</v>
      </c>
      <c r="D198" s="27">
        <v>86405</v>
      </c>
      <c r="E198" s="37"/>
      <c r="F198" s="27">
        <v>86405</v>
      </c>
      <c r="G198" s="56">
        <v>86405</v>
      </c>
      <c r="I198" s="13"/>
    </row>
    <row r="199" spans="1:9" ht="15.75">
      <c r="A199" s="15"/>
      <c r="B199" s="16"/>
      <c r="C199" s="38" t="s">
        <v>227</v>
      </c>
      <c r="D199" s="27">
        <v>86405</v>
      </c>
      <c r="E199" s="37"/>
      <c r="F199" s="27">
        <v>86405</v>
      </c>
      <c r="G199" s="56">
        <v>86405</v>
      </c>
      <c r="I199" s="13"/>
    </row>
    <row r="200" spans="1:9" ht="15.75">
      <c r="A200" s="15"/>
      <c r="B200" s="16"/>
      <c r="C200" s="38" t="s">
        <v>228</v>
      </c>
      <c r="D200" s="27">
        <v>86405</v>
      </c>
      <c r="E200" s="37"/>
      <c r="F200" s="27">
        <v>86405</v>
      </c>
      <c r="G200" s="56">
        <v>86405</v>
      </c>
      <c r="I200" s="13"/>
    </row>
    <row r="201" spans="1:9" ht="15.75">
      <c r="A201" s="15"/>
      <c r="B201" s="16"/>
      <c r="C201" s="38" t="s">
        <v>229</v>
      </c>
      <c r="D201" s="27">
        <v>86405</v>
      </c>
      <c r="E201" s="37"/>
      <c r="F201" s="27">
        <v>86405</v>
      </c>
      <c r="G201" s="56">
        <v>86405</v>
      </c>
      <c r="I201" s="13"/>
    </row>
    <row r="202" spans="1:9" ht="15.75">
      <c r="A202" s="15"/>
      <c r="B202" s="16"/>
      <c r="C202" s="38" t="s">
        <v>230</v>
      </c>
      <c r="D202" s="27">
        <v>86405</v>
      </c>
      <c r="E202" s="37"/>
      <c r="F202" s="27">
        <v>86405</v>
      </c>
      <c r="G202" s="56">
        <v>86405</v>
      </c>
      <c r="I202" s="13"/>
    </row>
    <row r="203" spans="1:9" ht="15.75">
      <c r="A203" s="15"/>
      <c r="B203" s="16"/>
      <c r="C203" s="38" t="s">
        <v>231</v>
      </c>
      <c r="D203" s="27">
        <v>86405</v>
      </c>
      <c r="E203" s="37"/>
      <c r="F203" s="27">
        <v>86405</v>
      </c>
      <c r="G203" s="56">
        <v>86405</v>
      </c>
      <c r="I203" s="13"/>
    </row>
    <row r="204" spans="1:9" ht="15.75">
      <c r="A204" s="15"/>
      <c r="B204" s="16"/>
      <c r="C204" s="38" t="s">
        <v>232</v>
      </c>
      <c r="D204" s="27">
        <v>86405</v>
      </c>
      <c r="E204" s="37"/>
      <c r="F204" s="27">
        <v>86405</v>
      </c>
      <c r="G204" s="56">
        <v>86405</v>
      </c>
      <c r="I204" s="13"/>
    </row>
    <row r="205" spans="1:9" ht="15.75">
      <c r="A205" s="15"/>
      <c r="B205" s="16"/>
      <c r="C205" s="38" t="s">
        <v>233</v>
      </c>
      <c r="D205" s="27">
        <v>86405</v>
      </c>
      <c r="E205" s="37"/>
      <c r="F205" s="27">
        <v>86405</v>
      </c>
      <c r="G205" s="56">
        <v>86405</v>
      </c>
      <c r="I205" s="13"/>
    </row>
    <row r="206" spans="1:9" ht="15.75">
      <c r="A206" s="15"/>
      <c r="B206" s="16"/>
      <c r="C206" s="38" t="s">
        <v>234</v>
      </c>
      <c r="D206" s="27">
        <v>86405</v>
      </c>
      <c r="E206" s="37"/>
      <c r="F206" s="27">
        <v>86405</v>
      </c>
      <c r="G206" s="56">
        <v>86405</v>
      </c>
      <c r="I206" s="13"/>
    </row>
    <row r="207" spans="1:9" ht="15.75">
      <c r="A207" s="15"/>
      <c r="B207" s="16"/>
      <c r="C207" s="38" t="s">
        <v>235</v>
      </c>
      <c r="D207" s="27">
        <v>86405</v>
      </c>
      <c r="E207" s="37"/>
      <c r="F207" s="27">
        <v>86405</v>
      </c>
      <c r="G207" s="56">
        <v>86405</v>
      </c>
      <c r="I207" s="13"/>
    </row>
    <row r="208" spans="1:9" ht="15.75">
      <c r="A208" s="15"/>
      <c r="B208" s="16"/>
      <c r="C208" s="38" t="s">
        <v>236</v>
      </c>
      <c r="D208" s="27">
        <v>86405</v>
      </c>
      <c r="E208" s="37"/>
      <c r="F208" s="27">
        <v>86405</v>
      </c>
      <c r="G208" s="56">
        <v>86405</v>
      </c>
      <c r="I208" s="13"/>
    </row>
    <row r="209" spans="1:9" ht="15.75">
      <c r="A209" s="15"/>
      <c r="B209" s="16"/>
      <c r="C209" s="38" t="s">
        <v>237</v>
      </c>
      <c r="D209" s="27">
        <v>86405</v>
      </c>
      <c r="E209" s="37"/>
      <c r="F209" s="27">
        <v>86405</v>
      </c>
      <c r="G209" s="56">
        <v>86405</v>
      </c>
      <c r="I209" s="13"/>
    </row>
    <row r="210" spans="1:9" ht="15.75">
      <c r="A210" s="15"/>
      <c r="B210" s="16"/>
      <c r="C210" s="38" t="s">
        <v>238</v>
      </c>
      <c r="D210" s="27">
        <v>86405</v>
      </c>
      <c r="E210" s="37"/>
      <c r="F210" s="27">
        <v>86405</v>
      </c>
      <c r="G210" s="56">
        <v>86405</v>
      </c>
      <c r="I210" s="13"/>
    </row>
    <row r="211" spans="1:9" ht="15.75">
      <c r="A211" s="15"/>
      <c r="B211" s="16"/>
      <c r="C211" s="38" t="s">
        <v>239</v>
      </c>
      <c r="D211" s="27">
        <v>86405</v>
      </c>
      <c r="E211" s="37"/>
      <c r="F211" s="27">
        <v>86405</v>
      </c>
      <c r="G211" s="56">
        <v>86405</v>
      </c>
      <c r="I211" s="13"/>
    </row>
    <row r="212" spans="1:9" ht="15.75">
      <c r="A212" s="15"/>
      <c r="B212" s="16"/>
      <c r="C212" s="38" t="s">
        <v>240</v>
      </c>
      <c r="D212" s="27">
        <v>86450</v>
      </c>
      <c r="E212" s="37"/>
      <c r="F212" s="27">
        <v>86450</v>
      </c>
      <c r="G212" s="56">
        <v>86450</v>
      </c>
      <c r="I212" s="13"/>
    </row>
    <row r="213" spans="1:9" ht="21" customHeight="1">
      <c r="A213" s="15">
        <v>150101</v>
      </c>
      <c r="B213" s="16" t="s">
        <v>368</v>
      </c>
      <c r="C213" s="38" t="s">
        <v>59</v>
      </c>
      <c r="D213" s="18">
        <v>1487500</v>
      </c>
      <c r="E213" s="19"/>
      <c r="F213" s="18">
        <v>1487500</v>
      </c>
      <c r="G213" s="17">
        <v>1487500</v>
      </c>
      <c r="I213" s="13"/>
    </row>
    <row r="214" spans="1:9" ht="21" customHeight="1">
      <c r="A214" s="15"/>
      <c r="B214" s="16"/>
      <c r="C214" s="38" t="s">
        <v>258</v>
      </c>
      <c r="D214" s="18"/>
      <c r="E214" s="19"/>
      <c r="F214" s="18"/>
      <c r="G214" s="17"/>
      <c r="I214" s="13"/>
    </row>
    <row r="215" spans="1:9" ht="15.75">
      <c r="A215" s="15"/>
      <c r="B215" s="16"/>
      <c r="C215" s="38" t="s">
        <v>241</v>
      </c>
      <c r="D215" s="18">
        <v>74375</v>
      </c>
      <c r="E215" s="27"/>
      <c r="F215" s="27">
        <v>74375</v>
      </c>
      <c r="G215" s="56">
        <v>74375</v>
      </c>
      <c r="I215" s="13"/>
    </row>
    <row r="216" spans="1:9" ht="15.75">
      <c r="A216" s="15"/>
      <c r="B216" s="16"/>
      <c r="C216" s="38" t="s">
        <v>242</v>
      </c>
      <c r="D216" s="18">
        <v>74375</v>
      </c>
      <c r="E216" s="27"/>
      <c r="F216" s="27">
        <v>74375</v>
      </c>
      <c r="G216" s="56">
        <v>74375</v>
      </c>
      <c r="I216" s="13"/>
    </row>
    <row r="217" spans="1:9" ht="15.75">
      <c r="A217" s="15"/>
      <c r="B217" s="16"/>
      <c r="C217" s="38" t="s">
        <v>243</v>
      </c>
      <c r="D217" s="18">
        <v>74375</v>
      </c>
      <c r="E217" s="27"/>
      <c r="F217" s="27">
        <v>74375</v>
      </c>
      <c r="G217" s="56">
        <v>74375</v>
      </c>
      <c r="I217" s="13"/>
    </row>
    <row r="218" spans="1:9" ht="15.75">
      <c r="A218" s="15"/>
      <c r="B218" s="16"/>
      <c r="C218" s="38" t="s">
        <v>244</v>
      </c>
      <c r="D218" s="18">
        <v>74375</v>
      </c>
      <c r="E218" s="27"/>
      <c r="F218" s="27">
        <v>74375</v>
      </c>
      <c r="G218" s="56">
        <v>74375</v>
      </c>
      <c r="I218" s="13"/>
    </row>
    <row r="219" spans="1:9" ht="15.75">
      <c r="A219" s="15"/>
      <c r="B219" s="16"/>
      <c r="C219" s="38" t="s">
        <v>245</v>
      </c>
      <c r="D219" s="18">
        <v>74375</v>
      </c>
      <c r="E219" s="27"/>
      <c r="F219" s="27">
        <v>74375</v>
      </c>
      <c r="G219" s="56">
        <v>74375</v>
      </c>
      <c r="I219" s="13"/>
    </row>
    <row r="220" spans="1:9" ht="15.75">
      <c r="A220" s="15"/>
      <c r="B220" s="16"/>
      <c r="C220" s="38" t="s">
        <v>246</v>
      </c>
      <c r="D220" s="18">
        <v>74375</v>
      </c>
      <c r="E220" s="27"/>
      <c r="F220" s="27">
        <v>74375</v>
      </c>
      <c r="G220" s="56">
        <v>74375</v>
      </c>
      <c r="I220" s="13"/>
    </row>
    <row r="221" spans="1:9" ht="15.75">
      <c r="A221" s="15"/>
      <c r="B221" s="16"/>
      <c r="C221" s="38" t="s">
        <v>348</v>
      </c>
      <c r="D221" s="18">
        <v>74375</v>
      </c>
      <c r="E221" s="27"/>
      <c r="F221" s="27">
        <v>74375</v>
      </c>
      <c r="G221" s="56">
        <v>74375</v>
      </c>
      <c r="I221" s="13"/>
    </row>
    <row r="222" spans="1:9" ht="15.75">
      <c r="A222" s="15"/>
      <c r="B222" s="16"/>
      <c r="C222" s="38" t="s">
        <v>349</v>
      </c>
      <c r="D222" s="18">
        <v>74375</v>
      </c>
      <c r="E222" s="27"/>
      <c r="F222" s="27">
        <v>74375</v>
      </c>
      <c r="G222" s="56">
        <v>74375</v>
      </c>
      <c r="I222" s="13"/>
    </row>
    <row r="223" spans="1:9" ht="15.75">
      <c r="A223" s="15"/>
      <c r="B223" s="16"/>
      <c r="C223" s="38" t="s">
        <v>350</v>
      </c>
      <c r="D223" s="18">
        <v>74375</v>
      </c>
      <c r="E223" s="27"/>
      <c r="F223" s="27">
        <v>74375</v>
      </c>
      <c r="G223" s="56">
        <v>74375</v>
      </c>
      <c r="I223" s="13"/>
    </row>
    <row r="224" spans="1:9" ht="15.75">
      <c r="A224" s="15"/>
      <c r="B224" s="16"/>
      <c r="C224" s="38" t="s">
        <v>247</v>
      </c>
      <c r="D224" s="18">
        <v>74375</v>
      </c>
      <c r="E224" s="27"/>
      <c r="F224" s="27">
        <v>74375</v>
      </c>
      <c r="G224" s="56">
        <v>74375</v>
      </c>
      <c r="I224" s="13"/>
    </row>
    <row r="225" spans="1:9" ht="15.75">
      <c r="A225" s="15"/>
      <c r="B225" s="16"/>
      <c r="C225" s="38" t="s">
        <v>248</v>
      </c>
      <c r="D225" s="18">
        <v>74375</v>
      </c>
      <c r="E225" s="27"/>
      <c r="F225" s="27">
        <v>74375</v>
      </c>
      <c r="G225" s="56">
        <v>74375</v>
      </c>
      <c r="I225" s="13"/>
    </row>
    <row r="226" spans="1:9" ht="15.75">
      <c r="A226" s="15"/>
      <c r="B226" s="16"/>
      <c r="C226" s="38" t="s">
        <v>249</v>
      </c>
      <c r="D226" s="18">
        <v>74375</v>
      </c>
      <c r="E226" s="27"/>
      <c r="F226" s="27">
        <v>74375</v>
      </c>
      <c r="G226" s="56">
        <v>74375</v>
      </c>
      <c r="I226" s="13"/>
    </row>
    <row r="227" spans="1:9" ht="15.75">
      <c r="A227" s="15"/>
      <c r="B227" s="16"/>
      <c r="C227" s="38" t="s">
        <v>250</v>
      </c>
      <c r="D227" s="18">
        <v>74375</v>
      </c>
      <c r="E227" s="27"/>
      <c r="F227" s="27">
        <v>74375</v>
      </c>
      <c r="G227" s="56">
        <v>74375</v>
      </c>
      <c r="I227" s="13"/>
    </row>
    <row r="228" spans="1:9" ht="15.75">
      <c r="A228" s="15"/>
      <c r="B228" s="16"/>
      <c r="C228" s="38" t="s">
        <v>251</v>
      </c>
      <c r="D228" s="18">
        <v>74375</v>
      </c>
      <c r="E228" s="27"/>
      <c r="F228" s="27">
        <v>74375</v>
      </c>
      <c r="G228" s="56">
        <v>74375</v>
      </c>
      <c r="I228" s="13"/>
    </row>
    <row r="229" spans="1:9" ht="15.75">
      <c r="A229" s="15"/>
      <c r="B229" s="16"/>
      <c r="C229" s="38" t="s">
        <v>252</v>
      </c>
      <c r="D229" s="18">
        <v>74375</v>
      </c>
      <c r="E229" s="27"/>
      <c r="F229" s="27">
        <v>74375</v>
      </c>
      <c r="G229" s="56">
        <v>74375</v>
      </c>
      <c r="I229" s="13"/>
    </row>
    <row r="230" spans="1:9" ht="15.75">
      <c r="A230" s="15"/>
      <c r="B230" s="16"/>
      <c r="C230" s="38" t="s">
        <v>253</v>
      </c>
      <c r="D230" s="18">
        <v>74375</v>
      </c>
      <c r="E230" s="27"/>
      <c r="F230" s="27">
        <v>74375</v>
      </c>
      <c r="G230" s="56">
        <v>74375</v>
      </c>
      <c r="I230" s="13"/>
    </row>
    <row r="231" spans="1:9" ht="15.75">
      <c r="A231" s="15"/>
      <c r="B231" s="16"/>
      <c r="C231" s="38" t="s">
        <v>254</v>
      </c>
      <c r="D231" s="18">
        <v>74375</v>
      </c>
      <c r="E231" s="27"/>
      <c r="F231" s="27">
        <v>74375</v>
      </c>
      <c r="G231" s="56">
        <v>74375</v>
      </c>
      <c r="I231" s="13"/>
    </row>
    <row r="232" spans="1:9" ht="15.75">
      <c r="A232" s="15"/>
      <c r="B232" s="16"/>
      <c r="C232" s="38" t="s">
        <v>255</v>
      </c>
      <c r="D232" s="18">
        <v>74375</v>
      </c>
      <c r="E232" s="27"/>
      <c r="F232" s="27">
        <v>74375</v>
      </c>
      <c r="G232" s="56">
        <v>74375</v>
      </c>
      <c r="I232" s="13"/>
    </row>
    <row r="233" spans="1:9" ht="15.75">
      <c r="A233" s="15"/>
      <c r="B233" s="16"/>
      <c r="C233" s="38" t="s">
        <v>256</v>
      </c>
      <c r="D233" s="18">
        <v>74375</v>
      </c>
      <c r="E233" s="27"/>
      <c r="F233" s="27">
        <v>74375</v>
      </c>
      <c r="G233" s="56">
        <v>74375</v>
      </c>
      <c r="I233" s="13"/>
    </row>
    <row r="234" spans="1:9" ht="15.75">
      <c r="A234" s="15"/>
      <c r="B234" s="16"/>
      <c r="C234" s="38" t="s">
        <v>257</v>
      </c>
      <c r="D234" s="27">
        <v>74375</v>
      </c>
      <c r="E234" s="27"/>
      <c r="F234" s="27">
        <v>74375</v>
      </c>
      <c r="G234" s="56">
        <v>74375</v>
      </c>
      <c r="I234" s="13"/>
    </row>
    <row r="235" spans="1:9" ht="45.75">
      <c r="A235" s="15">
        <v>150101</v>
      </c>
      <c r="B235" s="16" t="s">
        <v>368</v>
      </c>
      <c r="C235" s="16" t="s">
        <v>60</v>
      </c>
      <c r="D235" s="27">
        <v>3826168</v>
      </c>
      <c r="E235" s="19">
        <f>100-(F235/D235*100)</f>
        <v>25.93283358179778</v>
      </c>
      <c r="F235" s="18">
        <f>D235-87000-905233.78</f>
        <v>2833934.2199999997</v>
      </c>
      <c r="G235" s="17">
        <f>1607172+202866</f>
        <v>1810038</v>
      </c>
      <c r="I235" s="13"/>
    </row>
    <row r="236" spans="1:9" ht="30.75">
      <c r="A236" s="15"/>
      <c r="B236" s="16"/>
      <c r="C236" s="16" t="s">
        <v>370</v>
      </c>
      <c r="D236" s="27"/>
      <c r="E236" s="19"/>
      <c r="F236" s="18"/>
      <c r="G236" s="17">
        <v>202866</v>
      </c>
      <c r="I236" s="13"/>
    </row>
    <row r="237" spans="1:9" ht="45" customHeight="1">
      <c r="A237" s="15">
        <v>150101</v>
      </c>
      <c r="B237" s="16" t="s">
        <v>368</v>
      </c>
      <c r="C237" s="16" t="s">
        <v>61</v>
      </c>
      <c r="D237" s="18">
        <v>2321421</v>
      </c>
      <c r="E237" s="19">
        <f>100-(F237/D237*100)</f>
        <v>0.2841126189519372</v>
      </c>
      <c r="F237" s="18">
        <f>D237-6595.45</f>
        <v>2314825.55</v>
      </c>
      <c r="G237" s="17">
        <f>1510000+804826</f>
        <v>2314826</v>
      </c>
      <c r="I237" s="13"/>
    </row>
    <row r="238" spans="1:9" ht="30.75">
      <c r="A238" s="15">
        <v>150101</v>
      </c>
      <c r="B238" s="16" t="s">
        <v>368</v>
      </c>
      <c r="C238" s="16" t="s">
        <v>62</v>
      </c>
      <c r="D238" s="18">
        <v>742773</v>
      </c>
      <c r="E238" s="19"/>
      <c r="F238" s="18">
        <v>742773</v>
      </c>
      <c r="G238" s="17">
        <v>742773</v>
      </c>
      <c r="I238" s="13"/>
    </row>
    <row r="239" spans="1:9" ht="60.75">
      <c r="A239" s="15">
        <v>150101</v>
      </c>
      <c r="B239" s="16" t="s">
        <v>368</v>
      </c>
      <c r="C239" s="16" t="s">
        <v>63</v>
      </c>
      <c r="D239" s="18">
        <v>2921180</v>
      </c>
      <c r="E239" s="19"/>
      <c r="F239" s="18">
        <v>2921180</v>
      </c>
      <c r="G239" s="17">
        <v>2921180</v>
      </c>
      <c r="I239" s="13"/>
    </row>
    <row r="240" spans="1:9" ht="60.75">
      <c r="A240" s="15">
        <v>150101</v>
      </c>
      <c r="B240" s="16" t="s">
        <v>368</v>
      </c>
      <c r="C240" s="16" t="s">
        <v>64</v>
      </c>
      <c r="D240" s="18">
        <v>3867610</v>
      </c>
      <c r="E240" s="19"/>
      <c r="F240" s="18">
        <v>3867610</v>
      </c>
      <c r="G240" s="17">
        <v>3867610</v>
      </c>
      <c r="I240" s="13"/>
    </row>
    <row r="241" spans="1:9" ht="46.5" customHeight="1" hidden="1">
      <c r="A241" s="15">
        <v>150101</v>
      </c>
      <c r="B241" s="16" t="s">
        <v>368</v>
      </c>
      <c r="C241" s="32" t="s">
        <v>65</v>
      </c>
      <c r="D241" s="18"/>
      <c r="E241" s="19"/>
      <c r="F241" s="18"/>
      <c r="G241" s="17"/>
      <c r="I241" s="13"/>
    </row>
    <row r="242" spans="1:9" ht="60.75">
      <c r="A242" s="15">
        <v>150101</v>
      </c>
      <c r="B242" s="16" t="s">
        <v>368</v>
      </c>
      <c r="C242" s="32" t="s">
        <v>66</v>
      </c>
      <c r="D242" s="18">
        <v>560000</v>
      </c>
      <c r="E242" s="19"/>
      <c r="F242" s="18">
        <v>560000</v>
      </c>
      <c r="G242" s="17">
        <v>560000</v>
      </c>
      <c r="I242" s="13"/>
    </row>
    <row r="243" spans="1:9" ht="45.75">
      <c r="A243" s="15">
        <v>150101</v>
      </c>
      <c r="B243" s="16" t="s">
        <v>368</v>
      </c>
      <c r="C243" s="38" t="s">
        <v>273</v>
      </c>
      <c r="D243" s="27">
        <v>36875</v>
      </c>
      <c r="E243" s="37"/>
      <c r="F243" s="27">
        <v>36875</v>
      </c>
      <c r="G243" s="56">
        <v>36875</v>
      </c>
      <c r="I243" s="13"/>
    </row>
    <row r="244" spans="1:9" ht="45.75">
      <c r="A244" s="15">
        <v>150101</v>
      </c>
      <c r="B244" s="16" t="s">
        <v>368</v>
      </c>
      <c r="C244" s="38" t="s">
        <v>274</v>
      </c>
      <c r="D244" s="27">
        <v>27940</v>
      </c>
      <c r="E244" s="37"/>
      <c r="F244" s="27">
        <v>27940</v>
      </c>
      <c r="G244" s="56">
        <v>27940</v>
      </c>
      <c r="I244" s="13"/>
    </row>
    <row r="245" spans="1:9" ht="45.75">
      <c r="A245" s="15">
        <v>150101</v>
      </c>
      <c r="B245" s="16" t="s">
        <v>368</v>
      </c>
      <c r="C245" s="38" t="s">
        <v>275</v>
      </c>
      <c r="D245" s="27">
        <v>42211</v>
      </c>
      <c r="E245" s="37"/>
      <c r="F245" s="27">
        <v>42211</v>
      </c>
      <c r="G245" s="56">
        <v>42211</v>
      </c>
      <c r="I245" s="13"/>
    </row>
    <row r="246" spans="1:9" ht="30.75">
      <c r="A246" s="15">
        <v>150101</v>
      </c>
      <c r="B246" s="16" t="s">
        <v>368</v>
      </c>
      <c r="C246" s="38" t="s">
        <v>276</v>
      </c>
      <c r="D246" s="27">
        <v>158857</v>
      </c>
      <c r="E246" s="37"/>
      <c r="F246" s="27">
        <v>158857</v>
      </c>
      <c r="G246" s="56">
        <v>158857</v>
      </c>
      <c r="I246" s="13"/>
    </row>
    <row r="247" spans="1:9" ht="45.75">
      <c r="A247" s="15">
        <v>150101</v>
      </c>
      <c r="B247" s="16" t="s">
        <v>368</v>
      </c>
      <c r="C247" s="38" t="s">
        <v>277</v>
      </c>
      <c r="D247" s="27">
        <v>76421</v>
      </c>
      <c r="E247" s="37"/>
      <c r="F247" s="27">
        <v>76421</v>
      </c>
      <c r="G247" s="56">
        <v>76421</v>
      </c>
      <c r="I247" s="13"/>
    </row>
    <row r="248" spans="1:9" ht="30.75">
      <c r="A248" s="15">
        <v>150101</v>
      </c>
      <c r="B248" s="16" t="s">
        <v>368</v>
      </c>
      <c r="C248" s="38" t="s">
        <v>278</v>
      </c>
      <c r="D248" s="27">
        <v>65551</v>
      </c>
      <c r="E248" s="37"/>
      <c r="F248" s="27">
        <v>65551</v>
      </c>
      <c r="G248" s="56">
        <v>65551</v>
      </c>
      <c r="I248" s="13"/>
    </row>
    <row r="249" spans="1:9" ht="30.75">
      <c r="A249" s="15">
        <v>150101</v>
      </c>
      <c r="B249" s="16" t="s">
        <v>368</v>
      </c>
      <c r="C249" s="38" t="s">
        <v>279</v>
      </c>
      <c r="D249" s="27">
        <v>45188</v>
      </c>
      <c r="E249" s="37"/>
      <c r="F249" s="27">
        <v>45188</v>
      </c>
      <c r="G249" s="56">
        <v>45188</v>
      </c>
      <c r="I249" s="13"/>
    </row>
    <row r="250" spans="1:9" ht="30.75">
      <c r="A250" s="15">
        <v>150101</v>
      </c>
      <c r="B250" s="16" t="s">
        <v>368</v>
      </c>
      <c r="C250" s="38" t="s">
        <v>280</v>
      </c>
      <c r="D250" s="27">
        <v>130106</v>
      </c>
      <c r="E250" s="37"/>
      <c r="F250" s="27">
        <v>130106</v>
      </c>
      <c r="G250" s="56">
        <v>130106</v>
      </c>
      <c r="I250" s="13"/>
    </row>
    <row r="251" spans="1:9" ht="30.75">
      <c r="A251" s="15"/>
      <c r="B251" s="16"/>
      <c r="C251" s="16" t="s">
        <v>370</v>
      </c>
      <c r="D251" s="27"/>
      <c r="E251" s="37"/>
      <c r="F251" s="27"/>
      <c r="G251" s="56">
        <v>8534</v>
      </c>
      <c r="I251" s="13"/>
    </row>
    <row r="252" spans="1:9" ht="60.75">
      <c r="A252" s="15">
        <v>150101</v>
      </c>
      <c r="B252" s="16" t="s">
        <v>368</v>
      </c>
      <c r="C252" s="38" t="s">
        <v>281</v>
      </c>
      <c r="D252" s="27">
        <v>15380</v>
      </c>
      <c r="E252" s="37"/>
      <c r="F252" s="27">
        <v>15380</v>
      </c>
      <c r="G252" s="56">
        <v>15380</v>
      </c>
      <c r="I252" s="13"/>
    </row>
    <row r="253" spans="1:9" ht="45.75">
      <c r="A253" s="15">
        <v>150101</v>
      </c>
      <c r="B253" s="16" t="s">
        <v>368</v>
      </c>
      <c r="C253" s="38" t="s">
        <v>282</v>
      </c>
      <c r="D253" s="27">
        <v>11728</v>
      </c>
      <c r="E253" s="37"/>
      <c r="F253" s="27">
        <v>11728</v>
      </c>
      <c r="G253" s="56">
        <v>11728</v>
      </c>
      <c r="I253" s="13"/>
    </row>
    <row r="254" spans="1:9" ht="45.75">
      <c r="A254" s="15">
        <v>150101</v>
      </c>
      <c r="B254" s="16" t="s">
        <v>368</v>
      </c>
      <c r="C254" s="38" t="s">
        <v>283</v>
      </c>
      <c r="D254" s="27">
        <v>20540</v>
      </c>
      <c r="E254" s="37"/>
      <c r="F254" s="27">
        <v>20540</v>
      </c>
      <c r="G254" s="56">
        <v>20540</v>
      </c>
      <c r="I254" s="13"/>
    </row>
    <row r="255" spans="1:9" ht="60.75">
      <c r="A255" s="15">
        <v>150101</v>
      </c>
      <c r="B255" s="16" t="s">
        <v>368</v>
      </c>
      <c r="C255" s="38" t="s">
        <v>284</v>
      </c>
      <c r="D255" s="27">
        <v>126230</v>
      </c>
      <c r="E255" s="37"/>
      <c r="F255" s="27">
        <v>126230</v>
      </c>
      <c r="G255" s="56">
        <v>126230</v>
      </c>
      <c r="I255" s="13"/>
    </row>
    <row r="256" spans="1:9" ht="45.75">
      <c r="A256" s="15">
        <v>150101</v>
      </c>
      <c r="B256" s="16" t="s">
        <v>368</v>
      </c>
      <c r="C256" s="38" t="s">
        <v>285</v>
      </c>
      <c r="D256" s="27">
        <v>93806</v>
      </c>
      <c r="E256" s="37"/>
      <c r="F256" s="27">
        <v>93806</v>
      </c>
      <c r="G256" s="56">
        <v>93806</v>
      </c>
      <c r="I256" s="13"/>
    </row>
    <row r="257" spans="1:9" ht="30.75">
      <c r="A257" s="15">
        <v>150101</v>
      </c>
      <c r="B257" s="16" t="s">
        <v>368</v>
      </c>
      <c r="C257" s="38" t="s">
        <v>286</v>
      </c>
      <c r="D257" s="27">
        <v>50819</v>
      </c>
      <c r="E257" s="37"/>
      <c r="F257" s="27">
        <v>50819</v>
      </c>
      <c r="G257" s="56">
        <v>50819</v>
      </c>
      <c r="I257" s="13"/>
    </row>
    <row r="258" spans="1:9" ht="45.75">
      <c r="A258" s="15">
        <v>150101</v>
      </c>
      <c r="B258" s="16" t="s">
        <v>368</v>
      </c>
      <c r="C258" s="38" t="s">
        <v>287</v>
      </c>
      <c r="D258" s="27">
        <v>183811</v>
      </c>
      <c r="E258" s="37"/>
      <c r="F258" s="27">
        <v>183811</v>
      </c>
      <c r="G258" s="56">
        <v>183811</v>
      </c>
      <c r="I258" s="13"/>
    </row>
    <row r="259" spans="1:9" ht="60.75">
      <c r="A259" s="15">
        <v>150101</v>
      </c>
      <c r="B259" s="16" t="s">
        <v>368</v>
      </c>
      <c r="C259" s="38" t="s">
        <v>288</v>
      </c>
      <c r="D259" s="27">
        <v>162545</v>
      </c>
      <c r="E259" s="37"/>
      <c r="F259" s="27">
        <v>162545</v>
      </c>
      <c r="G259" s="56">
        <v>162545</v>
      </c>
      <c r="I259" s="13"/>
    </row>
    <row r="260" spans="1:9" ht="30.75">
      <c r="A260" s="15">
        <v>150101</v>
      </c>
      <c r="B260" s="16" t="s">
        <v>368</v>
      </c>
      <c r="C260" s="38" t="s">
        <v>289</v>
      </c>
      <c r="D260" s="27">
        <v>32445</v>
      </c>
      <c r="E260" s="37"/>
      <c r="F260" s="27">
        <v>32445</v>
      </c>
      <c r="G260" s="56">
        <v>32445</v>
      </c>
      <c r="I260" s="13"/>
    </row>
    <row r="261" spans="1:9" ht="60.75">
      <c r="A261" s="15">
        <v>150101</v>
      </c>
      <c r="B261" s="16" t="s">
        <v>368</v>
      </c>
      <c r="C261" s="38" t="s">
        <v>87</v>
      </c>
      <c r="D261" s="27">
        <v>97376</v>
      </c>
      <c r="E261" s="37"/>
      <c r="F261" s="27">
        <v>97376</v>
      </c>
      <c r="G261" s="56">
        <v>94339</v>
      </c>
      <c r="I261" s="13"/>
    </row>
    <row r="262" spans="1:9" ht="45.75">
      <c r="A262" s="15">
        <v>150101</v>
      </c>
      <c r="B262" s="16" t="s">
        <v>368</v>
      </c>
      <c r="C262" s="38" t="s">
        <v>56</v>
      </c>
      <c r="D262" s="27">
        <v>74605</v>
      </c>
      <c r="E262" s="37"/>
      <c r="F262" s="27">
        <v>74605</v>
      </c>
      <c r="G262" s="56">
        <v>74605</v>
      </c>
      <c r="I262" s="13"/>
    </row>
    <row r="263" spans="1:9" ht="45.75">
      <c r="A263" s="15">
        <v>150101</v>
      </c>
      <c r="B263" s="16" t="s">
        <v>368</v>
      </c>
      <c r="C263" s="38" t="s">
        <v>57</v>
      </c>
      <c r="D263" s="27">
        <v>28658</v>
      </c>
      <c r="E263" s="37"/>
      <c r="F263" s="27">
        <v>28658</v>
      </c>
      <c r="G263" s="56">
        <v>28658</v>
      </c>
      <c r="I263" s="13"/>
    </row>
    <row r="264" spans="1:9" ht="60.75">
      <c r="A264" s="15">
        <v>150101</v>
      </c>
      <c r="B264" s="16" t="s">
        <v>368</v>
      </c>
      <c r="C264" s="38" t="s">
        <v>290</v>
      </c>
      <c r="D264" s="27">
        <v>289311</v>
      </c>
      <c r="E264" s="37"/>
      <c r="F264" s="27">
        <v>289311</v>
      </c>
      <c r="G264" s="56">
        <v>289311</v>
      </c>
      <c r="I264" s="13"/>
    </row>
    <row r="265" spans="1:9" ht="30.75">
      <c r="A265" s="15"/>
      <c r="B265" s="16"/>
      <c r="C265" s="16" t="s">
        <v>370</v>
      </c>
      <c r="D265" s="27"/>
      <c r="E265" s="37"/>
      <c r="F265" s="27"/>
      <c r="G265" s="56">
        <v>18621</v>
      </c>
      <c r="I265" s="13"/>
    </row>
    <row r="266" spans="1:9" ht="60.75">
      <c r="A266" s="15">
        <v>150101</v>
      </c>
      <c r="B266" s="16" t="s">
        <v>368</v>
      </c>
      <c r="C266" s="38" t="s">
        <v>291</v>
      </c>
      <c r="D266" s="27">
        <v>214529</v>
      </c>
      <c r="E266" s="37"/>
      <c r="F266" s="27">
        <v>214529</v>
      </c>
      <c r="G266" s="56">
        <v>214529</v>
      </c>
      <c r="I266" s="13"/>
    </row>
    <row r="267" spans="1:9" ht="30.75">
      <c r="A267" s="15"/>
      <c r="B267" s="16"/>
      <c r="C267" s="16" t="s">
        <v>370</v>
      </c>
      <c r="D267" s="27"/>
      <c r="E267" s="37"/>
      <c r="F267" s="27"/>
      <c r="G267" s="56">
        <v>14616</v>
      </c>
      <c r="I267" s="13"/>
    </row>
    <row r="268" spans="1:9" ht="60.75">
      <c r="A268" s="15">
        <v>150101</v>
      </c>
      <c r="B268" s="16" t="s">
        <v>368</v>
      </c>
      <c r="C268" s="38" t="s">
        <v>292</v>
      </c>
      <c r="D268" s="27">
        <v>176096</v>
      </c>
      <c r="E268" s="37"/>
      <c r="F268" s="27">
        <v>176096</v>
      </c>
      <c r="G268" s="56">
        <v>176096</v>
      </c>
      <c r="I268" s="13"/>
    </row>
    <row r="269" spans="1:9" ht="30.75">
      <c r="A269" s="15"/>
      <c r="B269" s="16"/>
      <c r="C269" s="16" t="s">
        <v>370</v>
      </c>
      <c r="D269" s="27"/>
      <c r="E269" s="37"/>
      <c r="F269" s="27"/>
      <c r="G269" s="56">
        <v>14042</v>
      </c>
      <c r="I269" s="13"/>
    </row>
    <row r="270" spans="1:9" ht="45.75">
      <c r="A270" s="15">
        <v>150101</v>
      </c>
      <c r="B270" s="16" t="s">
        <v>368</v>
      </c>
      <c r="C270" s="38" t="s">
        <v>293</v>
      </c>
      <c r="D270" s="27">
        <v>126010</v>
      </c>
      <c r="E270" s="37"/>
      <c r="F270" s="27">
        <v>126010</v>
      </c>
      <c r="G270" s="56">
        <v>126010</v>
      </c>
      <c r="I270" s="13"/>
    </row>
    <row r="271" spans="1:9" ht="30.75">
      <c r="A271" s="15">
        <v>150101</v>
      </c>
      <c r="B271" s="16" t="s">
        <v>368</v>
      </c>
      <c r="C271" s="38" t="s">
        <v>294</v>
      </c>
      <c r="D271" s="27">
        <v>108000</v>
      </c>
      <c r="E271" s="37"/>
      <c r="F271" s="27">
        <v>108000</v>
      </c>
      <c r="G271" s="56">
        <v>108000</v>
      </c>
      <c r="I271" s="13"/>
    </row>
    <row r="272" spans="1:9" ht="60.75">
      <c r="A272" s="15">
        <v>150101</v>
      </c>
      <c r="B272" s="16" t="s">
        <v>368</v>
      </c>
      <c r="C272" s="38" t="s">
        <v>295</v>
      </c>
      <c r="D272" s="27">
        <v>87204</v>
      </c>
      <c r="E272" s="37"/>
      <c r="F272" s="27">
        <v>87204</v>
      </c>
      <c r="G272" s="56">
        <v>87204</v>
      </c>
      <c r="I272" s="13"/>
    </row>
    <row r="273" spans="1:9" ht="30.75">
      <c r="A273" s="15">
        <v>150101</v>
      </c>
      <c r="B273" s="16" t="s">
        <v>368</v>
      </c>
      <c r="C273" s="38" t="s">
        <v>296</v>
      </c>
      <c r="D273" s="27">
        <v>86681</v>
      </c>
      <c r="E273" s="37"/>
      <c r="F273" s="27">
        <v>86681</v>
      </c>
      <c r="G273" s="56">
        <v>86681</v>
      </c>
      <c r="I273" s="13"/>
    </row>
    <row r="274" spans="1:9" ht="30.75">
      <c r="A274" s="15">
        <v>150101</v>
      </c>
      <c r="B274" s="16" t="s">
        <v>368</v>
      </c>
      <c r="C274" s="38" t="s">
        <v>297</v>
      </c>
      <c r="D274" s="27">
        <v>88660</v>
      </c>
      <c r="E274" s="37"/>
      <c r="F274" s="27">
        <v>88660</v>
      </c>
      <c r="G274" s="56">
        <v>88660</v>
      </c>
      <c r="I274" s="13"/>
    </row>
    <row r="275" spans="1:9" ht="30.75">
      <c r="A275" s="15">
        <v>150101</v>
      </c>
      <c r="B275" s="16" t="s">
        <v>368</v>
      </c>
      <c r="C275" s="38" t="s">
        <v>298</v>
      </c>
      <c r="D275" s="27">
        <v>47312</v>
      </c>
      <c r="E275" s="37"/>
      <c r="F275" s="27">
        <v>47312</v>
      </c>
      <c r="G275" s="56">
        <v>47312</v>
      </c>
      <c r="I275" s="13"/>
    </row>
    <row r="276" spans="1:9" ht="30.75">
      <c r="A276" s="15"/>
      <c r="B276" s="16"/>
      <c r="C276" s="16" t="s">
        <v>370</v>
      </c>
      <c r="D276" s="27"/>
      <c r="E276" s="37"/>
      <c r="F276" s="27"/>
      <c r="G276" s="56">
        <v>5530</v>
      </c>
      <c r="I276" s="13"/>
    </row>
    <row r="277" spans="1:9" ht="30.75">
      <c r="A277" s="15">
        <v>150101</v>
      </c>
      <c r="B277" s="16" t="s">
        <v>368</v>
      </c>
      <c r="C277" s="38" t="s">
        <v>302</v>
      </c>
      <c r="D277" s="27">
        <v>25463</v>
      </c>
      <c r="E277" s="37"/>
      <c r="F277" s="27">
        <v>25463</v>
      </c>
      <c r="G277" s="56">
        <v>25463</v>
      </c>
      <c r="I277" s="13"/>
    </row>
    <row r="278" spans="1:9" ht="30.75">
      <c r="A278" s="15">
        <v>150101</v>
      </c>
      <c r="B278" s="16" t="s">
        <v>368</v>
      </c>
      <c r="C278" s="38" t="s">
        <v>303</v>
      </c>
      <c r="D278" s="27">
        <v>63614</v>
      </c>
      <c r="E278" s="37"/>
      <c r="F278" s="27">
        <v>63614</v>
      </c>
      <c r="G278" s="56">
        <v>63614</v>
      </c>
      <c r="I278" s="13"/>
    </row>
    <row r="279" spans="1:9" ht="30.75">
      <c r="A279" s="15"/>
      <c r="B279" s="16"/>
      <c r="C279" s="16" t="s">
        <v>370</v>
      </c>
      <c r="D279" s="27"/>
      <c r="E279" s="37"/>
      <c r="F279" s="27"/>
      <c r="G279" s="56">
        <v>5901</v>
      </c>
      <c r="I279" s="13"/>
    </row>
    <row r="280" spans="1:9" ht="30.75">
      <c r="A280" s="15">
        <v>150101</v>
      </c>
      <c r="B280" s="16" t="s">
        <v>368</v>
      </c>
      <c r="C280" s="38" t="s">
        <v>304</v>
      </c>
      <c r="D280" s="27">
        <v>94520</v>
      </c>
      <c r="E280" s="37"/>
      <c r="F280" s="27">
        <v>94520</v>
      </c>
      <c r="G280" s="56">
        <v>94520</v>
      </c>
      <c r="I280" s="13"/>
    </row>
    <row r="281" spans="1:9" ht="30.75">
      <c r="A281" s="15">
        <v>150101</v>
      </c>
      <c r="B281" s="16" t="s">
        <v>368</v>
      </c>
      <c r="C281" s="38" t="s">
        <v>305</v>
      </c>
      <c r="D281" s="27">
        <v>41232</v>
      </c>
      <c r="E281" s="37"/>
      <c r="F281" s="27">
        <v>41232</v>
      </c>
      <c r="G281" s="56">
        <v>41232</v>
      </c>
      <c r="I281" s="13"/>
    </row>
    <row r="282" spans="1:9" ht="30.75">
      <c r="A282" s="15">
        <v>150101</v>
      </c>
      <c r="B282" s="16" t="s">
        <v>368</v>
      </c>
      <c r="C282" s="38" t="s">
        <v>306</v>
      </c>
      <c r="D282" s="27">
        <v>42385</v>
      </c>
      <c r="E282" s="37"/>
      <c r="F282" s="27">
        <v>42385</v>
      </c>
      <c r="G282" s="56">
        <v>42385</v>
      </c>
      <c r="I282" s="13"/>
    </row>
    <row r="283" spans="1:9" ht="30.75">
      <c r="A283" s="15">
        <v>150101</v>
      </c>
      <c r="B283" s="16" t="s">
        <v>368</v>
      </c>
      <c r="C283" s="38" t="s">
        <v>307</v>
      </c>
      <c r="D283" s="27">
        <v>210149</v>
      </c>
      <c r="E283" s="37"/>
      <c r="F283" s="27">
        <v>210149</v>
      </c>
      <c r="G283" s="56">
        <v>210149</v>
      </c>
      <c r="I283" s="13"/>
    </row>
    <row r="284" spans="1:9" ht="30.75">
      <c r="A284" s="15"/>
      <c r="B284" s="16"/>
      <c r="C284" s="16" t="s">
        <v>370</v>
      </c>
      <c r="D284" s="27"/>
      <c r="E284" s="37"/>
      <c r="F284" s="27"/>
      <c r="G284" s="56">
        <v>9399</v>
      </c>
      <c r="I284" s="13"/>
    </row>
    <row r="285" spans="1:9" ht="30.75">
      <c r="A285" s="15">
        <v>150101</v>
      </c>
      <c r="B285" s="16" t="s">
        <v>368</v>
      </c>
      <c r="C285" s="38" t="s">
        <v>308</v>
      </c>
      <c r="D285" s="27">
        <v>274207</v>
      </c>
      <c r="E285" s="37"/>
      <c r="F285" s="27">
        <v>274207</v>
      </c>
      <c r="G285" s="56">
        <v>274207</v>
      </c>
      <c r="I285" s="13"/>
    </row>
    <row r="286" spans="1:9" ht="30.75">
      <c r="A286" s="15">
        <v>150101</v>
      </c>
      <c r="B286" s="16" t="s">
        <v>368</v>
      </c>
      <c r="C286" s="38" t="s">
        <v>309</v>
      </c>
      <c r="D286" s="27">
        <v>152348</v>
      </c>
      <c r="E286" s="37"/>
      <c r="F286" s="27">
        <v>152348</v>
      </c>
      <c r="G286" s="56">
        <v>152348</v>
      </c>
      <c r="I286" s="13"/>
    </row>
    <row r="287" spans="1:9" ht="30.75">
      <c r="A287" s="15">
        <v>150101</v>
      </c>
      <c r="B287" s="16" t="s">
        <v>368</v>
      </c>
      <c r="C287" s="38" t="s">
        <v>310</v>
      </c>
      <c r="D287" s="27">
        <v>279687</v>
      </c>
      <c r="E287" s="37"/>
      <c r="F287" s="27">
        <v>279687</v>
      </c>
      <c r="G287" s="56">
        <v>279687</v>
      </c>
      <c r="I287" s="13"/>
    </row>
    <row r="288" spans="1:9" ht="30.75">
      <c r="A288" s="15">
        <v>150101</v>
      </c>
      <c r="B288" s="16" t="s">
        <v>368</v>
      </c>
      <c r="C288" s="38" t="s">
        <v>311</v>
      </c>
      <c r="D288" s="27">
        <v>92615</v>
      </c>
      <c r="E288" s="37"/>
      <c r="F288" s="27">
        <v>92615</v>
      </c>
      <c r="G288" s="56">
        <v>92615</v>
      </c>
      <c r="I288" s="13"/>
    </row>
    <row r="289" spans="1:9" ht="30.75">
      <c r="A289" s="15">
        <v>150101</v>
      </c>
      <c r="B289" s="16" t="s">
        <v>368</v>
      </c>
      <c r="C289" s="38" t="s">
        <v>312</v>
      </c>
      <c r="D289" s="27">
        <v>26600</v>
      </c>
      <c r="E289" s="37"/>
      <c r="F289" s="27">
        <v>26600</v>
      </c>
      <c r="G289" s="56">
        <v>26600</v>
      </c>
      <c r="I289" s="13"/>
    </row>
    <row r="290" spans="1:9" ht="30.75">
      <c r="A290" s="15">
        <v>150101</v>
      </c>
      <c r="B290" s="16" t="s">
        <v>368</v>
      </c>
      <c r="C290" s="38" t="s">
        <v>313</v>
      </c>
      <c r="D290" s="27">
        <v>88917</v>
      </c>
      <c r="E290" s="37"/>
      <c r="F290" s="27">
        <v>88917</v>
      </c>
      <c r="G290" s="56">
        <v>88917</v>
      </c>
      <c r="I290" s="13"/>
    </row>
    <row r="291" spans="1:9" ht="30.75">
      <c r="A291" s="15"/>
      <c r="B291" s="16"/>
      <c r="C291" s="16" t="s">
        <v>370</v>
      </c>
      <c r="D291" s="27"/>
      <c r="E291" s="37"/>
      <c r="F291" s="27"/>
      <c r="G291" s="56">
        <v>7792</v>
      </c>
      <c r="I291" s="13"/>
    </row>
    <row r="292" spans="1:9" ht="30.75">
      <c r="A292" s="15">
        <v>150101</v>
      </c>
      <c r="B292" s="16" t="s">
        <v>368</v>
      </c>
      <c r="C292" s="38" t="s">
        <v>314</v>
      </c>
      <c r="D292" s="27">
        <v>126401</v>
      </c>
      <c r="E292" s="37"/>
      <c r="F292" s="27">
        <v>126401</v>
      </c>
      <c r="G292" s="56">
        <v>126401</v>
      </c>
      <c r="I292" s="13"/>
    </row>
    <row r="293" spans="1:9" ht="30.75">
      <c r="A293" s="15">
        <v>150101</v>
      </c>
      <c r="B293" s="16" t="s">
        <v>368</v>
      </c>
      <c r="C293" s="38" t="s">
        <v>315</v>
      </c>
      <c r="D293" s="27">
        <v>82424</v>
      </c>
      <c r="E293" s="37"/>
      <c r="F293" s="27">
        <v>82424</v>
      </c>
      <c r="G293" s="56">
        <v>82424</v>
      </c>
      <c r="I293" s="13"/>
    </row>
    <row r="294" spans="1:9" ht="30.75">
      <c r="A294" s="15">
        <v>150101</v>
      </c>
      <c r="B294" s="16" t="s">
        <v>368</v>
      </c>
      <c r="C294" s="38" t="s">
        <v>316</v>
      </c>
      <c r="D294" s="27">
        <v>52327</v>
      </c>
      <c r="E294" s="37"/>
      <c r="F294" s="27">
        <v>52327</v>
      </c>
      <c r="G294" s="56">
        <v>52327</v>
      </c>
      <c r="I294" s="13"/>
    </row>
    <row r="295" spans="1:9" ht="30.75">
      <c r="A295" s="15">
        <v>150101</v>
      </c>
      <c r="B295" s="16" t="s">
        <v>368</v>
      </c>
      <c r="C295" s="38" t="s">
        <v>317</v>
      </c>
      <c r="D295" s="27">
        <v>55553</v>
      </c>
      <c r="E295" s="37"/>
      <c r="F295" s="27">
        <v>55553</v>
      </c>
      <c r="G295" s="56">
        <v>55553</v>
      </c>
      <c r="I295" s="13"/>
    </row>
    <row r="296" spans="1:9" ht="30.75">
      <c r="A296" s="15">
        <v>150101</v>
      </c>
      <c r="B296" s="16" t="s">
        <v>368</v>
      </c>
      <c r="C296" s="38" t="s">
        <v>318</v>
      </c>
      <c r="D296" s="27">
        <v>186751</v>
      </c>
      <c r="E296" s="37"/>
      <c r="F296" s="27">
        <v>186751</v>
      </c>
      <c r="G296" s="56">
        <v>186751</v>
      </c>
      <c r="I296" s="13"/>
    </row>
    <row r="297" spans="1:9" ht="30.75">
      <c r="A297" s="15">
        <v>150101</v>
      </c>
      <c r="B297" s="16" t="s">
        <v>368</v>
      </c>
      <c r="C297" s="38" t="s">
        <v>319</v>
      </c>
      <c r="D297" s="27">
        <v>42986</v>
      </c>
      <c r="E297" s="37"/>
      <c r="F297" s="27">
        <v>42986</v>
      </c>
      <c r="G297" s="56">
        <v>42986</v>
      </c>
      <c r="I297" s="13"/>
    </row>
    <row r="298" spans="1:9" ht="30.75">
      <c r="A298" s="15">
        <v>150101</v>
      </c>
      <c r="B298" s="16" t="s">
        <v>368</v>
      </c>
      <c r="C298" s="38" t="s">
        <v>320</v>
      </c>
      <c r="D298" s="27">
        <v>50453</v>
      </c>
      <c r="E298" s="37"/>
      <c r="F298" s="27">
        <v>50453</v>
      </c>
      <c r="G298" s="56">
        <v>50453</v>
      </c>
      <c r="I298" s="13"/>
    </row>
    <row r="299" spans="1:9" ht="30.75">
      <c r="A299" s="15"/>
      <c r="B299" s="16"/>
      <c r="C299" s="16" t="s">
        <v>370</v>
      </c>
      <c r="D299" s="27"/>
      <c r="E299" s="37"/>
      <c r="F299" s="27"/>
      <c r="G299" s="56">
        <v>4559</v>
      </c>
      <c r="I299" s="13"/>
    </row>
    <row r="300" spans="1:9" ht="30.75">
      <c r="A300" s="15">
        <v>150101</v>
      </c>
      <c r="B300" s="16" t="s">
        <v>368</v>
      </c>
      <c r="C300" s="38" t="s">
        <v>321</v>
      </c>
      <c r="D300" s="27">
        <v>56196</v>
      </c>
      <c r="E300" s="37"/>
      <c r="F300" s="27">
        <v>56196</v>
      </c>
      <c r="G300" s="56">
        <v>56196</v>
      </c>
      <c r="I300" s="13"/>
    </row>
    <row r="301" spans="1:9" ht="30.75">
      <c r="A301" s="15">
        <v>150101</v>
      </c>
      <c r="B301" s="16" t="s">
        <v>368</v>
      </c>
      <c r="C301" s="38" t="s">
        <v>322</v>
      </c>
      <c r="D301" s="27">
        <v>32099</v>
      </c>
      <c r="E301" s="37"/>
      <c r="F301" s="27">
        <v>32099</v>
      </c>
      <c r="G301" s="56">
        <v>32099</v>
      </c>
      <c r="I301" s="13"/>
    </row>
    <row r="302" spans="1:9" ht="30.75">
      <c r="A302" s="15">
        <v>150101</v>
      </c>
      <c r="B302" s="16" t="s">
        <v>368</v>
      </c>
      <c r="C302" s="38" t="s">
        <v>323</v>
      </c>
      <c r="D302" s="27">
        <v>54134</v>
      </c>
      <c r="E302" s="37"/>
      <c r="F302" s="27">
        <v>54134</v>
      </c>
      <c r="G302" s="56">
        <v>54134</v>
      </c>
      <c r="I302" s="13"/>
    </row>
    <row r="303" spans="1:9" ht="30.75">
      <c r="A303" s="15">
        <v>150101</v>
      </c>
      <c r="B303" s="16" t="s">
        <v>368</v>
      </c>
      <c r="C303" s="38" t="s">
        <v>324</v>
      </c>
      <c r="D303" s="27">
        <v>102000</v>
      </c>
      <c r="E303" s="37"/>
      <c r="F303" s="27">
        <v>102000</v>
      </c>
      <c r="G303" s="56">
        <v>102000</v>
      </c>
      <c r="I303" s="13"/>
    </row>
    <row r="304" spans="1:9" ht="30.75">
      <c r="A304" s="15">
        <v>150101</v>
      </c>
      <c r="B304" s="16" t="s">
        <v>368</v>
      </c>
      <c r="C304" s="38" t="s">
        <v>325</v>
      </c>
      <c r="D304" s="27">
        <v>92048</v>
      </c>
      <c r="E304" s="37"/>
      <c r="F304" s="27">
        <v>92048</v>
      </c>
      <c r="G304" s="56">
        <v>92048</v>
      </c>
      <c r="I304" s="13"/>
    </row>
    <row r="305" spans="1:9" ht="30.75">
      <c r="A305" s="15">
        <v>150101</v>
      </c>
      <c r="B305" s="16" t="s">
        <v>368</v>
      </c>
      <c r="C305" s="38" t="s">
        <v>326</v>
      </c>
      <c r="D305" s="27">
        <v>54000</v>
      </c>
      <c r="E305" s="37"/>
      <c r="F305" s="27">
        <v>54000</v>
      </c>
      <c r="G305" s="56">
        <v>54000</v>
      </c>
      <c r="I305" s="13"/>
    </row>
    <row r="306" spans="1:9" ht="30.75">
      <c r="A306" s="15">
        <v>150101</v>
      </c>
      <c r="B306" s="16" t="s">
        <v>368</v>
      </c>
      <c r="C306" s="38" t="s">
        <v>327</v>
      </c>
      <c r="D306" s="27">
        <v>48538</v>
      </c>
      <c r="E306" s="37"/>
      <c r="F306" s="27">
        <v>48538</v>
      </c>
      <c r="G306" s="56">
        <v>48538</v>
      </c>
      <c r="I306" s="13"/>
    </row>
    <row r="307" spans="1:9" ht="30.75">
      <c r="A307" s="15">
        <v>150101</v>
      </c>
      <c r="B307" s="16" t="s">
        <v>368</v>
      </c>
      <c r="C307" s="38" t="s">
        <v>328</v>
      </c>
      <c r="D307" s="27">
        <v>156591</v>
      </c>
      <c r="E307" s="37"/>
      <c r="F307" s="27">
        <v>156591</v>
      </c>
      <c r="G307" s="56">
        <v>156591</v>
      </c>
      <c r="I307" s="13"/>
    </row>
    <row r="308" spans="1:9" ht="30.75">
      <c r="A308" s="15">
        <v>150101</v>
      </c>
      <c r="B308" s="16" t="s">
        <v>368</v>
      </c>
      <c r="C308" s="38" t="s">
        <v>329</v>
      </c>
      <c r="D308" s="27">
        <v>59307</v>
      </c>
      <c r="E308" s="37"/>
      <c r="F308" s="27">
        <v>59307</v>
      </c>
      <c r="G308" s="56">
        <v>59307</v>
      </c>
      <c r="I308" s="13"/>
    </row>
    <row r="309" spans="1:9" ht="30.75">
      <c r="A309" s="15">
        <v>150101</v>
      </c>
      <c r="B309" s="16" t="s">
        <v>368</v>
      </c>
      <c r="C309" s="38" t="s">
        <v>330</v>
      </c>
      <c r="D309" s="27">
        <v>71719</v>
      </c>
      <c r="E309" s="37"/>
      <c r="F309" s="27">
        <v>71719</v>
      </c>
      <c r="G309" s="56">
        <v>71719</v>
      </c>
      <c r="I309" s="13"/>
    </row>
    <row r="310" spans="1:9" ht="30.75">
      <c r="A310" s="15"/>
      <c r="B310" s="16"/>
      <c r="C310" s="16" t="s">
        <v>370</v>
      </c>
      <c r="D310" s="27"/>
      <c r="E310" s="37"/>
      <c r="F310" s="27"/>
      <c r="G310" s="56">
        <v>5345</v>
      </c>
      <c r="I310" s="13"/>
    </row>
    <row r="311" spans="1:9" ht="30.75">
      <c r="A311" s="15">
        <v>150101</v>
      </c>
      <c r="B311" s="16" t="s">
        <v>368</v>
      </c>
      <c r="C311" s="38" t="s">
        <v>331</v>
      </c>
      <c r="D311" s="27">
        <v>26964</v>
      </c>
      <c r="E311" s="37"/>
      <c r="F311" s="27">
        <v>26964</v>
      </c>
      <c r="G311" s="56">
        <v>26964</v>
      </c>
      <c r="I311" s="13"/>
    </row>
    <row r="312" spans="1:9" ht="45.75">
      <c r="A312" s="15">
        <v>150101</v>
      </c>
      <c r="B312" s="16" t="s">
        <v>368</v>
      </c>
      <c r="C312" s="38" t="s">
        <v>88</v>
      </c>
      <c r="D312" s="27"/>
      <c r="E312" s="37"/>
      <c r="F312" s="27"/>
      <c r="G312" s="56">
        <v>397</v>
      </c>
      <c r="I312" s="13"/>
    </row>
    <row r="313" spans="1:9" ht="60.75">
      <c r="A313" s="15">
        <v>150101</v>
      </c>
      <c r="B313" s="16" t="s">
        <v>368</v>
      </c>
      <c r="C313" s="38" t="s">
        <v>89</v>
      </c>
      <c r="D313" s="27"/>
      <c r="E313" s="37"/>
      <c r="F313" s="27"/>
      <c r="G313" s="56">
        <v>1043</v>
      </c>
      <c r="I313" s="13"/>
    </row>
    <row r="314" spans="1:9" ht="45.75">
      <c r="A314" s="15">
        <v>150101</v>
      </c>
      <c r="B314" s="16" t="s">
        <v>368</v>
      </c>
      <c r="C314" s="38" t="s">
        <v>90</v>
      </c>
      <c r="D314" s="27">
        <v>5000</v>
      </c>
      <c r="E314" s="37"/>
      <c r="F314" s="27">
        <v>5000</v>
      </c>
      <c r="G314" s="56">
        <v>5000</v>
      </c>
      <c r="I314" s="13"/>
    </row>
    <row r="315" spans="1:9" ht="45.75">
      <c r="A315" s="15">
        <v>150101</v>
      </c>
      <c r="B315" s="16" t="s">
        <v>368</v>
      </c>
      <c r="C315" s="38" t="s">
        <v>91</v>
      </c>
      <c r="D315" s="27">
        <v>5000</v>
      </c>
      <c r="E315" s="37"/>
      <c r="F315" s="27">
        <v>5000</v>
      </c>
      <c r="G315" s="56">
        <v>5000</v>
      </c>
      <c r="I315" s="13"/>
    </row>
    <row r="316" spans="1:9" ht="45.75">
      <c r="A316" s="15">
        <v>150101</v>
      </c>
      <c r="B316" s="16" t="s">
        <v>368</v>
      </c>
      <c r="C316" s="16" t="s">
        <v>67</v>
      </c>
      <c r="D316" s="18">
        <v>4621540</v>
      </c>
      <c r="E316" s="19">
        <f>100-(F316/D316*100)</f>
        <v>1.9353488231195684</v>
      </c>
      <c r="F316" s="18">
        <f>D316-89442.92</f>
        <v>4532097.08</v>
      </c>
      <c r="G316" s="17">
        <f>4521540+123</f>
        <v>4521663</v>
      </c>
      <c r="I316" s="13"/>
    </row>
    <row r="317" spans="1:9" ht="30.75">
      <c r="A317" s="15"/>
      <c r="B317" s="16"/>
      <c r="C317" s="16" t="s">
        <v>370</v>
      </c>
      <c r="D317" s="18"/>
      <c r="E317" s="19"/>
      <c r="F317" s="18"/>
      <c r="G317" s="17">
        <v>123</v>
      </c>
      <c r="I317" s="13"/>
    </row>
    <row r="318" spans="1:9" ht="60.75">
      <c r="A318" s="15">
        <v>150101</v>
      </c>
      <c r="B318" s="16" t="s">
        <v>368</v>
      </c>
      <c r="C318" s="16" t="s">
        <v>68</v>
      </c>
      <c r="D318" s="18">
        <v>560000</v>
      </c>
      <c r="E318" s="19"/>
      <c r="F318" s="18">
        <v>560000</v>
      </c>
      <c r="G318" s="17">
        <v>560000</v>
      </c>
      <c r="I318" s="13"/>
    </row>
    <row r="319" spans="1:9" ht="30.75">
      <c r="A319" s="15"/>
      <c r="B319" s="16"/>
      <c r="C319" s="16" t="s">
        <v>370</v>
      </c>
      <c r="D319" s="18"/>
      <c r="E319" s="19"/>
      <c r="F319" s="18"/>
      <c r="G319" s="17">
        <v>50000</v>
      </c>
      <c r="I319" s="13"/>
    </row>
    <row r="320" spans="1:9" ht="45.75">
      <c r="A320" s="15">
        <v>150101</v>
      </c>
      <c r="B320" s="16" t="s">
        <v>368</v>
      </c>
      <c r="C320" s="16" t="s">
        <v>69</v>
      </c>
      <c r="D320" s="27">
        <v>1802026</v>
      </c>
      <c r="E320" s="37">
        <f>100-(F320/D320*100)</f>
        <v>2.6622035420132732</v>
      </c>
      <c r="F320" s="18">
        <f>SUM(D320-47973.6)</f>
        <v>1754052.4</v>
      </c>
      <c r="G320" s="56">
        <f>1736106+17946</f>
        <v>1754052</v>
      </c>
      <c r="I320" s="13"/>
    </row>
    <row r="321" spans="1:9" ht="30.75">
      <c r="A321" s="15"/>
      <c r="B321" s="16"/>
      <c r="C321" s="16" t="s">
        <v>370</v>
      </c>
      <c r="D321" s="27"/>
      <c r="E321" s="37"/>
      <c r="F321" s="18"/>
      <c r="G321" s="56">
        <v>28998</v>
      </c>
      <c r="I321" s="13"/>
    </row>
    <row r="322" spans="1:9" ht="75.75">
      <c r="A322" s="15">
        <v>150101</v>
      </c>
      <c r="B322" s="16" t="s">
        <v>368</v>
      </c>
      <c r="C322" s="16" t="s">
        <v>70</v>
      </c>
      <c r="D322" s="18">
        <v>509000</v>
      </c>
      <c r="E322" s="19">
        <f>100-(F322/D322*100)</f>
        <v>64.63654223968567</v>
      </c>
      <c r="F322" s="18">
        <v>180000</v>
      </c>
      <c r="G322" s="17">
        <v>180000</v>
      </c>
      <c r="I322" s="13"/>
    </row>
    <row r="323" spans="1:9" ht="30.75" hidden="1">
      <c r="A323" s="15">
        <v>150101</v>
      </c>
      <c r="B323" s="16" t="s">
        <v>368</v>
      </c>
      <c r="C323" s="16" t="s">
        <v>71</v>
      </c>
      <c r="D323" s="18"/>
      <c r="E323" s="19"/>
      <c r="F323" s="18"/>
      <c r="G323" s="17"/>
      <c r="I323" s="13"/>
    </row>
    <row r="324" spans="1:9" ht="30.75">
      <c r="A324" s="15">
        <v>150101</v>
      </c>
      <c r="B324" s="16" t="s">
        <v>368</v>
      </c>
      <c r="C324" s="16" t="s">
        <v>72</v>
      </c>
      <c r="D324" s="18">
        <v>1200000</v>
      </c>
      <c r="E324" s="19"/>
      <c r="F324" s="18">
        <v>1200000</v>
      </c>
      <c r="G324" s="17">
        <v>1200000</v>
      </c>
      <c r="I324" s="13"/>
    </row>
    <row r="325" spans="1:9" ht="60.75">
      <c r="A325" s="15">
        <v>150101</v>
      </c>
      <c r="B325" s="16" t="s">
        <v>368</v>
      </c>
      <c r="C325" s="16" t="s">
        <v>73</v>
      </c>
      <c r="D325" s="18">
        <v>19003000</v>
      </c>
      <c r="E325" s="19"/>
      <c r="F325" s="18">
        <v>19003000</v>
      </c>
      <c r="G325" s="17">
        <v>400000</v>
      </c>
      <c r="I325" s="13"/>
    </row>
    <row r="326" spans="1:9" ht="45.75">
      <c r="A326" s="15">
        <v>150101</v>
      </c>
      <c r="B326" s="16" t="s">
        <v>368</v>
      </c>
      <c r="C326" s="16" t="s">
        <v>74</v>
      </c>
      <c r="D326" s="18">
        <v>224328</v>
      </c>
      <c r="E326" s="19"/>
      <c r="F326" s="18">
        <v>224328</v>
      </c>
      <c r="G326" s="17">
        <v>224328</v>
      </c>
      <c r="I326" s="13"/>
    </row>
    <row r="327" spans="1:9" ht="30.75">
      <c r="A327" s="15"/>
      <c r="B327" s="16"/>
      <c r="C327" s="16" t="s">
        <v>370</v>
      </c>
      <c r="D327" s="18"/>
      <c r="E327" s="19"/>
      <c r="F327" s="18"/>
      <c r="G327" s="17">
        <v>27421</v>
      </c>
      <c r="I327" s="13"/>
    </row>
    <row r="328" spans="1:9" ht="30.75">
      <c r="A328" s="15">
        <v>150101</v>
      </c>
      <c r="B328" s="16" t="s">
        <v>368</v>
      </c>
      <c r="C328" s="16" t="s">
        <v>75</v>
      </c>
      <c r="D328" s="18">
        <v>206191</v>
      </c>
      <c r="E328" s="19"/>
      <c r="F328" s="18">
        <v>206191</v>
      </c>
      <c r="G328" s="17">
        <v>206191</v>
      </c>
      <c r="I328" s="13"/>
    </row>
    <row r="329" spans="1:9" ht="30.75">
      <c r="A329" s="15"/>
      <c r="B329" s="16"/>
      <c r="C329" s="16" t="s">
        <v>370</v>
      </c>
      <c r="D329" s="18"/>
      <c r="E329" s="19"/>
      <c r="F329" s="18"/>
      <c r="G329" s="17">
        <v>24459</v>
      </c>
      <c r="I329" s="13"/>
    </row>
    <row r="330" spans="1:9" ht="45.75">
      <c r="A330" s="15">
        <v>150101</v>
      </c>
      <c r="B330" s="16" t="s">
        <v>368</v>
      </c>
      <c r="C330" s="16" t="s">
        <v>76</v>
      </c>
      <c r="D330" s="18">
        <v>173866</v>
      </c>
      <c r="E330" s="19"/>
      <c r="F330" s="18">
        <v>173866</v>
      </c>
      <c r="G330" s="17">
        <v>173866</v>
      </c>
      <c r="I330" s="13"/>
    </row>
    <row r="331" spans="1:9" ht="30.75">
      <c r="A331" s="15"/>
      <c r="B331" s="16"/>
      <c r="C331" s="16" t="s">
        <v>370</v>
      </c>
      <c r="D331" s="18"/>
      <c r="E331" s="19"/>
      <c r="F331" s="18"/>
      <c r="G331" s="17">
        <v>24459</v>
      </c>
      <c r="I331" s="13"/>
    </row>
    <row r="332" spans="1:9" ht="30.75">
      <c r="A332" s="15">
        <v>150101</v>
      </c>
      <c r="B332" s="16" t="s">
        <v>368</v>
      </c>
      <c r="C332" s="16" t="s">
        <v>301</v>
      </c>
      <c r="D332" s="18">
        <v>199007</v>
      </c>
      <c r="E332" s="19"/>
      <c r="F332" s="18">
        <v>199007</v>
      </c>
      <c r="G332" s="17">
        <v>199007</v>
      </c>
      <c r="I332" s="13"/>
    </row>
    <row r="333" spans="1:9" ht="75.75">
      <c r="A333" s="15">
        <v>150101</v>
      </c>
      <c r="B333" s="16" t="s">
        <v>368</v>
      </c>
      <c r="C333" s="16" t="s">
        <v>77</v>
      </c>
      <c r="D333" s="18">
        <v>1864696</v>
      </c>
      <c r="E333" s="19"/>
      <c r="F333" s="18">
        <v>1864696</v>
      </c>
      <c r="G333" s="17">
        <f>222588+1430035+181-300000+222588</f>
        <v>1575392</v>
      </c>
      <c r="I333" s="13"/>
    </row>
    <row r="334" spans="1:9" ht="30.75">
      <c r="A334" s="15"/>
      <c r="B334" s="16"/>
      <c r="C334" s="16" t="s">
        <v>370</v>
      </c>
      <c r="D334" s="18"/>
      <c r="E334" s="19"/>
      <c r="F334" s="18"/>
      <c r="G334" s="17">
        <v>222588</v>
      </c>
      <c r="I334" s="13"/>
    </row>
    <row r="335" spans="1:9" ht="60.75" hidden="1">
      <c r="A335" s="15">
        <v>150101</v>
      </c>
      <c r="B335" s="16" t="s">
        <v>368</v>
      </c>
      <c r="C335" s="16" t="s">
        <v>78</v>
      </c>
      <c r="D335" s="18"/>
      <c r="E335" s="19"/>
      <c r="F335" s="18"/>
      <c r="G335" s="17">
        <f>1000000-894262+316461-19201-402998</f>
        <v>0</v>
      </c>
      <c r="I335" s="13"/>
    </row>
    <row r="336" spans="1:9" ht="30.75">
      <c r="A336" s="15">
        <v>150101</v>
      </c>
      <c r="B336" s="16" t="s">
        <v>368</v>
      </c>
      <c r="C336" s="16" t="s">
        <v>79</v>
      </c>
      <c r="D336" s="18">
        <v>600000</v>
      </c>
      <c r="E336" s="19"/>
      <c r="F336" s="18">
        <v>600000</v>
      </c>
      <c r="G336" s="17">
        <v>600000</v>
      </c>
      <c r="I336" s="13"/>
    </row>
    <row r="337" spans="1:9" ht="45.75">
      <c r="A337" s="15">
        <v>150101</v>
      </c>
      <c r="B337" s="16" t="s">
        <v>368</v>
      </c>
      <c r="C337" s="16" t="s">
        <v>80</v>
      </c>
      <c r="D337" s="18">
        <v>160400</v>
      </c>
      <c r="E337" s="19"/>
      <c r="F337" s="18">
        <v>160400</v>
      </c>
      <c r="G337" s="17">
        <v>160400</v>
      </c>
      <c r="I337" s="13"/>
    </row>
    <row r="338" spans="1:9" ht="45.75">
      <c r="A338" s="15">
        <v>150101</v>
      </c>
      <c r="B338" s="16" t="s">
        <v>368</v>
      </c>
      <c r="C338" s="16" t="s">
        <v>81</v>
      </c>
      <c r="D338" s="18">
        <v>302611</v>
      </c>
      <c r="E338" s="19"/>
      <c r="F338" s="18">
        <v>302611</v>
      </c>
      <c r="G338" s="17">
        <v>302611</v>
      </c>
      <c r="I338" s="13"/>
    </row>
    <row r="339" spans="1:9" ht="60.75">
      <c r="A339" s="15">
        <v>150101</v>
      </c>
      <c r="B339" s="16" t="s">
        <v>368</v>
      </c>
      <c r="C339" s="16" t="s">
        <v>82</v>
      </c>
      <c r="D339" s="18">
        <v>999431</v>
      </c>
      <c r="E339" s="19"/>
      <c r="F339" s="18">
        <v>999431</v>
      </c>
      <c r="G339" s="17">
        <f>451251+500000</f>
        <v>951251</v>
      </c>
      <c r="I339" s="13"/>
    </row>
    <row r="340" spans="1:9" ht="30.75">
      <c r="A340" s="15">
        <v>150101</v>
      </c>
      <c r="B340" s="16" t="s">
        <v>368</v>
      </c>
      <c r="C340" s="16" t="s">
        <v>83</v>
      </c>
      <c r="D340" s="18">
        <v>140000</v>
      </c>
      <c r="E340" s="19"/>
      <c r="F340" s="18">
        <v>140000</v>
      </c>
      <c r="G340" s="17">
        <v>140000</v>
      </c>
      <c r="I340" s="13"/>
    </row>
    <row r="341" spans="1:9" ht="60.75">
      <c r="A341" s="36">
        <v>150101</v>
      </c>
      <c r="B341" s="32" t="s">
        <v>368</v>
      </c>
      <c r="C341" s="32" t="s">
        <v>84</v>
      </c>
      <c r="D341" s="56">
        <v>1000000</v>
      </c>
      <c r="E341" s="57"/>
      <c r="F341" s="56">
        <v>1000000</v>
      </c>
      <c r="G341" s="56">
        <f>1000000+20000-720000</f>
        <v>300000</v>
      </c>
      <c r="I341" s="13"/>
    </row>
    <row r="342" spans="1:9" ht="30.75">
      <c r="A342" s="36"/>
      <c r="B342" s="32"/>
      <c r="C342" s="32" t="s">
        <v>370</v>
      </c>
      <c r="D342" s="56"/>
      <c r="E342" s="57"/>
      <c r="F342" s="56"/>
      <c r="G342" s="56">
        <v>24000</v>
      </c>
      <c r="I342" s="13"/>
    </row>
    <row r="343" spans="1:9" ht="60.75">
      <c r="A343" s="15">
        <v>150101</v>
      </c>
      <c r="B343" s="16" t="s">
        <v>368</v>
      </c>
      <c r="C343" s="16" t="s">
        <v>85</v>
      </c>
      <c r="D343" s="18"/>
      <c r="E343" s="19"/>
      <c r="F343" s="18"/>
      <c r="G343" s="17">
        <v>31788</v>
      </c>
      <c r="I343" s="13"/>
    </row>
    <row r="344" spans="1:9" ht="75.75">
      <c r="A344" s="15">
        <v>150101</v>
      </c>
      <c r="B344" s="16" t="s">
        <v>368</v>
      </c>
      <c r="C344" s="16" t="s">
        <v>86</v>
      </c>
      <c r="D344" s="18"/>
      <c r="E344" s="19"/>
      <c r="F344" s="18"/>
      <c r="G344" s="17">
        <v>10661</v>
      </c>
      <c r="I344" s="13"/>
    </row>
    <row r="345" spans="1:9" ht="75.75">
      <c r="A345" s="15">
        <v>150101</v>
      </c>
      <c r="B345" s="16" t="s">
        <v>368</v>
      </c>
      <c r="C345" s="16" t="s">
        <v>92</v>
      </c>
      <c r="D345" s="18"/>
      <c r="E345" s="19"/>
      <c r="F345" s="18"/>
      <c r="G345" s="17">
        <v>10766</v>
      </c>
      <c r="I345" s="13"/>
    </row>
    <row r="346" spans="1:9" ht="60.75">
      <c r="A346" s="15">
        <v>150101</v>
      </c>
      <c r="B346" s="16" t="s">
        <v>368</v>
      </c>
      <c r="C346" s="16" t="s">
        <v>93</v>
      </c>
      <c r="D346" s="18"/>
      <c r="E346" s="19"/>
      <c r="F346" s="18"/>
      <c r="G346" s="17">
        <v>7492</v>
      </c>
      <c r="I346" s="13"/>
    </row>
    <row r="347" spans="1:9" ht="45.75">
      <c r="A347" s="15">
        <v>150101</v>
      </c>
      <c r="B347" s="16" t="s">
        <v>368</v>
      </c>
      <c r="C347" s="16" t="s">
        <v>94</v>
      </c>
      <c r="D347" s="18"/>
      <c r="E347" s="19"/>
      <c r="F347" s="18"/>
      <c r="G347" s="17">
        <v>7492</v>
      </c>
      <c r="I347" s="13"/>
    </row>
    <row r="348" spans="1:9" ht="45.75">
      <c r="A348" s="15">
        <v>150101</v>
      </c>
      <c r="B348" s="16" t="s">
        <v>368</v>
      </c>
      <c r="C348" s="16" t="s">
        <v>95</v>
      </c>
      <c r="D348" s="18"/>
      <c r="E348" s="19"/>
      <c r="F348" s="18"/>
      <c r="G348" s="17">
        <v>7492</v>
      </c>
      <c r="I348" s="13"/>
    </row>
    <row r="349" spans="1:9" ht="45.75">
      <c r="A349" s="15">
        <v>150101</v>
      </c>
      <c r="B349" s="16" t="s">
        <v>368</v>
      </c>
      <c r="C349" s="16" t="s">
        <v>96</v>
      </c>
      <c r="D349" s="18"/>
      <c r="E349" s="19"/>
      <c r="F349" s="18"/>
      <c r="G349" s="17">
        <v>7492</v>
      </c>
      <c r="I349" s="13"/>
    </row>
    <row r="350" spans="1:9" ht="60.75">
      <c r="A350" s="15">
        <v>150101</v>
      </c>
      <c r="B350" s="16" t="s">
        <v>368</v>
      </c>
      <c r="C350" s="16" t="s">
        <v>97</v>
      </c>
      <c r="D350" s="18"/>
      <c r="E350" s="19"/>
      <c r="F350" s="18"/>
      <c r="G350" s="17">
        <v>23974</v>
      </c>
      <c r="I350" s="13"/>
    </row>
    <row r="351" spans="1:9" ht="45.75">
      <c r="A351" s="15">
        <v>150101</v>
      </c>
      <c r="B351" s="16" t="s">
        <v>368</v>
      </c>
      <c r="C351" s="16" t="s">
        <v>191</v>
      </c>
      <c r="D351" s="18">
        <v>2583683</v>
      </c>
      <c r="E351" s="19">
        <f>100-(F351/D351*100)</f>
        <v>67.66770536478353</v>
      </c>
      <c r="F351" s="18">
        <v>835364</v>
      </c>
      <c r="G351" s="17">
        <f>877+834487</f>
        <v>835364</v>
      </c>
      <c r="I351" s="13"/>
    </row>
    <row r="352" spans="1:9" ht="30.75">
      <c r="A352" s="15"/>
      <c r="B352" s="16"/>
      <c r="C352" s="32" t="s">
        <v>370</v>
      </c>
      <c r="D352" s="18"/>
      <c r="E352" s="19"/>
      <c r="F352" s="18"/>
      <c r="G352" s="17">
        <v>877</v>
      </c>
      <c r="I352" s="13"/>
    </row>
    <row r="353" spans="1:9" ht="60.75">
      <c r="A353" s="15">
        <v>150101</v>
      </c>
      <c r="B353" s="16" t="s">
        <v>368</v>
      </c>
      <c r="C353" s="16" t="s">
        <v>98</v>
      </c>
      <c r="D353" s="18"/>
      <c r="E353" s="19"/>
      <c r="F353" s="18"/>
      <c r="G353" s="17">
        <v>25426</v>
      </c>
      <c r="I353" s="13"/>
    </row>
    <row r="354" spans="1:9" ht="90.75">
      <c r="A354" s="15">
        <v>150101</v>
      </c>
      <c r="B354" s="16" t="s">
        <v>368</v>
      </c>
      <c r="C354" s="16" t="s">
        <v>99</v>
      </c>
      <c r="D354" s="18"/>
      <c r="E354" s="19"/>
      <c r="F354" s="18"/>
      <c r="G354" s="17">
        <v>3800</v>
      </c>
      <c r="I354" s="13"/>
    </row>
    <row r="355" spans="1:9" ht="60.75">
      <c r="A355" s="15">
        <v>150101</v>
      </c>
      <c r="B355" s="16" t="s">
        <v>368</v>
      </c>
      <c r="C355" s="16" t="s">
        <v>192</v>
      </c>
      <c r="D355" s="18">
        <v>4500000</v>
      </c>
      <c r="E355" s="19">
        <f>100-(F355/D355*100)</f>
        <v>6.008688888888898</v>
      </c>
      <c r="F355" s="18">
        <v>4229609</v>
      </c>
      <c r="G355" s="17">
        <f>35675+2000000</f>
        <v>2035675</v>
      </c>
      <c r="I355" s="13"/>
    </row>
    <row r="356" spans="1:9" ht="30.75">
      <c r="A356" s="15"/>
      <c r="B356" s="16"/>
      <c r="C356" s="32" t="s">
        <v>370</v>
      </c>
      <c r="D356" s="18"/>
      <c r="E356" s="19"/>
      <c r="F356" s="18"/>
      <c r="G356" s="17">
        <v>35675</v>
      </c>
      <c r="I356" s="13"/>
    </row>
    <row r="357" spans="1:9" ht="60.75">
      <c r="A357" s="15">
        <v>150101</v>
      </c>
      <c r="B357" s="16" t="s">
        <v>368</v>
      </c>
      <c r="C357" s="16" t="s">
        <v>100</v>
      </c>
      <c r="D357" s="18"/>
      <c r="E357" s="19"/>
      <c r="F357" s="18"/>
      <c r="G357" s="17">
        <v>9117</v>
      </c>
      <c r="I357" s="13"/>
    </row>
    <row r="358" spans="1:9" ht="60.75">
      <c r="A358" s="15">
        <v>150101</v>
      </c>
      <c r="B358" s="16" t="s">
        <v>368</v>
      </c>
      <c r="C358" s="16" t="s">
        <v>101</v>
      </c>
      <c r="D358" s="18"/>
      <c r="E358" s="19"/>
      <c r="F358" s="18"/>
      <c r="G358" s="17">
        <v>539</v>
      </c>
      <c r="I358" s="13"/>
    </row>
    <row r="359" spans="1:9" ht="90.75">
      <c r="A359" s="15">
        <v>150101</v>
      </c>
      <c r="B359" s="16" t="s">
        <v>368</v>
      </c>
      <c r="C359" s="16" t="s">
        <v>102</v>
      </c>
      <c r="D359" s="18"/>
      <c r="E359" s="19"/>
      <c r="F359" s="18"/>
      <c r="G359" s="17">
        <v>32901</v>
      </c>
      <c r="I359" s="13"/>
    </row>
    <row r="360" spans="1:9" ht="84" customHeight="1">
      <c r="A360" s="15">
        <v>150101</v>
      </c>
      <c r="B360" s="16" t="s">
        <v>368</v>
      </c>
      <c r="C360" s="16" t="s">
        <v>103</v>
      </c>
      <c r="D360" s="18"/>
      <c r="E360" s="19"/>
      <c r="F360" s="18"/>
      <c r="G360" s="17">
        <v>1507</v>
      </c>
      <c r="I360" s="13"/>
    </row>
    <row r="361" spans="1:9" ht="75.75">
      <c r="A361" s="15">
        <v>150101</v>
      </c>
      <c r="B361" s="16" t="s">
        <v>368</v>
      </c>
      <c r="C361" s="16" t="s">
        <v>104</v>
      </c>
      <c r="D361" s="18"/>
      <c r="E361" s="19"/>
      <c r="F361" s="18"/>
      <c r="G361" s="17">
        <v>1506</v>
      </c>
      <c r="I361" s="13"/>
    </row>
    <row r="362" spans="1:9" ht="75.75">
      <c r="A362" s="15">
        <v>150101</v>
      </c>
      <c r="B362" s="16" t="s">
        <v>368</v>
      </c>
      <c r="C362" s="16" t="s">
        <v>105</v>
      </c>
      <c r="D362" s="18"/>
      <c r="E362" s="19"/>
      <c r="F362" s="18"/>
      <c r="G362" s="17">
        <v>1394</v>
      </c>
      <c r="I362" s="13"/>
    </row>
    <row r="363" spans="1:9" ht="60.75">
      <c r="A363" s="15">
        <v>150101</v>
      </c>
      <c r="B363" s="16" t="s">
        <v>368</v>
      </c>
      <c r="C363" s="16" t="s">
        <v>168</v>
      </c>
      <c r="D363" s="18"/>
      <c r="E363" s="19"/>
      <c r="F363" s="18"/>
      <c r="G363" s="17">
        <v>1519</v>
      </c>
      <c r="I363" s="13"/>
    </row>
    <row r="364" spans="1:9" ht="75.75">
      <c r="A364" s="15">
        <v>150101</v>
      </c>
      <c r="B364" s="16" t="s">
        <v>368</v>
      </c>
      <c r="C364" s="16" t="s">
        <v>106</v>
      </c>
      <c r="D364" s="18"/>
      <c r="E364" s="19"/>
      <c r="F364" s="18"/>
      <c r="G364" s="17">
        <v>1521</v>
      </c>
      <c r="I364" s="13"/>
    </row>
    <row r="365" spans="1:9" ht="75.75">
      <c r="A365" s="15">
        <v>150101</v>
      </c>
      <c r="B365" s="16" t="s">
        <v>368</v>
      </c>
      <c r="C365" s="16" t="s">
        <v>107</v>
      </c>
      <c r="D365" s="18"/>
      <c r="E365" s="19"/>
      <c r="F365" s="18"/>
      <c r="G365" s="17">
        <v>495</v>
      </c>
      <c r="I365" s="13"/>
    </row>
    <row r="366" spans="1:9" ht="90.75">
      <c r="A366" s="15">
        <v>150101</v>
      </c>
      <c r="B366" s="16" t="s">
        <v>368</v>
      </c>
      <c r="C366" s="16" t="s">
        <v>108</v>
      </c>
      <c r="D366" s="18"/>
      <c r="E366" s="19"/>
      <c r="F366" s="18"/>
      <c r="G366" s="17">
        <v>71323</v>
      </c>
      <c r="I366" s="13"/>
    </row>
    <row r="367" spans="1:9" ht="60.75">
      <c r="A367" s="15">
        <v>150101</v>
      </c>
      <c r="B367" s="16" t="s">
        <v>368</v>
      </c>
      <c r="C367" s="16" t="s">
        <v>109</v>
      </c>
      <c r="D367" s="18"/>
      <c r="E367" s="19"/>
      <c r="F367" s="18"/>
      <c r="G367" s="17">
        <v>322874</v>
      </c>
      <c r="I367" s="13"/>
    </row>
    <row r="368" spans="1:9" ht="30.75">
      <c r="A368" s="15">
        <v>150101</v>
      </c>
      <c r="B368" s="16" t="s">
        <v>368</v>
      </c>
      <c r="C368" s="16" t="s">
        <v>193</v>
      </c>
      <c r="D368" s="18">
        <v>3216012</v>
      </c>
      <c r="E368" s="19">
        <f>100-(F368/D368*100)</f>
        <v>64.50395707478702</v>
      </c>
      <c r="F368" s="18">
        <v>1141557</v>
      </c>
      <c r="G368" s="17">
        <f>141689+809000</f>
        <v>950689</v>
      </c>
      <c r="I368" s="13"/>
    </row>
    <row r="369" spans="1:9" ht="30.75">
      <c r="A369" s="15"/>
      <c r="B369" s="16"/>
      <c r="C369" s="16" t="s">
        <v>370</v>
      </c>
      <c r="D369" s="18"/>
      <c r="E369" s="19"/>
      <c r="F369" s="18"/>
      <c r="G369" s="17">
        <v>141689</v>
      </c>
      <c r="I369" s="13"/>
    </row>
    <row r="370" spans="1:9" ht="60.75">
      <c r="A370" s="15">
        <v>150101</v>
      </c>
      <c r="B370" s="16" t="s">
        <v>368</v>
      </c>
      <c r="C370" s="16" t="s">
        <v>110</v>
      </c>
      <c r="D370" s="18"/>
      <c r="E370" s="19"/>
      <c r="F370" s="18"/>
      <c r="G370" s="17">
        <v>482465</v>
      </c>
      <c r="I370" s="13"/>
    </row>
    <row r="371" spans="1:9" ht="45.75">
      <c r="A371" s="15">
        <v>150101</v>
      </c>
      <c r="B371" s="16" t="s">
        <v>368</v>
      </c>
      <c r="C371" s="16" t="s">
        <v>194</v>
      </c>
      <c r="D371" s="18">
        <v>811974</v>
      </c>
      <c r="E371" s="19"/>
      <c r="F371" s="18">
        <v>811974</v>
      </c>
      <c r="G371" s="17">
        <v>811974</v>
      </c>
      <c r="I371" s="13"/>
    </row>
    <row r="372" spans="1:9" ht="45.75">
      <c r="A372" s="15">
        <v>150101</v>
      </c>
      <c r="B372" s="16" t="s">
        <v>368</v>
      </c>
      <c r="C372" s="16" t="s">
        <v>195</v>
      </c>
      <c r="D372" s="18">
        <v>496412</v>
      </c>
      <c r="E372" s="19"/>
      <c r="F372" s="18">
        <v>496412</v>
      </c>
      <c r="G372" s="17">
        <v>486778</v>
      </c>
      <c r="I372" s="13"/>
    </row>
    <row r="373" spans="1:9" ht="45.75">
      <c r="A373" s="15">
        <v>150101</v>
      </c>
      <c r="B373" s="16" t="s">
        <v>368</v>
      </c>
      <c r="C373" s="16" t="s">
        <v>204</v>
      </c>
      <c r="D373" s="18">
        <v>4640840</v>
      </c>
      <c r="E373" s="19"/>
      <c r="F373" s="18">
        <v>4640840</v>
      </c>
      <c r="G373" s="17">
        <v>4640840</v>
      </c>
      <c r="I373" s="13"/>
    </row>
    <row r="374" spans="1:9" ht="45.75">
      <c r="A374" s="15">
        <v>150101</v>
      </c>
      <c r="B374" s="16" t="s">
        <v>368</v>
      </c>
      <c r="C374" s="16" t="s">
        <v>202</v>
      </c>
      <c r="D374" s="18">
        <v>500000</v>
      </c>
      <c r="E374" s="19"/>
      <c r="F374" s="18">
        <v>500000</v>
      </c>
      <c r="G374" s="17">
        <v>500000</v>
      </c>
      <c r="I374" s="13"/>
    </row>
    <row r="375" spans="1:9" ht="60.75">
      <c r="A375" s="15">
        <v>180409</v>
      </c>
      <c r="B375" s="16" t="s">
        <v>111</v>
      </c>
      <c r="C375" s="16" t="s">
        <v>124</v>
      </c>
      <c r="D375" s="18"/>
      <c r="E375" s="19"/>
      <c r="F375" s="18"/>
      <c r="G375" s="17">
        <f>3500000+2500000+506620</f>
        <v>6506620</v>
      </c>
      <c r="I375" s="13"/>
    </row>
    <row r="376" spans="1:9" ht="15.75">
      <c r="A376" s="15"/>
      <c r="B376" s="16"/>
      <c r="C376" s="16" t="s">
        <v>205</v>
      </c>
      <c r="D376" s="18"/>
      <c r="E376" s="19"/>
      <c r="F376" s="18"/>
      <c r="G376" s="17"/>
      <c r="I376" s="13"/>
    </row>
    <row r="377" spans="1:9" ht="105">
      <c r="A377" s="15"/>
      <c r="B377" s="16"/>
      <c r="C377" s="59" t="s">
        <v>260</v>
      </c>
      <c r="D377" s="18"/>
      <c r="E377" s="19"/>
      <c r="F377" s="18"/>
      <c r="G377" s="17">
        <v>3500000</v>
      </c>
      <c r="I377" s="13"/>
    </row>
    <row r="378" spans="1:9" ht="75">
      <c r="A378" s="15"/>
      <c r="B378" s="16"/>
      <c r="C378" s="59" t="s">
        <v>261</v>
      </c>
      <c r="D378" s="18"/>
      <c r="E378" s="19"/>
      <c r="F378" s="18"/>
      <c r="G378" s="17">
        <v>2500000</v>
      </c>
      <c r="I378" s="13"/>
    </row>
    <row r="379" spans="1:9" ht="45">
      <c r="A379" s="15"/>
      <c r="B379" s="16"/>
      <c r="C379" s="59" t="s">
        <v>262</v>
      </c>
      <c r="D379" s="18"/>
      <c r="E379" s="19"/>
      <c r="F379" s="18"/>
      <c r="G379" s="17">
        <v>506620</v>
      </c>
      <c r="I379" s="13"/>
    </row>
    <row r="380" spans="1:9" ht="60.75">
      <c r="A380" s="15">
        <v>180409</v>
      </c>
      <c r="B380" s="16" t="s">
        <v>111</v>
      </c>
      <c r="C380" s="16" t="s">
        <v>259</v>
      </c>
      <c r="D380" s="18"/>
      <c r="E380" s="19"/>
      <c r="F380" s="18"/>
      <c r="G380" s="17">
        <v>5134878</v>
      </c>
      <c r="I380" s="13"/>
    </row>
    <row r="381" spans="1:9" ht="15.75">
      <c r="A381" s="15"/>
      <c r="B381" s="16"/>
      <c r="C381" s="16" t="s">
        <v>205</v>
      </c>
      <c r="D381" s="18"/>
      <c r="E381" s="19"/>
      <c r="F381" s="18"/>
      <c r="G381" s="17"/>
      <c r="I381" s="13"/>
    </row>
    <row r="382" spans="1:9" ht="90">
      <c r="A382" s="15"/>
      <c r="B382" s="16"/>
      <c r="C382" s="59" t="s">
        <v>271</v>
      </c>
      <c r="D382" s="18"/>
      <c r="E382" s="19"/>
      <c r="F382" s="18"/>
      <c r="G382" s="17">
        <v>2199604</v>
      </c>
      <c r="I382" s="13"/>
    </row>
    <row r="383" spans="1:9" ht="135">
      <c r="A383" s="15"/>
      <c r="B383" s="16"/>
      <c r="C383" s="59" t="s">
        <v>272</v>
      </c>
      <c r="D383" s="18"/>
      <c r="E383" s="19"/>
      <c r="F383" s="18"/>
      <c r="G383" s="17">
        <v>2935274</v>
      </c>
      <c r="I383" s="13"/>
    </row>
    <row r="384" spans="1:9" s="14" customFormat="1" ht="63" hidden="1">
      <c r="A384" s="10">
        <v>41</v>
      </c>
      <c r="B384" s="11" t="s">
        <v>112</v>
      </c>
      <c r="C384" s="11" t="s">
        <v>114</v>
      </c>
      <c r="D384" s="12"/>
      <c r="E384" s="12"/>
      <c r="F384" s="12"/>
      <c r="G384" s="40">
        <f>G385</f>
        <v>0</v>
      </c>
      <c r="H384" s="13">
        <f>'[1]Місто'!$K$295</f>
        <v>0</v>
      </c>
      <c r="I384" s="13">
        <f>H384-G384</f>
        <v>0</v>
      </c>
    </row>
    <row r="385" spans="1:9" s="14" customFormat="1" ht="30.75" hidden="1">
      <c r="A385" s="15" t="s">
        <v>365</v>
      </c>
      <c r="B385" s="16" t="s">
        <v>366</v>
      </c>
      <c r="C385" s="39"/>
      <c r="D385" s="40"/>
      <c r="E385" s="40"/>
      <c r="F385" s="40"/>
      <c r="G385" s="40"/>
      <c r="I385" s="13"/>
    </row>
    <row r="386" spans="1:9" ht="63" hidden="1">
      <c r="A386" s="10">
        <v>43</v>
      </c>
      <c r="B386" s="11" t="s">
        <v>115</v>
      </c>
      <c r="C386" s="11"/>
      <c r="D386" s="11"/>
      <c r="E386" s="11"/>
      <c r="F386" s="11"/>
      <c r="G386" s="63">
        <f>SUM(G387:G390)</f>
        <v>0</v>
      </c>
      <c r="H386" s="41">
        <f>'[1]Місто'!$K$261</f>
        <v>0</v>
      </c>
      <c r="I386" s="13">
        <f>H386-G386</f>
        <v>0</v>
      </c>
    </row>
    <row r="387" spans="1:9" ht="30.75" hidden="1">
      <c r="A387" s="15" t="s">
        <v>365</v>
      </c>
      <c r="B387" s="16" t="s">
        <v>366</v>
      </c>
      <c r="C387" s="16"/>
      <c r="D387" s="18"/>
      <c r="E387" s="19"/>
      <c r="F387" s="18"/>
      <c r="G387" s="17"/>
      <c r="I387" s="13"/>
    </row>
    <row r="388" spans="1:9" ht="31.5" hidden="1">
      <c r="A388" s="42" t="s">
        <v>47</v>
      </c>
      <c r="B388" s="43" t="s">
        <v>48</v>
      </c>
      <c r="C388" s="16"/>
      <c r="D388" s="18"/>
      <c r="E388" s="19"/>
      <c r="F388" s="18"/>
      <c r="G388" s="17"/>
      <c r="I388" s="13">
        <f>H388-G388</f>
        <v>0</v>
      </c>
    </row>
    <row r="389" spans="1:9" ht="15.75" hidden="1">
      <c r="A389" s="42" t="s">
        <v>116</v>
      </c>
      <c r="B389" s="43" t="s">
        <v>49</v>
      </c>
      <c r="C389" s="16"/>
      <c r="D389" s="18"/>
      <c r="E389" s="19"/>
      <c r="F389" s="18"/>
      <c r="G389" s="17"/>
      <c r="I389" s="13">
        <f>H389-G389</f>
        <v>0</v>
      </c>
    </row>
    <row r="390" spans="1:9" ht="15.75" hidden="1">
      <c r="A390" s="15" t="s">
        <v>50</v>
      </c>
      <c r="B390" s="16" t="s">
        <v>51</v>
      </c>
      <c r="C390" s="16"/>
      <c r="D390" s="18"/>
      <c r="E390" s="19"/>
      <c r="F390" s="18"/>
      <c r="G390" s="17"/>
      <c r="I390" s="13">
        <f>H390-G390</f>
        <v>0</v>
      </c>
    </row>
    <row r="391" spans="1:9" s="14" customFormat="1" ht="47.25">
      <c r="A391" s="10" t="s">
        <v>117</v>
      </c>
      <c r="B391" s="11" t="s">
        <v>118</v>
      </c>
      <c r="C391" s="11"/>
      <c r="D391" s="12"/>
      <c r="E391" s="21"/>
      <c r="F391" s="12"/>
      <c r="G391" s="40">
        <f>G392</f>
        <v>46423</v>
      </c>
      <c r="H391" s="13">
        <f>'[1]Місто'!$K$322</f>
        <v>46423</v>
      </c>
      <c r="I391" s="13">
        <f>H391-G391</f>
        <v>0</v>
      </c>
    </row>
    <row r="392" spans="1:9" ht="30.75">
      <c r="A392" s="15" t="s">
        <v>365</v>
      </c>
      <c r="B392" s="16" t="s">
        <v>366</v>
      </c>
      <c r="C392" s="16" t="s">
        <v>367</v>
      </c>
      <c r="D392" s="18"/>
      <c r="E392" s="19"/>
      <c r="F392" s="18"/>
      <c r="G392" s="17">
        <f>'[1]Місто'!$K$324</f>
        <v>46423</v>
      </c>
      <c r="I392" s="13"/>
    </row>
    <row r="393" spans="1:9" ht="30.75">
      <c r="A393" s="15"/>
      <c r="B393" s="16"/>
      <c r="C393" s="16" t="s">
        <v>370</v>
      </c>
      <c r="D393" s="18"/>
      <c r="E393" s="19"/>
      <c r="F393" s="18"/>
      <c r="G393" s="17">
        <v>10423</v>
      </c>
      <c r="I393" s="13"/>
    </row>
    <row r="394" spans="1:9" ht="47.25">
      <c r="A394" s="10" t="s">
        <v>119</v>
      </c>
      <c r="B394" s="44" t="s">
        <v>120</v>
      </c>
      <c r="C394" s="44"/>
      <c r="D394" s="44"/>
      <c r="E394" s="44"/>
      <c r="F394" s="44"/>
      <c r="G394" s="40">
        <f>G395</f>
        <v>29000</v>
      </c>
      <c r="H394" s="41">
        <f>'[1]Місто'!$K$345</f>
        <v>29000</v>
      </c>
      <c r="I394" s="13">
        <f>H394-G394</f>
        <v>0</v>
      </c>
    </row>
    <row r="395" spans="1:9" ht="30.75">
      <c r="A395" s="15" t="s">
        <v>365</v>
      </c>
      <c r="B395" s="16" t="s">
        <v>366</v>
      </c>
      <c r="C395" s="16" t="s">
        <v>367</v>
      </c>
      <c r="D395" s="18"/>
      <c r="E395" s="19"/>
      <c r="F395" s="18"/>
      <c r="G395" s="17">
        <f>'[1]Місто'!$K$347</f>
        <v>29000</v>
      </c>
      <c r="I395" s="13"/>
    </row>
    <row r="396" spans="1:9" s="14" customFormat="1" ht="63">
      <c r="A396" s="10">
        <v>65</v>
      </c>
      <c r="B396" s="11" t="s">
        <v>121</v>
      </c>
      <c r="C396" s="11"/>
      <c r="D396" s="12">
        <f>SUM(D397:D399)</f>
        <v>0</v>
      </c>
      <c r="E396" s="12"/>
      <c r="F396" s="12">
        <f>SUM(F397:F399)</f>
        <v>0</v>
      </c>
      <c r="G396" s="40">
        <f>SUM(G397:G399)</f>
        <v>4823756</v>
      </c>
      <c r="H396" s="13">
        <f>'[1]Місто'!$K$359</f>
        <v>4823756</v>
      </c>
      <c r="I396" s="13">
        <f>H396-G396</f>
        <v>0</v>
      </c>
    </row>
    <row r="397" spans="1:9" ht="35.25" customHeight="1" hidden="1">
      <c r="A397" s="15">
        <v>120100</v>
      </c>
      <c r="B397" s="16" t="s">
        <v>122</v>
      </c>
      <c r="C397" s="16" t="s">
        <v>367</v>
      </c>
      <c r="D397" s="18"/>
      <c r="E397" s="19"/>
      <c r="F397" s="18"/>
      <c r="G397" s="17"/>
      <c r="I397" s="13"/>
    </row>
    <row r="398" spans="1:9" ht="30.75" hidden="1">
      <c r="A398" s="15">
        <v>171000</v>
      </c>
      <c r="B398" s="16" t="s">
        <v>123</v>
      </c>
      <c r="C398" s="16" t="s">
        <v>367</v>
      </c>
      <c r="D398" s="18"/>
      <c r="E398" s="19"/>
      <c r="F398" s="18"/>
      <c r="G398" s="17">
        <f>'[1]Місто'!$J$367</f>
        <v>0</v>
      </c>
      <c r="I398" s="13"/>
    </row>
    <row r="399" spans="1:9" ht="65.25" customHeight="1">
      <c r="A399" s="15">
        <v>180409</v>
      </c>
      <c r="B399" s="16" t="s">
        <v>111</v>
      </c>
      <c r="C399" s="16" t="s">
        <v>124</v>
      </c>
      <c r="D399" s="18"/>
      <c r="E399" s="18"/>
      <c r="F399" s="18"/>
      <c r="G399" s="17">
        <f>'[1]Місто'!$K$370</f>
        <v>4823756</v>
      </c>
      <c r="I399" s="13"/>
    </row>
    <row r="400" spans="1:9" ht="15.75">
      <c r="A400" s="15"/>
      <c r="B400" s="16"/>
      <c r="C400" s="16" t="s">
        <v>205</v>
      </c>
      <c r="D400" s="18"/>
      <c r="E400" s="18"/>
      <c r="F400" s="18"/>
      <c r="G400" s="17"/>
      <c r="I400" s="13"/>
    </row>
    <row r="401" spans="1:9" ht="123.75" customHeight="1">
      <c r="A401" s="15"/>
      <c r="B401" s="16"/>
      <c r="C401" s="59" t="s">
        <v>269</v>
      </c>
      <c r="D401" s="18"/>
      <c r="E401" s="18"/>
      <c r="F401" s="18"/>
      <c r="G401" s="17">
        <f>293193+2355141+1540480</f>
        <v>4188814</v>
      </c>
      <c r="I401" s="13"/>
    </row>
    <row r="402" spans="1:9" ht="58.5" customHeight="1">
      <c r="A402" s="15"/>
      <c r="B402" s="16"/>
      <c r="C402" s="59" t="s">
        <v>270</v>
      </c>
      <c r="D402" s="18"/>
      <c r="E402" s="18"/>
      <c r="F402" s="18"/>
      <c r="G402" s="17">
        <v>634942</v>
      </c>
      <c r="I402" s="13"/>
    </row>
    <row r="403" spans="1:9" s="14" customFormat="1" ht="94.5">
      <c r="A403" s="10">
        <v>67</v>
      </c>
      <c r="B403" s="11" t="s">
        <v>125</v>
      </c>
      <c r="C403" s="11"/>
      <c r="D403" s="12">
        <f>D404</f>
        <v>0</v>
      </c>
      <c r="E403" s="12"/>
      <c r="F403" s="12">
        <f>F404</f>
        <v>0</v>
      </c>
      <c r="G403" s="12">
        <f>SUM(G404:G405)</f>
        <v>6922539</v>
      </c>
      <c r="H403" s="13">
        <f>'[1]Місто'!$K$375</f>
        <v>6922539</v>
      </c>
      <c r="I403" s="13">
        <f>H403-G403</f>
        <v>0</v>
      </c>
    </row>
    <row r="404" spans="1:9" ht="60.75">
      <c r="A404" s="15">
        <v>210105</v>
      </c>
      <c r="B404" s="16" t="s">
        <v>126</v>
      </c>
      <c r="C404" s="16" t="s">
        <v>367</v>
      </c>
      <c r="D404" s="18"/>
      <c r="E404" s="19"/>
      <c r="F404" s="18"/>
      <c r="G404" s="17">
        <f>'[1]Місто'!$K$379</f>
        <v>6850000</v>
      </c>
      <c r="I404" s="13"/>
    </row>
    <row r="405" spans="1:9" ht="30.75">
      <c r="A405" s="15">
        <v>210110</v>
      </c>
      <c r="B405" s="16" t="s">
        <v>127</v>
      </c>
      <c r="C405" s="16" t="s">
        <v>367</v>
      </c>
      <c r="D405" s="18"/>
      <c r="E405" s="19"/>
      <c r="F405" s="18"/>
      <c r="G405" s="17">
        <f>'[1]Місто'!$K$382</f>
        <v>72539</v>
      </c>
      <c r="I405" s="13"/>
    </row>
    <row r="406" spans="1:9" s="14" customFormat="1" ht="47.25">
      <c r="A406" s="10">
        <v>73</v>
      </c>
      <c r="B406" s="11" t="s">
        <v>128</v>
      </c>
      <c r="C406" s="11"/>
      <c r="D406" s="12">
        <f>SUM(D407:D420)-D420</f>
        <v>30965267</v>
      </c>
      <c r="E406" s="12"/>
      <c r="F406" s="12">
        <f>SUM(F407:F420)-F420</f>
        <v>20660773.009999998</v>
      </c>
      <c r="G406" s="12">
        <f>SUM(G407:G420)-G420-G418</f>
        <v>40736430</v>
      </c>
      <c r="H406" s="13">
        <f>'[1]Місто'!$K$383</f>
        <v>40736430</v>
      </c>
      <c r="I406" s="13">
        <f>H406-G406</f>
        <v>0</v>
      </c>
    </row>
    <row r="407" spans="1:9" ht="30.75">
      <c r="A407" s="15" t="s">
        <v>365</v>
      </c>
      <c r="B407" s="16" t="s">
        <v>366</v>
      </c>
      <c r="C407" s="16" t="s">
        <v>367</v>
      </c>
      <c r="D407" s="18"/>
      <c r="E407" s="19"/>
      <c r="F407" s="18"/>
      <c r="G407" s="17">
        <f>'[1]Місто'!$K$385</f>
        <v>30000</v>
      </c>
      <c r="I407" s="13"/>
    </row>
    <row r="408" spans="1:9" ht="63">
      <c r="A408" s="15">
        <v>210105</v>
      </c>
      <c r="B408" s="45" t="s">
        <v>126</v>
      </c>
      <c r="C408" s="16" t="s">
        <v>367</v>
      </c>
      <c r="D408" s="18"/>
      <c r="E408" s="19"/>
      <c r="F408" s="18"/>
      <c r="G408" s="17">
        <f>'[1]Місто'!$K$397</f>
        <v>20000000</v>
      </c>
      <c r="I408" s="13"/>
    </row>
    <row r="409" spans="1:9" ht="30.75">
      <c r="A409" s="15">
        <v>150101</v>
      </c>
      <c r="B409" s="16" t="s">
        <v>368</v>
      </c>
      <c r="C409" s="16" t="s">
        <v>129</v>
      </c>
      <c r="D409" s="18">
        <v>13415939</v>
      </c>
      <c r="E409" s="19">
        <f>100-(F409/D409*100)</f>
        <v>39.61472596141052</v>
      </c>
      <c r="F409" s="18">
        <f>SUM(D409-(2652.28+224049.34+1231392.82+3025289.68+831303.35))</f>
        <v>8101251.53</v>
      </c>
      <c r="G409" s="17">
        <f>900195+7201057</f>
        <v>8101252</v>
      </c>
      <c r="I409" s="13"/>
    </row>
    <row r="410" spans="1:9" ht="45.75">
      <c r="A410" s="15">
        <v>150101</v>
      </c>
      <c r="B410" s="16" t="s">
        <v>368</v>
      </c>
      <c r="C410" s="16" t="s">
        <v>130</v>
      </c>
      <c r="D410" s="18">
        <f>2952107</f>
        <v>2952107</v>
      </c>
      <c r="E410" s="19">
        <f>100-(F410/D410*100)</f>
        <v>62.85076726554965</v>
      </c>
      <c r="F410" s="18">
        <v>1096685.1</v>
      </c>
      <c r="G410" s="17">
        <v>1096685</v>
      </c>
      <c r="I410" s="13"/>
    </row>
    <row r="411" spans="1:9" ht="60.75">
      <c r="A411" s="15">
        <v>150101</v>
      </c>
      <c r="B411" s="16" t="s">
        <v>368</v>
      </c>
      <c r="C411" s="16" t="s">
        <v>131</v>
      </c>
      <c r="D411" s="18">
        <v>200000</v>
      </c>
      <c r="E411" s="19"/>
      <c r="F411" s="18">
        <v>200000</v>
      </c>
      <c r="G411" s="17">
        <v>200000</v>
      </c>
      <c r="I411" s="13"/>
    </row>
    <row r="412" spans="1:9" ht="60.75">
      <c r="A412" s="15">
        <v>150101</v>
      </c>
      <c r="B412" s="16" t="s">
        <v>368</v>
      </c>
      <c r="C412" s="16" t="s">
        <v>132</v>
      </c>
      <c r="D412" s="18">
        <v>150000</v>
      </c>
      <c r="E412" s="19"/>
      <c r="F412" s="18">
        <v>150000</v>
      </c>
      <c r="G412" s="17">
        <v>150000</v>
      </c>
      <c r="I412" s="13"/>
    </row>
    <row r="413" spans="1:9" ht="75.75">
      <c r="A413" s="15">
        <v>150101</v>
      </c>
      <c r="B413" s="16" t="s">
        <v>368</v>
      </c>
      <c r="C413" s="16" t="s">
        <v>133</v>
      </c>
      <c r="D413" s="18"/>
      <c r="E413" s="19"/>
      <c r="F413" s="18"/>
      <c r="G413" s="17">
        <v>31223</v>
      </c>
      <c r="I413" s="13"/>
    </row>
    <row r="414" spans="1:9" ht="75.75">
      <c r="A414" s="15">
        <v>150101</v>
      </c>
      <c r="B414" s="16" t="s">
        <v>368</v>
      </c>
      <c r="C414" s="16" t="s">
        <v>134</v>
      </c>
      <c r="D414" s="18"/>
      <c r="E414" s="19"/>
      <c r="F414" s="18"/>
      <c r="G414" s="17">
        <v>3408</v>
      </c>
      <c r="I414" s="13"/>
    </row>
    <row r="415" spans="1:9" ht="75.75">
      <c r="A415" s="15">
        <v>150101</v>
      </c>
      <c r="B415" s="16" t="s">
        <v>368</v>
      </c>
      <c r="C415" s="16" t="s">
        <v>135</v>
      </c>
      <c r="D415" s="18"/>
      <c r="E415" s="19"/>
      <c r="F415" s="18"/>
      <c r="G415" s="17">
        <v>7119</v>
      </c>
      <c r="I415" s="13"/>
    </row>
    <row r="416" spans="1:9" ht="60.75">
      <c r="A416" s="15">
        <v>150101</v>
      </c>
      <c r="B416" s="16" t="s">
        <v>368</v>
      </c>
      <c r="C416" s="16" t="s">
        <v>136</v>
      </c>
      <c r="D416" s="18"/>
      <c r="E416" s="19"/>
      <c r="F416" s="18"/>
      <c r="G416" s="17">
        <v>3907</v>
      </c>
      <c r="I416" s="13"/>
    </row>
    <row r="417" spans="1:9" ht="30.75">
      <c r="A417" s="15">
        <v>150101</v>
      </c>
      <c r="B417" s="16" t="s">
        <v>368</v>
      </c>
      <c r="C417" s="16" t="s">
        <v>196</v>
      </c>
      <c r="D417" s="18">
        <v>137164</v>
      </c>
      <c r="E417" s="19">
        <f>100-(F417/D417*100)</f>
        <v>25.139249365722776</v>
      </c>
      <c r="F417" s="18">
        <v>102682</v>
      </c>
      <c r="G417" s="17">
        <f>8150+94532</f>
        <v>102682</v>
      </c>
      <c r="I417" s="13"/>
    </row>
    <row r="418" spans="1:9" ht="30.75">
      <c r="A418" s="15"/>
      <c r="B418" s="16"/>
      <c r="C418" s="16" t="s">
        <v>370</v>
      </c>
      <c r="D418" s="18"/>
      <c r="E418" s="19"/>
      <c r="F418" s="18"/>
      <c r="G418" s="17">
        <v>8150</v>
      </c>
      <c r="I418" s="13"/>
    </row>
    <row r="419" spans="1:9" ht="90.75">
      <c r="A419" s="15">
        <v>150121</v>
      </c>
      <c r="B419" s="16" t="s">
        <v>137</v>
      </c>
      <c r="C419" s="16" t="s">
        <v>138</v>
      </c>
      <c r="D419" s="18">
        <v>14110057</v>
      </c>
      <c r="E419" s="19">
        <f>100-(F419/D419*100)</f>
        <v>21.969454978105347</v>
      </c>
      <c r="F419" s="18">
        <f>SUM(D419)-(56356.56+570604+1000000+338942.4+271527.7+862471.96)</f>
        <v>11010154.379999999</v>
      </c>
      <c r="G419" s="17">
        <f>1348330+10944+9650880</f>
        <v>11010154</v>
      </c>
      <c r="I419" s="13"/>
    </row>
    <row r="420" spans="1:9" ht="30.75">
      <c r="A420" s="15"/>
      <c r="B420" s="16"/>
      <c r="C420" s="16" t="s">
        <v>370</v>
      </c>
      <c r="D420" s="18"/>
      <c r="E420" s="19"/>
      <c r="F420" s="18"/>
      <c r="G420" s="17">
        <v>10944</v>
      </c>
      <c r="I420" s="13"/>
    </row>
    <row r="421" spans="1:9" s="14" customFormat="1" ht="47.25" hidden="1">
      <c r="A421" s="10" t="s">
        <v>139</v>
      </c>
      <c r="B421" s="11" t="s">
        <v>140</v>
      </c>
      <c r="C421" s="11"/>
      <c r="D421" s="12"/>
      <c r="E421" s="21"/>
      <c r="F421" s="12"/>
      <c r="G421" s="40"/>
      <c r="H421" s="13">
        <f>'[1]Місто'!$K$401</f>
        <v>0</v>
      </c>
      <c r="I421" s="13">
        <f>H421-G421</f>
        <v>0</v>
      </c>
    </row>
    <row r="422" spans="1:9" ht="30.75" hidden="1">
      <c r="A422" s="15" t="s">
        <v>365</v>
      </c>
      <c r="B422" s="16" t="s">
        <v>366</v>
      </c>
      <c r="C422" s="16" t="s">
        <v>367</v>
      </c>
      <c r="D422" s="18"/>
      <c r="E422" s="19"/>
      <c r="F422" s="18"/>
      <c r="G422" s="17"/>
      <c r="I422" s="13"/>
    </row>
    <row r="423" spans="1:9" s="14" customFormat="1" ht="47.25" hidden="1">
      <c r="A423" s="10" t="s">
        <v>141</v>
      </c>
      <c r="B423" s="11" t="s">
        <v>140</v>
      </c>
      <c r="C423" s="11"/>
      <c r="D423" s="12"/>
      <c r="E423" s="21"/>
      <c r="F423" s="12"/>
      <c r="G423" s="40"/>
      <c r="H423" s="13">
        <f>'[1]Місто'!$K$413</f>
        <v>0</v>
      </c>
      <c r="I423" s="13">
        <f>H423-G423</f>
        <v>0</v>
      </c>
    </row>
    <row r="424" spans="1:9" ht="90.75" hidden="1">
      <c r="A424" s="15">
        <v>250344</v>
      </c>
      <c r="B424" s="16" t="s">
        <v>142</v>
      </c>
      <c r="C424" s="16" t="s">
        <v>367</v>
      </c>
      <c r="D424" s="18"/>
      <c r="E424" s="19"/>
      <c r="F424" s="18"/>
      <c r="G424" s="17"/>
      <c r="I424" s="13"/>
    </row>
    <row r="425" spans="1:9" s="14" customFormat="1" ht="47.25" hidden="1">
      <c r="A425" s="10">
        <v>90</v>
      </c>
      <c r="B425" s="11" t="s">
        <v>143</v>
      </c>
      <c r="C425" s="11"/>
      <c r="D425" s="12"/>
      <c r="E425" s="21"/>
      <c r="F425" s="12"/>
      <c r="G425" s="40"/>
      <c r="H425" s="13">
        <f>'[1]Місто'!$K$417</f>
        <v>0</v>
      </c>
      <c r="I425" s="13">
        <f>H425-G425</f>
        <v>0</v>
      </c>
    </row>
    <row r="426" spans="1:9" ht="30.75" hidden="1">
      <c r="A426" s="15" t="s">
        <v>365</v>
      </c>
      <c r="B426" s="16" t="s">
        <v>366</v>
      </c>
      <c r="C426" s="16" t="s">
        <v>367</v>
      </c>
      <c r="D426" s="18"/>
      <c r="E426" s="19"/>
      <c r="F426" s="18"/>
      <c r="G426" s="17"/>
      <c r="I426" s="13"/>
    </row>
    <row r="427" spans="1:9" ht="15.75" hidden="1">
      <c r="A427" s="15" t="s">
        <v>116</v>
      </c>
      <c r="B427" s="16" t="s">
        <v>144</v>
      </c>
      <c r="C427" s="16" t="s">
        <v>367</v>
      </c>
      <c r="D427" s="18"/>
      <c r="E427" s="19"/>
      <c r="F427" s="18"/>
      <c r="G427" s="17"/>
      <c r="I427" s="13"/>
    </row>
    <row r="428" spans="1:9" ht="15.75" hidden="1">
      <c r="A428" s="15" t="s">
        <v>145</v>
      </c>
      <c r="B428" s="16" t="s">
        <v>368</v>
      </c>
      <c r="C428" s="16"/>
      <c r="D428" s="18"/>
      <c r="E428" s="19"/>
      <c r="F428" s="18"/>
      <c r="G428" s="17"/>
      <c r="I428" s="13"/>
    </row>
    <row r="429" spans="1:9" s="14" customFormat="1" ht="47.25" hidden="1">
      <c r="A429" s="10">
        <v>91</v>
      </c>
      <c r="B429" s="11" t="s">
        <v>146</v>
      </c>
      <c r="C429" s="11"/>
      <c r="D429" s="12">
        <f>SUM(D430:D431)</f>
        <v>0</v>
      </c>
      <c r="E429" s="12"/>
      <c r="F429" s="12">
        <f>SUM(F430:F431)</f>
        <v>0</v>
      </c>
      <c r="G429" s="40">
        <f>SUM(G430:G431)</f>
        <v>0</v>
      </c>
      <c r="H429" s="13">
        <f>'[1]Місто'!$K$432</f>
        <v>0</v>
      </c>
      <c r="I429" s="13">
        <f>H429-G429</f>
        <v>0</v>
      </c>
    </row>
    <row r="430" spans="1:9" ht="30.75" hidden="1">
      <c r="A430" s="15">
        <v>10116</v>
      </c>
      <c r="B430" s="16" t="s">
        <v>366</v>
      </c>
      <c r="C430" s="16" t="s">
        <v>367</v>
      </c>
      <c r="D430" s="18"/>
      <c r="E430" s="19"/>
      <c r="F430" s="18"/>
      <c r="G430" s="17"/>
      <c r="I430" s="13"/>
    </row>
    <row r="431" spans="1:9" ht="45.75" hidden="1">
      <c r="A431" s="15">
        <v>150101</v>
      </c>
      <c r="B431" s="16" t="s">
        <v>368</v>
      </c>
      <c r="C431" s="16" t="s">
        <v>147</v>
      </c>
      <c r="D431" s="18"/>
      <c r="E431" s="19"/>
      <c r="F431" s="18"/>
      <c r="G431" s="17"/>
      <c r="I431" s="13"/>
    </row>
    <row r="432" spans="1:9" s="14" customFormat="1" ht="63">
      <c r="A432" s="10">
        <v>92</v>
      </c>
      <c r="B432" s="11" t="s">
        <v>148</v>
      </c>
      <c r="C432" s="11"/>
      <c r="D432" s="12">
        <f>SUM(D433:D444)-D442</f>
        <v>13025686</v>
      </c>
      <c r="E432" s="12"/>
      <c r="F432" s="12">
        <f>SUM(F433:F444)-F442</f>
        <v>12290141</v>
      </c>
      <c r="G432" s="12">
        <f>SUM(G433:G444)-G442</f>
        <v>5988856</v>
      </c>
      <c r="H432" s="13">
        <f>'[1]Місто'!$K$446</f>
        <v>5988856</v>
      </c>
      <c r="I432" s="13">
        <f>H432-G432</f>
        <v>0</v>
      </c>
    </row>
    <row r="433" spans="1:9" ht="30.75" hidden="1">
      <c r="A433" s="15" t="s">
        <v>365</v>
      </c>
      <c r="B433" s="16" t="s">
        <v>366</v>
      </c>
      <c r="C433" s="16" t="s">
        <v>367</v>
      </c>
      <c r="D433" s="18"/>
      <c r="E433" s="19"/>
      <c r="F433" s="18"/>
      <c r="G433" s="17"/>
      <c r="I433" s="13"/>
    </row>
    <row r="434" spans="1:9" ht="30.75">
      <c r="A434" s="15" t="s">
        <v>116</v>
      </c>
      <c r="B434" s="16" t="s">
        <v>144</v>
      </c>
      <c r="C434" s="16" t="s">
        <v>167</v>
      </c>
      <c r="D434" s="18"/>
      <c r="E434" s="19"/>
      <c r="F434" s="18"/>
      <c r="G434" s="17">
        <f>'[1]Місто'!K449</f>
        <v>38907</v>
      </c>
      <c r="I434" s="13"/>
    </row>
    <row r="435" spans="1:9" ht="30.75">
      <c r="A435" s="15">
        <v>150101</v>
      </c>
      <c r="B435" s="16" t="s">
        <v>368</v>
      </c>
      <c r="C435" s="16" t="s">
        <v>149</v>
      </c>
      <c r="D435" s="18">
        <v>10000000</v>
      </c>
      <c r="E435" s="19"/>
      <c r="F435" s="18">
        <v>10000000</v>
      </c>
      <c r="G435" s="17">
        <v>4000000</v>
      </c>
      <c r="I435" s="13"/>
    </row>
    <row r="436" spans="1:9" ht="60.75">
      <c r="A436" s="15">
        <v>150101</v>
      </c>
      <c r="B436" s="16" t="s">
        <v>368</v>
      </c>
      <c r="C436" s="16" t="s">
        <v>150</v>
      </c>
      <c r="D436" s="18">
        <v>80000</v>
      </c>
      <c r="E436" s="19"/>
      <c r="F436" s="18">
        <v>80000</v>
      </c>
      <c r="G436" s="17">
        <v>80000</v>
      </c>
      <c r="I436" s="13"/>
    </row>
    <row r="437" spans="1:9" ht="45.75">
      <c r="A437" s="15">
        <v>150101</v>
      </c>
      <c r="B437" s="16" t="s">
        <v>368</v>
      </c>
      <c r="C437" s="16" t="s">
        <v>151</v>
      </c>
      <c r="D437" s="18">
        <v>70000</v>
      </c>
      <c r="E437" s="19"/>
      <c r="F437" s="18">
        <v>70000</v>
      </c>
      <c r="G437" s="17">
        <v>70000</v>
      </c>
      <c r="I437" s="13"/>
    </row>
    <row r="438" spans="1:9" ht="45.75">
      <c r="A438" s="15">
        <v>150101</v>
      </c>
      <c r="B438" s="16" t="s">
        <v>368</v>
      </c>
      <c r="C438" s="16" t="s">
        <v>152</v>
      </c>
      <c r="D438" s="18">
        <v>1000000</v>
      </c>
      <c r="E438" s="19"/>
      <c r="F438" s="18">
        <v>1000000</v>
      </c>
      <c r="G438" s="17">
        <v>70000</v>
      </c>
      <c r="I438" s="13"/>
    </row>
    <row r="439" spans="1:9" ht="75.75">
      <c r="A439" s="15">
        <v>150101</v>
      </c>
      <c r="B439" s="16" t="s">
        <v>368</v>
      </c>
      <c r="C439" s="16" t="s">
        <v>153</v>
      </c>
      <c r="D439" s="18"/>
      <c r="E439" s="19"/>
      <c r="F439" s="18"/>
      <c r="G439" s="17">
        <v>291294</v>
      </c>
      <c r="I439" s="13"/>
    </row>
    <row r="440" spans="1:9" ht="75.75">
      <c r="A440" s="15">
        <v>150101</v>
      </c>
      <c r="B440" s="16" t="s">
        <v>368</v>
      </c>
      <c r="C440" s="16" t="s">
        <v>154</v>
      </c>
      <c r="D440" s="18"/>
      <c r="E440" s="19"/>
      <c r="F440" s="18"/>
      <c r="G440" s="17">
        <v>254731</v>
      </c>
      <c r="I440" s="13"/>
    </row>
    <row r="441" spans="1:9" ht="45.75">
      <c r="A441" s="15">
        <v>150101</v>
      </c>
      <c r="B441" s="16" t="s">
        <v>368</v>
      </c>
      <c r="C441" s="16" t="s">
        <v>265</v>
      </c>
      <c r="D441" s="18">
        <v>999736</v>
      </c>
      <c r="E441" s="19">
        <f>100-(F441/D441*100)</f>
        <v>26.385665815775354</v>
      </c>
      <c r="F441" s="18">
        <v>735949</v>
      </c>
      <c r="G441" s="17">
        <f>444096+291853</f>
        <v>735949</v>
      </c>
      <c r="I441" s="13"/>
    </row>
    <row r="442" spans="1:9" ht="30.75">
      <c r="A442" s="15"/>
      <c r="B442" s="16"/>
      <c r="C442" s="16" t="s">
        <v>370</v>
      </c>
      <c r="D442" s="18"/>
      <c r="E442" s="19"/>
      <c r="F442" s="18"/>
      <c r="G442" s="17">
        <v>444096</v>
      </c>
      <c r="I442" s="13"/>
    </row>
    <row r="443" spans="1:9" ht="60.75">
      <c r="A443" s="15">
        <v>150101</v>
      </c>
      <c r="B443" s="16" t="s">
        <v>368</v>
      </c>
      <c r="C443" s="16" t="s">
        <v>155</v>
      </c>
      <c r="D443" s="18"/>
      <c r="E443" s="19"/>
      <c r="F443" s="18"/>
      <c r="G443" s="17">
        <v>43783</v>
      </c>
      <c r="I443" s="13"/>
    </row>
    <row r="444" spans="1:9" ht="45.75">
      <c r="A444" s="15">
        <v>150101</v>
      </c>
      <c r="B444" s="16" t="s">
        <v>368</v>
      </c>
      <c r="C444" s="16" t="s">
        <v>266</v>
      </c>
      <c r="D444" s="18">
        <v>875950</v>
      </c>
      <c r="E444" s="19">
        <f>100-(F444/D444*100)</f>
        <v>53.85672698213369</v>
      </c>
      <c r="F444" s="18">
        <v>404192</v>
      </c>
      <c r="G444" s="17">
        <f>43256+360936</f>
        <v>404192</v>
      </c>
      <c r="I444" s="13"/>
    </row>
    <row r="445" spans="1:9" ht="30.75">
      <c r="A445" s="15"/>
      <c r="B445" s="16"/>
      <c r="C445" s="16" t="s">
        <v>370</v>
      </c>
      <c r="D445" s="18"/>
      <c r="E445" s="19"/>
      <c r="F445" s="18"/>
      <c r="G445" s="17">
        <v>43256</v>
      </c>
      <c r="I445" s="13"/>
    </row>
    <row r="446" spans="1:9" s="14" customFormat="1" ht="47.25">
      <c r="A446" s="10">
        <v>93</v>
      </c>
      <c r="B446" s="11" t="s">
        <v>156</v>
      </c>
      <c r="C446" s="11"/>
      <c r="D446" s="12">
        <f>SUM(D449:D452)-D450</f>
        <v>1372904</v>
      </c>
      <c r="E446" s="21"/>
      <c r="F446" s="12">
        <f>SUM(F449:F452)-F450</f>
        <v>1372904</v>
      </c>
      <c r="G446" s="12">
        <f>SUM(G449:G452)-G450</f>
        <v>1375596</v>
      </c>
      <c r="H446" s="13">
        <f>'[1]Місто'!$K$461</f>
        <v>1375596</v>
      </c>
      <c r="I446" s="13">
        <f>H446-G446</f>
        <v>0</v>
      </c>
    </row>
    <row r="447" spans="1:9" ht="30.75" hidden="1">
      <c r="A447" s="15" t="s">
        <v>365</v>
      </c>
      <c r="B447" s="16" t="s">
        <v>366</v>
      </c>
      <c r="C447" s="16" t="s">
        <v>367</v>
      </c>
      <c r="D447" s="18"/>
      <c r="E447" s="19"/>
      <c r="F447" s="18"/>
      <c r="G447" s="17"/>
      <c r="I447" s="13"/>
    </row>
    <row r="448" spans="1:9" ht="15.75" hidden="1">
      <c r="A448" s="15" t="s">
        <v>116</v>
      </c>
      <c r="B448" s="16" t="s">
        <v>144</v>
      </c>
      <c r="C448" s="16" t="s">
        <v>367</v>
      </c>
      <c r="D448" s="18"/>
      <c r="E448" s="19"/>
      <c r="F448" s="18"/>
      <c r="G448" s="17"/>
      <c r="I448" s="13"/>
    </row>
    <row r="449" spans="1:9" ht="48" customHeight="1">
      <c r="A449" s="15">
        <v>150101</v>
      </c>
      <c r="B449" s="16" t="s">
        <v>368</v>
      </c>
      <c r="C449" s="16" t="s">
        <v>157</v>
      </c>
      <c r="D449" s="18">
        <f>357703+19201</f>
        <v>376904</v>
      </c>
      <c r="E449" s="18"/>
      <c r="F449" s="18">
        <f>357703+19201</f>
        <v>376904</v>
      </c>
      <c r="G449" s="17">
        <f>357703+19201</f>
        <v>376904</v>
      </c>
      <c r="I449" s="13"/>
    </row>
    <row r="450" spans="1:9" ht="36.75" customHeight="1">
      <c r="A450" s="15"/>
      <c r="B450" s="16"/>
      <c r="C450" s="16" t="s">
        <v>370</v>
      </c>
      <c r="D450" s="18"/>
      <c r="E450" s="18"/>
      <c r="F450" s="18"/>
      <c r="G450" s="17">
        <v>29247</v>
      </c>
      <c r="I450" s="13"/>
    </row>
    <row r="451" spans="1:9" ht="45.75">
      <c r="A451" s="15">
        <v>150101</v>
      </c>
      <c r="B451" s="16" t="s">
        <v>368</v>
      </c>
      <c r="C451" s="16" t="s">
        <v>158</v>
      </c>
      <c r="D451" s="18"/>
      <c r="E451" s="19"/>
      <c r="F451" s="18"/>
      <c r="G451" s="17">
        <v>2692</v>
      </c>
      <c r="I451" s="13"/>
    </row>
    <row r="452" spans="1:9" ht="30.75">
      <c r="A452" s="15">
        <v>150101</v>
      </c>
      <c r="B452" s="16" t="s">
        <v>368</v>
      </c>
      <c r="C452" s="16" t="s">
        <v>201</v>
      </c>
      <c r="D452" s="18">
        <v>996000</v>
      </c>
      <c r="E452" s="19"/>
      <c r="F452" s="18">
        <v>996000</v>
      </c>
      <c r="G452" s="17">
        <v>996000</v>
      </c>
      <c r="I452" s="13"/>
    </row>
    <row r="453" spans="1:9" ht="47.25">
      <c r="A453" s="10">
        <v>94</v>
      </c>
      <c r="B453" s="11" t="s">
        <v>159</v>
      </c>
      <c r="C453" s="46"/>
      <c r="D453" s="47"/>
      <c r="E453" s="48"/>
      <c r="F453" s="47"/>
      <c r="G453" s="47">
        <f>G454</f>
        <v>5200</v>
      </c>
      <c r="H453" s="41">
        <f>'[1]Місто'!$K$476</f>
        <v>5200</v>
      </c>
      <c r="I453" s="13">
        <f>H453-G453</f>
        <v>0</v>
      </c>
    </row>
    <row r="454" spans="1:9" ht="21.75" customHeight="1">
      <c r="A454" s="15" t="s">
        <v>116</v>
      </c>
      <c r="B454" s="16" t="s">
        <v>144</v>
      </c>
      <c r="C454" s="16" t="s">
        <v>367</v>
      </c>
      <c r="D454" s="18"/>
      <c r="E454" s="19"/>
      <c r="F454" s="18"/>
      <c r="G454" s="18">
        <f>'[1]Місто'!$K$480</f>
        <v>5200</v>
      </c>
      <c r="I454" s="13"/>
    </row>
    <row r="455" spans="1:9" s="14" customFormat="1" ht="47.25">
      <c r="A455" s="10">
        <v>95</v>
      </c>
      <c r="B455" s="11" t="s">
        <v>160</v>
      </c>
      <c r="C455" s="11"/>
      <c r="D455" s="12">
        <f>SUM(D456:D458)</f>
        <v>1145573</v>
      </c>
      <c r="E455" s="12">
        <f>SUM(E456:E458)</f>
        <v>0</v>
      </c>
      <c r="F455" s="12">
        <f>SUM(F456:F458)</f>
        <v>1145573</v>
      </c>
      <c r="G455" s="12">
        <f>SUM(G456:G458)</f>
        <v>1168469</v>
      </c>
      <c r="H455" s="13">
        <f>'[1]Місто'!$K$491</f>
        <v>1168469</v>
      </c>
      <c r="I455" s="13">
        <f>H455-G455</f>
        <v>0</v>
      </c>
    </row>
    <row r="456" spans="1:9" ht="31.5" customHeight="1">
      <c r="A456" s="15" t="s">
        <v>365</v>
      </c>
      <c r="B456" s="16" t="s">
        <v>366</v>
      </c>
      <c r="C456" s="16" t="s">
        <v>167</v>
      </c>
      <c r="D456" s="18"/>
      <c r="E456" s="19"/>
      <c r="F456" s="18"/>
      <c r="G456" s="17">
        <f>'[1]Місто'!$K$493</f>
        <v>2896</v>
      </c>
      <c r="I456" s="13"/>
    </row>
    <row r="457" spans="1:9" ht="30.75">
      <c r="A457" s="15" t="s">
        <v>116</v>
      </c>
      <c r="B457" s="16" t="s">
        <v>144</v>
      </c>
      <c r="C457" s="16" t="s">
        <v>167</v>
      </c>
      <c r="D457" s="18"/>
      <c r="E457" s="19"/>
      <c r="F457" s="18"/>
      <c r="G457" s="17">
        <f>'[1]Місто'!$K$495</f>
        <v>20000</v>
      </c>
      <c r="I457" s="13"/>
    </row>
    <row r="458" spans="1:9" ht="44.25" customHeight="1">
      <c r="A458" s="15" t="s">
        <v>145</v>
      </c>
      <c r="B458" s="16" t="s">
        <v>368</v>
      </c>
      <c r="C458" s="16" t="s">
        <v>161</v>
      </c>
      <c r="D458" s="27">
        <v>1145573</v>
      </c>
      <c r="E458" s="37"/>
      <c r="F458" s="27">
        <v>1145573</v>
      </c>
      <c r="G458" s="56">
        <f>1158552-20072-12623+21734-2018</f>
        <v>1145573</v>
      </c>
      <c r="I458" s="13"/>
    </row>
    <row r="459" spans="1:9" ht="33" customHeight="1">
      <c r="A459" s="15"/>
      <c r="B459" s="16"/>
      <c r="C459" s="16" t="s">
        <v>370</v>
      </c>
      <c r="D459" s="27"/>
      <c r="E459" s="37"/>
      <c r="F459" s="27"/>
      <c r="G459" s="56">
        <v>21734</v>
      </c>
      <c r="I459" s="13"/>
    </row>
    <row r="460" spans="1:9" s="14" customFormat="1" ht="54.75" customHeight="1">
      <c r="A460" s="10">
        <v>96</v>
      </c>
      <c r="B460" s="11" t="s">
        <v>162</v>
      </c>
      <c r="C460" s="11"/>
      <c r="D460" s="12"/>
      <c r="E460" s="21"/>
      <c r="F460" s="12"/>
      <c r="G460" s="12">
        <f>G461</f>
        <v>146388</v>
      </c>
      <c r="H460" s="13">
        <f>'[1]Місто'!$K$506</f>
        <v>146388</v>
      </c>
      <c r="I460" s="13">
        <f>H460-G460</f>
        <v>0</v>
      </c>
    </row>
    <row r="461" spans="1:7" ht="33.75" customHeight="1">
      <c r="A461" s="15" t="s">
        <v>365</v>
      </c>
      <c r="B461" s="16" t="s">
        <v>366</v>
      </c>
      <c r="C461" s="16" t="s">
        <v>167</v>
      </c>
      <c r="D461" s="18"/>
      <c r="E461" s="19"/>
      <c r="F461" s="18"/>
      <c r="G461" s="17">
        <f>'[1]Місто'!$K$508</f>
        <v>146388</v>
      </c>
    </row>
    <row r="462" spans="1:7" ht="33.75" customHeight="1" hidden="1">
      <c r="A462" s="15" t="s">
        <v>50</v>
      </c>
      <c r="B462" s="16" t="s">
        <v>51</v>
      </c>
      <c r="C462" s="16" t="s">
        <v>367</v>
      </c>
      <c r="D462" s="18"/>
      <c r="E462" s="19"/>
      <c r="F462" s="18"/>
      <c r="G462" s="17"/>
    </row>
    <row r="463" spans="1:9" s="14" customFormat="1" ht="15.75">
      <c r="A463" s="49"/>
      <c r="B463" s="50" t="s">
        <v>163</v>
      </c>
      <c r="C463" s="50"/>
      <c r="D463" s="51">
        <f>D12+D18+D53+D83+D95+D97+D99+D110+D113+D115+D384+D386+D391+D394+D396+D403+D406+D421+D423+D425+D429+D432+D446+D453+D455+D460</f>
        <v>238349878</v>
      </c>
      <c r="E463" s="51"/>
      <c r="F463" s="51">
        <f>F12+F18+F53+F83+F95+F97+F99+F110+F113+F115+F384+F386+F391+F394+F396+F403+F406+F421+F423+F425+F429+F432+F446+F453+F455+F460</f>
        <v>194923432.23</v>
      </c>
      <c r="G463" s="40">
        <f>G12+G18+G53+G83+G95+G97+G99+G110+G113+G115+G384+G386+G391+G394+G396+G403+G406+G421+G423+G425+G429+G432+G446+G453+G455+G460</f>
        <v>255126656</v>
      </c>
      <c r="H463" s="52">
        <f>'[1]Місто'!$K$518</f>
        <v>255126656</v>
      </c>
      <c r="I463" s="13">
        <f>H463-G463</f>
        <v>0</v>
      </c>
    </row>
    <row r="464" spans="1:7" ht="15">
      <c r="A464" s="53"/>
      <c r="B464" s="54"/>
      <c r="C464" s="54"/>
      <c r="D464" s="53"/>
      <c r="E464" s="53"/>
      <c r="F464" s="53"/>
      <c r="G464" s="64"/>
    </row>
    <row r="465" spans="1:7" ht="20.25">
      <c r="A465" s="53"/>
      <c r="B465" s="55" t="s">
        <v>164</v>
      </c>
      <c r="C465" s="54"/>
      <c r="D465" s="53"/>
      <c r="E465" s="53"/>
      <c r="F465" s="4" t="s">
        <v>165</v>
      </c>
      <c r="G465" s="64"/>
    </row>
  </sheetData>
  <sheetProtection selectLockedCells="1" selectUnlockedCells="1"/>
  <mergeCells count="7">
    <mergeCell ref="E3:F3"/>
    <mergeCell ref="A6:G6"/>
    <mergeCell ref="C9:C10"/>
    <mergeCell ref="D9:D10"/>
    <mergeCell ref="E9:E10"/>
    <mergeCell ref="F9:F10"/>
    <mergeCell ref="G9:G10"/>
  </mergeCells>
  <printOptions/>
  <pageMargins left="0.31496062992125984" right="0.31496062992125984" top="0.35433070866141736" bottom="0.35433070866141736" header="0" footer="0.5118110236220472"/>
  <pageSetup fitToHeight="41" fitToWidth="1" horizontalDpi="600" verticalDpi="600" orientation="landscape" paperSize="9" scale="8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2013-02-27T13:24:04Z</cp:lastPrinted>
  <dcterms:created xsi:type="dcterms:W3CDTF">2013-02-22T14:02:03Z</dcterms:created>
  <dcterms:modified xsi:type="dcterms:W3CDTF">2013-03-14T13:53:05Z</dcterms:modified>
  <cp:category/>
  <cp:version/>
  <cp:contentType/>
  <cp:contentStatus/>
</cp:coreProperties>
</file>