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0" windowWidth="17055" windowHeight="11040" activeTab="0"/>
  </bookViews>
  <sheets>
    <sheet name="3.1" sheetId="1" r:id="rId1"/>
    <sheet name="3.2" sheetId="2" r:id="rId2"/>
    <sheet name="Лист2" sheetId="3" r:id="rId3"/>
  </sheets>
  <definedNames>
    <definedName name="_xlnm.Print_Titles" localSheetId="0">'3.1'!$14:$14</definedName>
    <definedName name="_xlnm.Print_Titles" localSheetId="1">'3.2'!$6:$6</definedName>
    <definedName name="_xlnm.Print_Area" localSheetId="0">'3.1'!$A$1:$J$199</definedName>
    <definedName name="_xlnm.Print_Area" localSheetId="1">'3.2'!$A$1:$F$76</definedName>
  </definedNames>
  <calcPr fullCalcOnLoad="1"/>
</workbook>
</file>

<file path=xl/sharedStrings.xml><?xml version="1.0" encoding="utf-8"?>
<sst xmlns="http://schemas.openxmlformats.org/spreadsheetml/2006/main" count="779" uniqueCount="396">
  <si>
    <t>Виконано ІІ чергу реконструкції парку «Перемоги» в ході якої, встановлено панораму Бойової Слави, обладнано тротуарні доріжки, влаштовано майданчик для скейт-борду, обладнано зони відпочинку.</t>
  </si>
  <si>
    <t xml:space="preserve">Придбано кондиціонери </t>
  </si>
  <si>
    <t>Придбано комп"ютер та факс</t>
  </si>
  <si>
    <t>Капітальний ремонт дитячого майданчика по вул. Машинній</t>
  </si>
  <si>
    <t>Проведено капітальний ремонт  понтонів - 3 од.</t>
  </si>
  <si>
    <t>Влаштовано 318м2 тротуарної плитки, 160м поребрику, 2 опори освітлення, 1700м2 газону та висаджено 525 кущів та квітів</t>
  </si>
  <si>
    <t>Демонтовано 25м3 з/б фундаментів, влаштовано 98м2 тротуару з плитки, 150м поребрику та змонтовано 20 од. дитячих майданчиків</t>
  </si>
  <si>
    <t>Улаштовано 430м бордюру, укладено 2530м2 плитки, влаштовано 428,5м2 газону та висаджено 1654 кущів та квітів</t>
  </si>
  <si>
    <t>Виконано герметизацію швів - 1365м/п</t>
  </si>
  <si>
    <t xml:space="preserve">Частково виконано проектні роботи </t>
  </si>
  <si>
    <t>Виконано проектні роботи</t>
  </si>
  <si>
    <t>Виконано улаштування цегельної кладки - 34 м3, встановлено сходові площадки - 2 од.</t>
  </si>
  <si>
    <t>Виконано герметизацію швів - 5018м/п</t>
  </si>
  <si>
    <t>Встановлено підпірну стіну з блоків - 93шт., гідроізоляція стін - 177м2, ремонт вимощ.та тротуару - 525,8м2, ремонт проїзду -213 м2</t>
  </si>
  <si>
    <t xml:space="preserve">Виконано утеплення фасаду – 642 м2, ремонт балконів -2шт </t>
  </si>
  <si>
    <t>Встановлено лічильник ХВП -1шт, заміна трубопроводів -21,4м/п</t>
  </si>
  <si>
    <t>Виконано ремонт покрівлі - 860м2, заміна водост.труб - 25м/п, ремонт балконів -3 шт, прокл.трубопр. хвп -171м/п, опалення- 198м/п, встановл.лічильника ХВП -1шт</t>
  </si>
  <si>
    <t>Виконана прокладку трубопроводів - 20м/п, встановлення запірної армат. -30шт, встановлення обладнання інжен.комунікацій - 12 шт, монтаж ел. проводу-50м/п</t>
  </si>
  <si>
    <t xml:space="preserve">Проведено капітальний ремонт покрівлі будівлі виконкому та капітальний ремонт приміщення архіву. Здійснено заміну 11 старих вікон на пластикові віконні отвори. Проведено капітальний ремонт малої зали виконкому міської ради. Придбано ноутбуки - 2 шт., нетбук - 1 шт., сканер - 1 шт., сервер - 1 шт.,  2 кондиціонери, 12 одиниць техніки,  4 столи, 25 крісел, 1 прапор України. </t>
  </si>
  <si>
    <t>Придбано засоби для покращення матеріально-технічної бази закладу.</t>
  </si>
  <si>
    <t>Придбано спортобладнання  для ДЮСШ №4.</t>
  </si>
  <si>
    <t>Розроблено ПКД на 12 об’єктів. Виконано реконструкцію мереж зовнішнього освітлення на 3 об’єктах: вул. Пілотів, Задніпровська, Гудименка, вн.кв. вул. Бородінська, встановлено 87 од. нових світильників, прокладено 2,68 км самонесучого проводу (оплачено з міського бюджету за 2 об’єкта: вул. Пілотів, вн.кв. вул. Бородінська, на яких встановлено 40 од. нових світильників, прокладено 1,16 км самонесучого проводу)</t>
  </si>
  <si>
    <t>Жовтневий р-н ВСШ №12 - придбано багатофункціональне обладнання; Орджонікідзеквський р-н ВСШ №31 - придбано засоби для покращення матеріально-технічної бази закладу: ноутбук - од.,монітор 1 один.</t>
  </si>
  <si>
    <t>Придбано фетальний монітор - 2 шт.;  обладнання неонатальне для проведення фототерапії - 1шт.; опромінювач для верхнього підігріву для новонароджених - 3 шт.; сухожарова шафа - 1 шт.; спалювач голок і деструктор шприців - 1 шт.; повітряний стерилізатор - 1 шт. Проведено капітальний ремонт покрівлі  ЗОЗ "Пологовий будинок №3"</t>
  </si>
  <si>
    <t>Придбано ортопедичне пристосування, апарат ультразвукової діагностики, електрокардіографи - 8 шт., комплект гастроскопа, щільову лампу, ультрафіолетовий бокс для проведення лапароскопії, світильники операційні - 3 шт.; витяжні шафи - 2 шт.; інфузійні насоси - 2 шт.; ліжка для новонароджених - 10шт; холодильники - 8шт.; кондиціонери - 21 шт.; телевізор, 7 одиниць комп'ютерної техніки. Проведено капремонт відділення патології новонароджених, інфекційно-боксованого відділення та покрівлі Дитячої лікарні №1; капремонт поліклініки та монтаж лінії подачі стисненого повітря до апаратів "штучної вентиляції легенів" КУ "ЗМБДЛ №5"; капремонт сходів до лікарні, першого поверху і приймального відділення хірургічного корпусу КУ "МКЛЕтаШМД"</t>
  </si>
  <si>
    <t>Придбання телевізійної  журналістська станції та дизайн студії</t>
  </si>
  <si>
    <t>Зареєстровані зобов'язання</t>
  </si>
  <si>
    <t>Виконано заміну теплотраси довжиною 601,64м: заміна трубопроводу від ТК-219 до УТ-1, встановлено 10 кованих та 2 недвижимі опори</t>
  </si>
  <si>
    <t>Погашено заборгованість за виконані роботи з реконструкції магістральної теплової мережі. Об'єкт введено в експлуатацію</t>
  </si>
  <si>
    <t>Змонтовано 2 котли КОЛВИ-1000, 2 насосні підживлюючи станції, монтовано обладнання водопідготовки та вузол обліку газу</t>
  </si>
  <si>
    <t>Придбано 3 од. вакуумно-підметально-прибиральних машин Джонсон, 7 од. вантажно-пасажирських фургонів та 6 од. вантажних автомобілів для перевезення сміття</t>
  </si>
  <si>
    <t>Виконано заміну трубопроводу -78м/п, ремонт покрівлі козирків під"їздів -14м2, оздоблювальні роботи - 1362м2</t>
  </si>
  <si>
    <t>Виконано ізоляцію трубопроводів. -933м/п, прокладка  трубопроводів. -56,5м/п</t>
  </si>
  <si>
    <t>Виконано оздоблювальні роботи фасаду - 686 м2, ізоляція трубопроводів. - 40м/п, герметизація. швів - 529 м/п</t>
  </si>
  <si>
    <t>Виконано заміну комунікацій -169м/п, кладка внутр. стін-15 м3, улаштування. міжповерх. перекр.- 354м2, монтаж покрівельного покриття 492 м2, улаштування покрівлі 397 м2, улаштування підлоги - 465м кв, встановлено віконних та дверних блоків-24 м кв, ел.освітлення - 168 м/п, улашт.газ.трубопроводу- 105 м/п, встановлення газ.приладів-24 шт, внутр.оздоблювальні роботи-270 м2, благоустр.-102 м2</t>
  </si>
  <si>
    <t>Виконано монтаж вікон -2 шт, прокл.ел.проводу 125м/п, встановлено. ел.обладн - 27шт</t>
  </si>
  <si>
    <t xml:space="preserve">Виконано оздоблювальні роботи - 1180м2, рем.козирька під.- 24м2, встановлення вікон -47 шт </t>
  </si>
  <si>
    <t>Виконано заміну шпалер -64,2м2, оздоблювальні роботи - 180м2</t>
  </si>
  <si>
    <t xml:space="preserve">Виконано заміну трубопроводу -358,34м/п, заміна ел.мережі -342 м/п, рем.електрощитової-1шт, встановл.світильників -8шт, встановл.електролічил. - 10шт, встановлено. радіаторів -112шт </t>
  </si>
  <si>
    <t>Виконано облаштування термофасаду 274 кв.м, монтаж підвісної стелі 455,1 кв.м, замінено трубопровід  гарячого - 135 п.м та холодного - 82 п.м водопостачання,  встановлено електроводонагрівачів 4 шт.,  прокладено кабельних ліній 928 м, змонтовано світильників 110 шт.,  витяжних вентиляторів - 11 од. , фарбування стін 626,3 кв.м, облицювання стін 257 кв.м, оздоблення паркетного покриття 253,4 кв.м.</t>
  </si>
  <si>
    <t>Виконано електромонтажні роботи (встановлення окремого обліку), встановлення світильників 32 од.благоустрій території, збудовано 2 павільйони</t>
  </si>
  <si>
    <t xml:space="preserve">Виконано заміну внутрішніх мереж :  електромереж 6731 м, каналізації 630 п.м, 3 каналізаційних випуски, гарячого - 825 м та холодного водопостачання 254 п.м, вентиляції 472,5 п.м., встановлено металопластикових вікон  530 кв.м </t>
  </si>
  <si>
    <t>Влаштовано 210м зовнішніх мереж опалення та гарячого водопостачання, 133,2м зовнішньої каналізації; 1235м2 покрівлі, утеплено зовнішніх стін на 715м2; змонтовано 283м2 вікон та 70м2 дверей</t>
  </si>
  <si>
    <t>Виконувались проектні роботи, корегування проекту, експертиза</t>
  </si>
  <si>
    <t xml:space="preserve">Встановлена гранітна стела, облицьовано 55м2 основи біля стели. Влаштовано 99м огороджувального бордюру, 1992м2 тротуарної плитки, 420м2 газону та висаджено 430 кущів квітів </t>
  </si>
  <si>
    <t>Улаштовано 105м бордюру, 205м поребрику, 38м3 підпірної стінки, укладено 1300м2 плитки, влаштовано 1100м2 газону та висаджено 434 кущів та квітів</t>
  </si>
  <si>
    <t xml:space="preserve">Проводились роботи: ДНЗ №127 - замінено мережу опалення  96 п.м, холодного водопостачання 40 п.м. Центр розвитку дитини "Надія" - замінено  трубопроводи опалення 31п. м, холодного водопостачання  120 п.м, каналізаційні випуски 30 п.м.,  ремонт цоколю -  63 кв.м.  ДНЗ №285, №220 - проектні роботи, експертиза (зелені інвестиції). </t>
  </si>
  <si>
    <t>Виконано роботи: ЗНЗ №51 - проектні роботи, експертиза. ЗНЗ №58 - встановлено 9 од.  металопластикових вікон, ремонт спортзалу: фарбування стін 166 кв.м, стелі 444 кв.м.  ЗНЗ №84 - замінено  38,92 кв.м. вікон.  Гімназія  №47 - замінено трубопровід  опалення 1574,4 п.м.  ЗНЗ № 39 - ремонт шиферної покрівлі 888 кв.м.  ЗНЗ№75 - проектні роботи і експертиза (зелені інвестиції). ЦДЮТ Шевченківського району - обладнання приміщення центрального входу закладу. Придбано: комп'ютери 82 од., інтерактивна дошка 1 од., пральна машина 4 од., проектор  1 од.</t>
  </si>
  <si>
    <t>Придбано комп'ютери 5 одиниць</t>
  </si>
  <si>
    <t>Придбано комп'ютери 15 одиниць</t>
  </si>
  <si>
    <t>Придбано комп'ютери 6 одиниць, ноутбук - 7 од.,  принтер - 13 од.</t>
  </si>
  <si>
    <t>Придбано електрокардіограф - 2 шт.;  рентгенівську трубку - 1шт.; мікроскоп бінокулярний - 1 шт.; центрифугу лабораторну - 1 шт.; 7 одиниць комп'ютерної техніки; стерилізатор - 5 шт.; холодильник - 1 шт.; спліт-систему - 1 шт.;автомобіль - 1 шт. Проведено капітальний ремонт дитячого відділення та покрівлі рентген-кабінету КУ "Центральна поліклініка Жовтневого району"</t>
  </si>
  <si>
    <t xml:space="preserve">Погашення кредиторської заборгованості за 3 комп'ютери придбаних у попередні роки </t>
  </si>
  <si>
    <t>Придбано багатофункціональний пристрій, комп'ютери 3 од.</t>
  </si>
  <si>
    <t xml:space="preserve">Виконано проектні роботи з капітального ремонту будівлі Запорізького муніципального театру танцю та Запорізького театру-лабораторії "Ві". Придбано 2 диммашини, 2 телевізори, 1 муз.центр, 3 комп'ютери, 1 принтер, 2 монітори, 1 нетбук, 1 ноутбук , 1 прожекторне устаткування, 1 лічильник тепла </t>
  </si>
  <si>
    <t xml:space="preserve">Проведено заміну вікон у бібліотеках ім. М.Вовчок, В.Чубаря, С.Маршака. Виконано проектні роботи з проведення  капітальних ремонтів приміщень бібліотек "Джерело", ім. К. Великого, В. Маяковського, "Еврика". Придбано  5 проекторів, 2 проекційних екрани, 1 цифрова камера та фліпчарт </t>
  </si>
  <si>
    <t xml:space="preserve">Виконано коригування проектно-кошторисної документації з капітального ремонту Палацу культури "Хортицький". Придбано 2 мікшерні пульти, 1 підсилювач,1 акуст.система, 8 танцювальних костюмів, 8 пар танцювального взуття, 1 кондиціонер,1 монітор,1 ноутбук, 1 комп ютер, 1 відеопроектор, 1 проекційний екран </t>
  </si>
  <si>
    <t>Проведено заміну вікон у дитячій музичній школі № 8. Виконано проектні роботи з виконання капітальних ремонтів приміщень дитячих музичних шкіл № 3,6,8.</t>
  </si>
  <si>
    <t xml:space="preserve">Придбано  1 ноутбук, 1 інтерфейс, 1 акустична система, 1 радіосистема , 1 силовий мікшер </t>
  </si>
  <si>
    <t>Придбання зовнішньої та внутрішньої вивіски для дозвільного центру</t>
  </si>
  <si>
    <t>Капітальний ремонт нежитлового приміщення по вул. Мира, 5, оздоблювальні роботи стель -  173 м2, стін -  138 м2, улаштування стель -81 м2, перестінків 106 м2, наклейка шпалер-447 м2, улаштування підлоги-82 м2, ремонт підлоги 215 м2, встановлено. віконних та дверних блоків-  14 м2; вул.Сталеварів,19- проектні роботи; вул. Артема, 50-утеплення фасаду - 171,3 м2.  Виконано капремонт ж/буд.-7 буд, капремонт покрівель - 52 буд. площею 28261 м2, заміна електроплит - 5 шт., газових приладів -104шт., капремонт ліфтів-155 шт., відновлення систем димовидалення та пожежогасіння ж/б - 1сист., заміна інженер.мереж водо-, теплопостачання - 1322 м/п., капремонт об'єднаних диспетчерських систем -1 сист., капремонт ОСББ - 1 шт, капремонт ЖБК- 19 буд., улаштування. дитячих майданчиків - 69 шт.,  улаштування. дитячих майданчиків за рахунок депутатських коштів -11 шт</t>
  </si>
  <si>
    <t>Виготовлено 10 проектів та отримано 10 позитивних висновків експертизи. Відкориговані 2 проекти та отримано 1 позитивний висновок експертизи. Згідно з акцією «Чисте місто» додатково встановлено 431 од. урн для сміття на територіях районів</t>
  </si>
  <si>
    <t xml:space="preserve">Придбано службовий кабінет для керівника та комп'ютери - 2 од. </t>
  </si>
  <si>
    <t>Придбано багатофункціональний пристрій, комп'ютер, виконано капітальний ремонт двигуна легкового автомобіля</t>
  </si>
  <si>
    <t>Придбано  кондиціонери 2 од.</t>
  </si>
  <si>
    <t>Придбано спліт-систему кондиціювання, багатофункціональний пристрій - 2 од., комп'ютер</t>
  </si>
  <si>
    <t>Придбано кондинціонери - 2 од.</t>
  </si>
  <si>
    <t>Придбано та встановлено 3 од. гойдалки по вул. Суха, 49</t>
  </si>
  <si>
    <t>Виконано роботи з розробки ескізного проекту реконструкції парку "Дубовий гай"</t>
  </si>
  <si>
    <t>Виконано роботи з реконструкції електрозабезпечення КУ "Пологовий будинок № 4". Встановлено дизель-генератор потужністю 380/15 В/кВт. Об'єкт введено в експлуатацію</t>
  </si>
  <si>
    <t>ЗАТВЕРДЖЕНО</t>
  </si>
  <si>
    <t>Рішення міської ради</t>
  </si>
  <si>
    <t>до Звіту щодо виконання Програми економічного і соціального розвитку                                                                                   м. Запоріжжя за 2012 рік</t>
  </si>
  <si>
    <t xml:space="preserve">Перелік першочергових об'єктів будівництва, реконструкції та ліквідації аварійного стану об'єктів, видатки на які у 2012 році проводилися за рахунок коштів бюджету розвитку міста </t>
  </si>
  <si>
    <t xml:space="preserve">Перелік видатків,  які у 2012 році проводилися за рахунок коштів бюджету розвитку міста </t>
  </si>
  <si>
    <t>Перелік капітальних видатків, які у 2012 році  проводилися за рахунок коштів бюджету розвитку  міста</t>
  </si>
  <si>
    <t>Додаток 3</t>
  </si>
  <si>
    <t>Таблиця 3.1</t>
  </si>
  <si>
    <t>Таблиця 3.2</t>
  </si>
  <si>
    <t>25.02.2013 №4</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</si>
  <si>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</si>
  <si>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</si>
  <si>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</si>
  <si>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</si>
  <si>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</si>
  <si>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</si>
  <si>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Результативність впроваджених заходів (в кількісних та якісних показниках)</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</si>
  <si>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</si>
  <si>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</si>
  <si>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Капітальні вкладення</t>
  </si>
  <si>
    <t>Магістральна теплова мережа по вул. Артема, м.Запоріжжя - реконструкція</t>
  </si>
  <si>
    <t>Завершено роботи з реконструкції теплової мережі довжиною 176 п.м. по вул. Артема</t>
  </si>
  <si>
    <t>Наприклад</t>
  </si>
  <si>
    <t xml:space="preserve">Перелік видатків,  які у 2012 році  проводилися за рахунок коштів бюджету розвитку міста </t>
  </si>
  <si>
    <t>Затверджені видатки на 2012 рік</t>
  </si>
  <si>
    <t>Профінансовано станом на 01.01.2013</t>
  </si>
  <si>
    <t>Проведено капітальний ремонт будівлі загальноосвітніх закладів №42,49,47,81,97 та гімназії №2</t>
  </si>
  <si>
    <t xml:space="preserve">Загальноосвітні школи (в т.ч. школа-дитячий садок, інтернат при школі), спеціалізовані школи, ліцеї, гімназії, колегіуми </t>
  </si>
  <si>
    <t>Капітальні видатки</t>
  </si>
  <si>
    <t>грн.</t>
  </si>
  <si>
    <t>070201</t>
  </si>
  <si>
    <t>ВСЬОГО</t>
  </si>
  <si>
    <t>Всього</t>
  </si>
  <si>
    <t>Департамент економічного розвитку Запорізької міської ради</t>
  </si>
  <si>
    <t>Будівництво автотранспортної магістралі через р. Дніпро у м.Запоріжжя - погашення заборгованості за минулі роки</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</si>
  <si>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</si>
  <si>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</si>
  <si>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Будівництво водогону технічної води в Хортицькому житловому масиві, м. Запоріжжя (проектні роботи та експертиза)</t>
  </si>
  <si>
    <t>Газифікація житлових будинків по вул. Воєнбуд м.Запоріжжя</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</si>
  <si>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</si>
  <si>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м.Запоріжжя - реконструкція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</si>
  <si>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</si>
  <si>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</si>
  <si>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</si>
  <si>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</si>
  <si>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</si>
  <si>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Виготовлення проектно-кошторисної документації та проведення експертизи проектів</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</si>
  <si>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</si>
  <si>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</si>
  <si>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</si>
  <si>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</si>
  <si>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</si>
  <si>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</si>
  <si>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</si>
  <si>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</si>
  <si>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</si>
  <si>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</si>
  <si>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</si>
  <si>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</si>
  <si>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</si>
  <si>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 xml:space="preserve">Будівництво І черги та введення в експлуатацію Кушугумського кладовища </t>
  </si>
  <si>
    <t>Будівництво  інженерних мереж до льодової арени по вул. Космічній, м. Запоріжжя - погашення заборгованості за минулі роки</t>
  </si>
  <si>
    <t>Реконструкція парку   «Перемоги» в м. Запоріжжя (ІІ черга)</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</si>
  <si>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</si>
  <si>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</si>
  <si>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</si>
  <si>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</si>
  <si>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Ліквідація аварійного стану автодороги, зливової та побутової каналізації по вул. М.Судця, м. Запоріжжя</t>
  </si>
  <si>
    <t>Реконструкція автодороги Запоріжжя-Підпорожнянка в районі шлакових відвалів ВАТ "Запоріжсталь" (проектні роботи)</t>
  </si>
  <si>
    <t>Реконструкція вул.Рекордної від вул. Портова до вул.Алюмінева (проектні роботи)</t>
  </si>
  <si>
    <t>Реконструкція вул. Рекордної, м. Запоріжжя (проектні та будівельні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</si>
  <si>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</si>
  <si>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</si>
  <si>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Ліквідація аварійного стану на дорожній насипі проїзної частини дороги по вул. Перемоги (в р-ні міської лікарні №6) (проектні роботи,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</si>
  <si>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</si>
  <si>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</si>
  <si>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</si>
  <si>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Реконструкція дороги по вул.Верхній в районі КНС-38 (проектні та будівельні роботи) - погашення заборгованості за минулі роки</t>
  </si>
  <si>
    <t>Реконструкція бульвару Будівельників в Хортицькому районі м. Запоріжжя</t>
  </si>
  <si>
    <t>Реконструкція скидного зливового колектору в районі насосної станції № 29 в Хортицькому районі (проектні роботи, експертиза)</t>
  </si>
  <si>
    <t>Будівництво водогону Д=315 мм по вул.Сапожнікова, м.Запоріжжя</t>
  </si>
  <si>
    <t>Котельня по вул. Панфьорова, 146а - технічне переоснащення</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</si>
  <si>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</si>
  <si>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</si>
  <si>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</si>
  <si>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</si>
  <si>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</si>
  <si>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Політехнічна (проектні роботи)</t>
  </si>
  <si>
    <t>Будівництво мереж зовнішнього освітлення вулиці Початкова (проектні роботи)</t>
  </si>
  <si>
    <t>Будівництво мереж зовнішнього освітлення  пров.Кедровий (проектні роботи)</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</si>
  <si>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</si>
  <si>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</si>
  <si>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</si>
  <si>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</si>
  <si>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</si>
  <si>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</si>
  <si>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Харчова - вул. Виробнича - пров. Куп"янський  (проектні роботи)</t>
  </si>
  <si>
    <t>Будівництво зливової каналізації по вул. Челябінській (в районі буд. № 5) (проектні роботи)</t>
  </si>
  <si>
    <t>Будівництво мереж зовнішнього освітлення прибудинкової території будинку № 13 по бул. Бельфорському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</si>
  <si>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 Запоріжжі (проектні роботи, експертиза)</t>
  </si>
  <si>
    <t>Будівництво світлофорного об'єкту на перехресті вул. Сєдова - виїзд з 7 медчастини</t>
  </si>
  <si>
    <t>Будівництво світлофорного об'єкту на перехресті вул. Гоголя - вул. Комунарівська</t>
  </si>
  <si>
    <t>Будівництво світлофорного об'єкту на перехресті вул.Леппіка - вул. Дзержинського</t>
  </si>
  <si>
    <t>Реконструкція вул. Кірова, Чекістів до Прибережної магістралі в м. Запоріжжя (проектні та будівельні роботи)</t>
  </si>
  <si>
    <t>Реконструкція дороги та зливової системи каналізації по вул. Шевченка від вул. 8 Березня до вул. Солідарності (проектні роботи)</t>
  </si>
  <si>
    <t>Реконструкція тротуару по вул. Новокузнецькій (непарна сторона) (проектні роботи, експертиза)</t>
  </si>
  <si>
    <t>Реконструкція Прибрежної магістралі від вул. Сергія Тюленіна до вул. Луначарського, м.Запоріжжя (проектні роботи)</t>
  </si>
  <si>
    <t>Реконструкція частини центральної пішохідної алеї по пр. Ювілейному в м. Запоріжжі (проектні роботи, експертиза)</t>
  </si>
  <si>
    <t>Установка літака МІГ-25 з облаштуванням прилеглої території в парку "Перемоги", м. Запоріжжя (проектні роботи, експертиза)</t>
  </si>
  <si>
    <t>Реконструкція скверу ім. 60-річчя СРСР в м. Запоріжжі (ескізний проект)</t>
  </si>
  <si>
    <t>Реконструкція інженерних мереж на перехресті пр. Леніна та пр. Металургів (проектні роботи, експертиза)</t>
  </si>
  <si>
    <t>Внески органів місцевого самоврядування у статутні фонди суб'єктів підприємницької діяльності</t>
  </si>
  <si>
    <t xml:space="preserve">Внески у статутні фонди комунальних підприємств міста (придбання спеціальної техніки та мобільних туалетних кабін (біотуалетів) </t>
  </si>
  <si>
    <t>Внески у статутні фонди комунальних підприємств міста (придбання спеціальної техніки) - погашення заборгованості за минулі роки</t>
  </si>
  <si>
    <t>Департамент житлового господарства та розподілу житлової площі Запорізької міської ради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</si>
  <si>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</si>
  <si>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</si>
  <si>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</si>
  <si>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</si>
  <si>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</si>
  <si>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</si>
  <si>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</si>
  <si>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</si>
  <si>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</si>
  <si>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будівлі по вул. 40 років Радянської України, 41а </t>
  </si>
  <si>
    <t>Житловий будинок № 149 по вул. Гоголя ІІ корпус - реконструкція нежитлового приміщення в житлове</t>
  </si>
  <si>
    <t xml:space="preserve">Ліквідація аварійного стану житлового будинку по вул.Ракетній, 38а </t>
  </si>
  <si>
    <t>Реконструкція системи водовідведення від житлового будинку по вул. Узбекистанській,1 м. Запоріжжя</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</si>
  <si>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</si>
  <si>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</si>
  <si>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</si>
  <si>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Вінтера,50 - реконструкція  </t>
  </si>
  <si>
    <t xml:space="preserve">Житловий будинок по вул.Аваліані,1а - реконструкція  </t>
  </si>
  <si>
    <t xml:space="preserve">Житловий будинок по вул. 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</si>
  <si>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</si>
  <si>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</si>
  <si>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системи диспетчеризації ліфтового господарства в Комунарському районі м. Запоріжжя</t>
  </si>
  <si>
    <t>Реконструкція контейнерного майданчика по вул. Матросова, 24</t>
  </si>
  <si>
    <t>Реконструкція контейнерного майданчика по вул. Матросова, 25</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</si>
  <si>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</si>
  <si>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</si>
  <si>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</si>
  <si>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</si>
  <si>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80</t>
  </si>
  <si>
    <t>Реконструкція контейнерного майданчика по вул. Патріотична, 64б</t>
  </si>
  <si>
    <t>Реконструкція контейнерного майданчика по пр. Леніна,133</t>
  </si>
  <si>
    <t>Реконструкція контейнерного майданчика по вул. Перемоги, 22</t>
  </si>
  <si>
    <t>Реконструкція контейнерного майданчика по бул. Шевченко, 42</t>
  </si>
  <si>
    <t>Реконструкція контейнерного майданчика по вул. Тбіліська, 9</t>
  </si>
  <si>
    <t>Житлове будівництво та придбання житла для окремих категорій населення</t>
  </si>
  <si>
    <t>Придбання квартир для окремих категорій населення</t>
  </si>
  <si>
    <t>Внески у статутні фонди комунальних підприємств міста (придбання спеціальної техніки)</t>
  </si>
  <si>
    <t>Департамент освіти і науки, молоді та спорту Запорізької міської ради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</si>
  <si>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</si>
  <si>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</si>
  <si>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 109  по вул.Дніпровські пороги,29 м. Запоріжжя</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</si>
  <si>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</si>
  <si>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</si>
  <si>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</si>
  <si>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</si>
  <si>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</si>
  <si>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будівлі дошкільного навчального закладу №144 Комунарського району (проектні та будівельні роботи)</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</si>
  <si>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</si>
  <si>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Палацу спорту "Юність" в м. Запоріжжя (проектні роботи)</t>
  </si>
  <si>
    <t>Будівництво спортивного комплексу по пр. 40-річчя Перемоги, 59 (проектні роботи та експертиза)</t>
  </si>
  <si>
    <t>Реконструкція будівлі дошкільного навчального закладу № 186 по вул. 12 Квітня, 2а (проектні роботи і експертиза)</t>
  </si>
  <si>
    <t>Будівництво дитячого садку по вул. Дорошенка м.Запоріжжя (проектні роботи і експертиза)</t>
  </si>
  <si>
    <t>Прибудова до загальноосвітньої школи І-ІІІ ступенів № 104 по вул. Кремлівська, 65в Ленінського району - будівництво (проектні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</si>
  <si>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</si>
  <si>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</si>
  <si>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</si>
  <si>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</si>
  <si>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</si>
  <si>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</si>
  <si>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</si>
  <si>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</si>
  <si>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</si>
  <si>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Комунальна установа «6-та міська клінічна лікарня» - реконструкція котельної із заміною котлів (проектні та будівельні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</si>
  <si>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</si>
  <si>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</si>
  <si>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</si>
  <si>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</si>
  <si>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</si>
  <si>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</si>
  <si>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</si>
  <si>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 xml:space="preserve">Комунальна установа "Центральна лікарня Орджонікідзеського району" по бул. Шевченко, 25 м. Запоріжжя - реконструкція </t>
  </si>
  <si>
    <t xml:space="preserve">Комунальна установа «Міська клінічна лікарня екстреної та швидкої медичної допомоги м. Запоріжжя» -  реконструкція 3-го хірургічного відділення </t>
  </si>
  <si>
    <t>Управління соціального захисту населення Запорізької міської ради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</si>
  <si>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</si>
  <si>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Реконструкція будівлі міського геріатричного стаціонару по вул. Кузнєцова, 28а (проектні та будівельні роботи)</t>
  </si>
  <si>
    <t>Реконструкція будівлі по вул. Таганська, 8 під соціальний готель (проектні роботи та експертиза)</t>
  </si>
  <si>
    <t>Управління культури і мистецтв Запорізької міської ради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</si>
  <si>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</si>
  <si>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03</t>
  </si>
  <si>
    <t>Виконавчий комітет міської ради</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</si>
  <si>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</si>
  <si>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Будівництво систем відеоспостереження у місцях масового перебування громадян (проектні та будівельні роботи)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</si>
  <si>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</si>
  <si>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t>
  </si>
  <si>
    <t>Районна адміністрація Запорізької міської ради по Жовтневому району</t>
  </si>
  <si>
    <t>Реконструкція  центральної алеї парку "Дубовий гай" в м.Запоріжжя</t>
  </si>
  <si>
    <t>Розробка ескізного проекту реконструкції парку "Дубовий гай"</t>
  </si>
  <si>
    <t xml:space="preserve">Реконструкція площі Театральної зі спорудженням пам"ятника Т.Г. Шевченку в м. Запоріжжя (проектні роботи та експертиза) </t>
  </si>
  <si>
    <t>Реконструкція скверу "Прикордонників" з встановленням стели в м. Запоріжжя</t>
  </si>
  <si>
    <t>Районна адміністрація Запорізької міської ради по Орджонікідзевському району</t>
  </si>
  <si>
    <t>Реконструкція  пам'ятника "Металургам" в м. Запоріжжя (проектні та будівельні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</si>
  <si>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</si>
  <si>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Реконструкція зовнішнього освітлення в районі вул. Правда - вул. Чубаря, м.Запоріжжя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</si>
  <si>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</si>
  <si>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</si>
  <si>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Районна адміністрація Запорізької міської ради по Заводському району</t>
  </si>
  <si>
    <t>Реконструкція скверу прилеглого до  ПК "Заводський" з влаштуванням дитячого майданчика (проектні та будівельні роботи)</t>
  </si>
  <si>
    <t>Управління з питань попередження надзвичайних ситуацій та цивільного захисту населення Запорізької міської ради</t>
  </si>
  <si>
    <t>Видатки на запобігання та ліквідацію надзвичайних ситуацій та наслідків стихійного лиха</t>
  </si>
  <si>
    <t>Управління з питань транспортного забезпечення та зв'язку Запорізької міської ради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</si>
  <si>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</si>
  <si>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</si>
  <si>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модернізація контактної мережі міського електротранспорту та придбання обладнання для реконструкції контактної мережі міського електротранспорту</t>
  </si>
  <si>
    <t>(тис.грн.)</t>
  </si>
  <si>
    <t>Видатки на 2012 рік</t>
  </si>
  <si>
    <t>010116</t>
  </si>
  <si>
    <t>Органи місцевого самоврядування</t>
  </si>
  <si>
    <t>капітальні видатки</t>
  </si>
  <si>
    <t>Інші видатки</t>
  </si>
  <si>
    <t>070101</t>
  </si>
  <si>
    <t>Дошкільні заклади освіти</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</si>
  <si>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</si>
  <si>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</si>
  <si>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</si>
  <si>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</si>
  <si>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</si>
  <si>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</si>
  <si>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</si>
  <si>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</si>
  <si>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</si>
  <si>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</si>
  <si>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130107</t>
  </si>
  <si>
    <t>Утримання та навчально-тренувальна робота дитячо-юнацьких спортивних шкіл</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</si>
  <si>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</si>
  <si>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</si>
  <si>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</si>
  <si>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</si>
  <si>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</si>
  <si>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</si>
  <si>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</si>
  <si>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</si>
  <si>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</si>
  <si>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081004</t>
  </si>
  <si>
    <t>Централізовані бухгалтерії</t>
  </si>
  <si>
    <t>091204</t>
  </si>
  <si>
    <t>Територіальні центри і відділення соціальної допомоги на дому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</si>
  <si>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</si>
  <si>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</si>
  <si>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</si>
  <si>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</si>
  <si>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</si>
  <si>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</si>
  <si>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</si>
  <si>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</si>
  <si>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</si>
  <si>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</si>
  <si>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</si>
  <si>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</si>
  <si>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</si>
  <si>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</si>
  <si>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</si>
  <si>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</si>
  <si>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Управління реєстрації та єдиного реєстру Запорізької міської ради</t>
  </si>
  <si>
    <t>100102</t>
  </si>
  <si>
    <t>Капітальний ремонт житлового фонду місцевих органів ради</t>
  </si>
  <si>
    <t>250404</t>
  </si>
  <si>
    <t>100203</t>
  </si>
  <si>
    <t>Благоустрій міста</t>
  </si>
  <si>
    <t>Департамент комунальної власності та приватизації Запорізької міської ради</t>
  </si>
  <si>
    <t>Телебачення і радіомовлення</t>
  </si>
  <si>
    <t>75</t>
  </si>
  <si>
    <t>Департамент фінансової та бюджетної політики Запорізької міської ради</t>
  </si>
  <si>
    <t>Районна адміністрація Запорізької міської ради по Ленінському району</t>
  </si>
  <si>
    <t>Районна адміністрація Запорізької міської ради по Шевченківському району</t>
  </si>
  <si>
    <t>Районна адміністрація Запорізької міської ради по Комунарському району</t>
  </si>
  <si>
    <t>Секретар міської ради</t>
  </si>
  <si>
    <t>Р.О. Таран</t>
  </si>
  <si>
    <t>Реконструкція пр. Леніна на ділянці від вул. Кірова до залізничній станції «Запоріжжя-1» (ділянка від вул. Кірова до вул. Космічної)</t>
  </si>
  <si>
    <t>Виготовлено проектно-кошторисну документацію та проведено експертизу проекту.</t>
  </si>
  <si>
    <t>Фінансування не здійснювалось</t>
  </si>
  <si>
    <t>Придбано багатофункціональний пристрій</t>
  </si>
  <si>
    <t>Придбано два дитячих майданчика по вул. Т.Бульби, 14 та по вул. Ладозька "Сквер Чорнобильців"</t>
  </si>
  <si>
    <t>Придбано кондиціонер та копіювальний апарат для забезпечення роботи виборчих комісій</t>
  </si>
  <si>
    <t>Придбано 151 одиниць комп'ютерної техніки</t>
  </si>
  <si>
    <t>Проведено капітальний ремонт покрівлі будинку інваліда Великої Вітчизняної війни 1 групи Скрипки П.Д. за адресою: вул.Фінальна, 47а площею 21 кв.м</t>
  </si>
  <si>
    <t xml:space="preserve">Проведено капітальний ремонт покрівлі по вул.Парамонова,11 Запорізького міського територіального центру соціального обслуговування (надання соціальних послуг) на 1156 кв.м. Придбано телевізор-5шт., інгалятор-1шт., опромінювач-1шт., холодильник-2шт., морозильна камера-2шт., зонт витяжний-2шт., ванна миюча кухонна-3шт., ванна миюча-1шт., підтоварник-2шт., візок-2шт., мармурова столешниця-1шт., м'який куток-1шт., диван-3шт., крісло м'яке-6шт., кушетка процедурна-7шт., столик для мед.інвентарю-1шт., шафа медична-1шт., ліжко-36шт., ваги-2шт., м'ясорубка-1шт., шафа холодильна-1шт., машина пральна-1шт., машина сушильна-1шт., каток гладильний-1шт., комп'ютер-5шт., ноутбук-1шт.         </t>
  </si>
  <si>
    <t>Завершено роботи з реконструкції будівлі міського геріатричного стаціонару по вул. Кузнєцова, 28а</t>
  </si>
  <si>
    <t>Розроблено проектно-кошторисну документацію з реконструкції будівлі по вул. Таганській,8 під соціальний готель.</t>
  </si>
  <si>
    <t>Виконано роботи з заміни зовнішніх мереж водоводу - 96 п.м, водовідведення - 190 м,  встановлено віконні блоки - 6 од., реконструкція покрівлі - 699 кв.м, улаштування зовнішнього освітлення, встановлено 31 од. світильників</t>
  </si>
  <si>
    <t>Частково виконано експертизу проектно-кошторисної документації</t>
  </si>
  <si>
    <t>Виконано корегування проектної документації згідно отриманих технічних умов</t>
  </si>
  <si>
    <t xml:space="preserve">Виконано коригування проектно-кошторисної документації </t>
  </si>
  <si>
    <t xml:space="preserve">Виконано роботи з фарбування фасаду  1108 кв.м, замінено: 65 од. вікон, 1 дверь, ремонт підлоги з заміною лінолеуму 108 кв.м </t>
  </si>
  <si>
    <t>Частково виконано проектні роботи</t>
  </si>
  <si>
    <t>Будівництво однієї системи відеоспостереження  в Запорізькому окружному суді по вул.Кремлівській, 65в (12 стаціонарних камер та 1 сервер відеозахвату), у зв'язку із чим здійснено попередження скоєння правопорушень ще на одному об'єкті м.Запоріжжя</t>
  </si>
  <si>
    <t>Погашення заборгованості за виконані роботи з реконструкції системи пожежної сигналізації АБК стадіону "Славутич Арена"</t>
  </si>
  <si>
    <t>Виконано капремонт ж/буд.-7 буд, капремонт покрівель - 52 буд. площею 28261 м2, заміну електроплит - 5 шт., заміну газових приладів -104шт., капремонт ліфтів-155 шт., відновлено систему димовидалення та пожежогасіння ж/б, заміну інженерних мереж водо-, теплопостачання - 1322 м/п., капремонт об'єднаних диспетчерських систем -1 сист., капремонт ОСББ - 1 шт., встановлено 69 шт.  дитячих майданчиків, капремонт ЖБК- 19 буд., встановлено 11 шт. дитячих майданчиків за рахунок депутатських коштів.</t>
  </si>
  <si>
    <t>Надання цільової фінансової підтримки на первинні внески для отримання іпотечного житла</t>
  </si>
  <si>
    <t>Згідно з акцією «Чисте місто» встановлено 6 мобільних туалетних кабінок з підключенням до централізованої водопровідно-каналізаційної системи</t>
  </si>
  <si>
    <t>Погашення заборгованості за минулі роки за придбання спеціальної техніки для СКП "Запорізька ритуальна служба"</t>
  </si>
  <si>
    <t>Погашення заборгованості за минулі роки за придбання спеціальної техніки для КП "Титан"</t>
  </si>
  <si>
    <t>Погашення заборгованості за минулі роки за придбання спеціальної техніки для КП електромереж зовнішнього освітлення "Запоріжміськсвітло"</t>
  </si>
  <si>
    <t>Введено в експлуатацію І етап: - хлоратори - 6шт., система нейтралізації хлору та гашення хлорної волни</t>
  </si>
  <si>
    <t>Введено в експлуатацію: довжина газопроводу - 34м, загальна потужність котельні 2268кВт</t>
  </si>
  <si>
    <t xml:space="preserve">Введено в експлуатацію: автодорога - 13875,58м2, трамвайна колія - 518м, контактна мережа трамваю та тролейбусу - 348,5м, встановлено 130 світильників </t>
  </si>
  <si>
    <t>Введено в дію перша ділянка трубопроводу - 1710м, влаштовано 7 колодязів та 3 камери</t>
  </si>
  <si>
    <t>Виконана реконструкція оперблоку з улаштуванням допоміжних приміщень та сестринських площею 387,2м2, змонтовано 39,48м2 дверей та 61,02м2 вікон</t>
  </si>
  <si>
    <t>Замінено внутрішню систему холодного та гарячого водопостачання, 120м зовнішньої мережі каналізації, виконано утеплення фасаду будівлі (900м2)</t>
  </si>
  <si>
    <t>Виконано реконструкція кабінетів на 4-х поверхах, лабораторії та сходової клітини; 600м2 покрівлі та внутрішня система опалення</t>
  </si>
  <si>
    <t>Виконано демонтажні роботи, влаштовано 50м2 перетинок, пофарбовано 50м2 вікон, 60м2 дверей, 750м2 стін та 137м2 стелі</t>
  </si>
  <si>
    <t>Виконано роботи з перепланування приміщень, замінено 34 вікна, пофарбовано 462,14м2 стелі, 958,7м2 стін, влаштовано 446,09м2 підлоги</t>
  </si>
  <si>
    <t>Демонтовано 150 опор. Змонтовано 30 опор зовнішнього освітлення із світильниками. Укладено 793м кабелю</t>
  </si>
  <si>
    <t>Виконувались проектні роботи</t>
  </si>
  <si>
    <t>Погашено заборгованість минулих років</t>
  </si>
  <si>
    <t>Погашено заборгованість минулих років. Об"єкт введено в експлуатацію</t>
  </si>
  <si>
    <t>Встановлено та впроваджено додаткову систему відеоспостереження</t>
  </si>
  <si>
    <r>
      <t>Виконано винесення лінії ВЛ-0,38кВт (170м), влаштовано корито та підстилаючий шар із шлаку 1175м</t>
    </r>
    <r>
      <rPr>
        <vertAlign val="superscript"/>
        <sz val="14"/>
        <rFont val="Times New Roman"/>
        <family val="1"/>
      </rPr>
      <t>2</t>
    </r>
    <r>
      <rPr>
        <sz val="14"/>
        <rFont val="Times New Roman"/>
        <family val="1"/>
      </rPr>
      <t xml:space="preserve">, влаштовано 170м бордюру </t>
    </r>
  </si>
  <si>
    <t>Виконувались проектні роботи та експертиза</t>
  </si>
  <si>
    <t>Проведено експертизу проекту</t>
  </si>
  <si>
    <t>Погашено заборгованість за минулі роки.</t>
  </si>
  <si>
    <t>Виконувались проектні роботи, експертиза</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</si>
</sst>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00"/>
    <numFmt numFmtId="174" formatCode="#,##0.0"/>
    <numFmt numFmtId="175" formatCode="#,##0.000"/>
    <numFmt numFmtId="176" formatCode="#,##0.0000"/>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Red]#,##0.00"/>
    <numFmt numFmtId="183" formatCode="_-* #,##0\ &quot;грн.&quot;_-;\-* #,##0\ &quot;грн.&quot;_-;_-* &quot;-&quot;\ &quot;грн.&quot;_-;_-@_-"/>
    <numFmt numFmtId="184" formatCode="_-* #,##0\ _г_р_н_._-;\-* #,##0\ _г_р_н_._-;_-* &quot;-&quot;\ _г_р_н_._-;_-@_-"/>
    <numFmt numFmtId="185" formatCode="_-* #,##0.00\ &quot;грн.&quot;_-;\-* #,##0.00\ &quot;грн.&quot;_-;_-* &quot;-&quot;??\ &quot;грн.&quot;_-;_-@_-"/>
    <numFmt numFmtId="186" formatCode="_-* #,##0.00\ _г_р_н_._-;\-* #,##0.00\ _г_р_н_._-;_-* &quot;-&quot;??\ _г_р_н_._-;_-@_-"/>
    <numFmt numFmtId="187" formatCode="0.00;[Red]0.00"/>
    <numFmt numFmtId="188" formatCode="#,##0;[Red]#,##0"/>
    <numFmt numFmtId="189" formatCode="#,##0.000000"/>
    <numFmt numFmtId="190" formatCode="0.0000"/>
    <numFmt numFmtId="191" formatCode="0.00000"/>
    <numFmt numFmtId="192" formatCode="#&quot; &quot;##0.000"/>
  </numFmts>
  <fonts count="37">
    <font>
      <sz val="11"/>
      <color indexed="8"/>
      <name val="Calibri"/>
      <family val="2"/>
    </font>
    <font>
      <sz val="10"/>
      <name val="Arial Cyr"/>
      <family val="0"/>
    </font>
    <font>
      <sz val="14"/>
      <name val="Times New Roman"/>
      <family val="1"/>
    </font>
    <font>
      <b/>
      <sz val="14"/>
      <name val="Times New Roman"/>
      <family val="1"/>
    </font>
    <font>
      <sz val="14"/>
      <color indexed="8"/>
      <name val="Times New Roman"/>
      <family val="1"/>
    </font>
    <font>
      <sz val="10"/>
      <name val="Arial"/>
      <family val="2"/>
    </font>
    <font>
      <b/>
      <sz val="14"/>
      <color indexed="8"/>
      <name val="Times New Roman"/>
      <family val="1"/>
    </font>
    <font>
      <sz val="16"/>
      <name val="Times New Roman"/>
      <family val="1"/>
    </font>
    <font>
      <b/>
      <sz val="16"/>
      <name val="Times New Roman"/>
      <family val="1"/>
    </font>
    <font>
      <sz val="12"/>
      <name val="Times New Roman"/>
      <family val="1"/>
    </font>
    <font>
      <sz val="10"/>
      <name val="Times New Roman"/>
      <family val="1"/>
    </font>
    <font>
      <sz val="11"/>
      <name val="Times New Roman"/>
      <family val="1"/>
    </font>
    <font>
      <vertAlign val="superscript"/>
      <sz val="14"/>
      <name val="Times New Roman"/>
      <family val="1"/>
    </font>
    <font>
      <sz val="11"/>
      <color indexed="8"/>
      <name val="Times New Roman"/>
      <family val="1"/>
    </font>
    <font>
      <sz val="18"/>
      <name val="Times New Roman"/>
      <family val="1"/>
    </font>
    <font>
      <sz val="20"/>
      <name val="Times New Roman"/>
      <family val="1"/>
    </font>
    <font>
      <sz val="15"/>
      <name val="Times New Roman"/>
      <family val="1"/>
    </font>
    <font>
      <b/>
      <sz val="20"/>
      <name val="Times New Roman"/>
      <family val="1"/>
    </font>
    <font>
      <b/>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u val="single"/>
      <sz val="1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5" fillId="0" borderId="0">
      <alignment/>
      <protection/>
    </xf>
    <xf numFmtId="0" fontId="5" fillId="0" borderId="0">
      <alignment/>
      <protection/>
    </xf>
    <xf numFmtId="0" fontId="1" fillId="0" borderId="0">
      <alignment/>
      <protection/>
    </xf>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1" fillId="0" borderId="0" applyFont="0" applyFill="0" applyBorder="0" applyAlignment="0" applyProtection="0"/>
    <xf numFmtId="0" fontId="34" fillId="4" borderId="0" applyNumberFormat="0" applyBorder="0" applyAlignment="0" applyProtection="0"/>
  </cellStyleXfs>
  <cellXfs count="194">
    <xf numFmtId="0" fontId="0" fillId="0" borderId="0" xfId="0"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xf>
    <xf numFmtId="174" fontId="2" fillId="24" borderId="10" xfId="0" applyNumberFormat="1" applyFont="1" applyFill="1" applyBorder="1" applyAlignment="1">
      <alignment horizontal="center" vertical="center" wrapText="1"/>
    </xf>
    <xf numFmtId="4" fontId="2" fillId="24" borderId="10" xfId="0" applyNumberFormat="1" applyFont="1" applyFill="1" applyBorder="1" applyAlignment="1">
      <alignment horizontal="center" vertical="center"/>
    </xf>
    <xf numFmtId="0" fontId="2" fillId="24" borderId="10" xfId="54" applyFont="1" applyFill="1" applyBorder="1" applyAlignment="1">
      <alignment horizontal="left" vertical="center" wrapText="1"/>
      <protection/>
    </xf>
    <xf numFmtId="0" fontId="2" fillId="24" borderId="10" xfId="0" applyFont="1" applyFill="1" applyBorder="1" applyAlignment="1">
      <alignment horizontal="left" vertical="center" wrapText="1"/>
    </xf>
    <xf numFmtId="3" fontId="2" fillId="24" borderId="10" xfId="54" applyNumberFormat="1" applyFont="1" applyFill="1" applyBorder="1" applyAlignment="1">
      <alignment horizontal="center" vertical="center" wrapText="1"/>
      <protection/>
    </xf>
    <xf numFmtId="4" fontId="2" fillId="24" borderId="10" xfId="54" applyNumberFormat="1" applyFont="1" applyFill="1" applyBorder="1" applyAlignment="1">
      <alignment horizontal="center" vertical="center" wrapText="1"/>
      <protection/>
    </xf>
    <xf numFmtId="4" fontId="2" fillId="24" borderId="10" xfId="0" applyNumberFormat="1" applyFont="1" applyFill="1" applyBorder="1" applyAlignment="1">
      <alignment horizontal="left" vertical="center" wrapText="1"/>
    </xf>
    <xf numFmtId="3" fontId="2" fillId="24" borderId="10" xfId="54" applyNumberFormat="1" applyFont="1" applyFill="1" applyBorder="1" applyAlignment="1">
      <alignment vertical="center" wrapText="1"/>
      <protection/>
    </xf>
    <xf numFmtId="49" fontId="2" fillId="24" borderId="10" xfId="54" applyNumberFormat="1" applyFont="1" applyFill="1" applyBorder="1" applyAlignment="1">
      <alignment horizontal="center" vertical="center" wrapText="1"/>
      <protection/>
    </xf>
    <xf numFmtId="0" fontId="4" fillId="0" borderId="0" xfId="0" applyFont="1" applyAlignment="1">
      <alignment/>
    </xf>
    <xf numFmtId="0" fontId="3" fillId="0" borderId="10" xfId="0" applyFont="1" applyFill="1" applyBorder="1" applyAlignment="1">
      <alignment horizontal="center" vertical="center" wrapText="1"/>
    </xf>
    <xf numFmtId="0" fontId="4" fillId="0" borderId="10" xfId="0" applyFont="1" applyBorder="1" applyAlignment="1">
      <alignment/>
    </xf>
    <xf numFmtId="49" fontId="4" fillId="0" borderId="10" xfId="0" applyNumberFormat="1" applyFont="1" applyBorder="1" applyAlignment="1">
      <alignment horizontal="center" vertical="center"/>
    </xf>
    <xf numFmtId="0" fontId="2" fillId="0" borderId="10" xfId="0" applyFont="1" applyFill="1" applyBorder="1" applyAlignment="1">
      <alignment horizontal="left" vertical="center" wrapText="1"/>
    </xf>
    <xf numFmtId="175" fontId="2" fillId="0" borderId="10" xfId="0" applyNumberFormat="1" applyFont="1" applyFill="1" applyBorder="1" applyAlignment="1">
      <alignment horizontal="center" vertical="center" wrapText="1"/>
    </xf>
    <xf numFmtId="175" fontId="2" fillId="0" borderId="10" xfId="0" applyNumberFormat="1" applyFont="1" applyFill="1" applyBorder="1" applyAlignment="1">
      <alignment horizontal="center" vertical="center"/>
    </xf>
    <xf numFmtId="174" fontId="2" fillId="0" borderId="10" xfId="59" applyNumberFormat="1" applyFont="1" applyFill="1" applyBorder="1" applyAlignment="1">
      <alignment horizontal="center" vertical="center" wrapText="1"/>
    </xf>
    <xf numFmtId="0" fontId="2" fillId="0" borderId="10" xfId="54" applyFont="1" applyFill="1" applyBorder="1" applyAlignment="1">
      <alignment horizontal="left" vertical="center" wrapText="1"/>
      <protection/>
    </xf>
    <xf numFmtId="0" fontId="2" fillId="0" borderId="10" xfId="0" applyFont="1" applyFill="1" applyBorder="1" applyAlignment="1">
      <alignmen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5" fontId="2" fillId="0" borderId="0"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5" fontId="2"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xf>
    <xf numFmtId="175" fontId="6" fillId="0" borderId="0" xfId="0" applyNumberFormat="1" applyFont="1" applyFill="1" applyBorder="1" applyAlignment="1">
      <alignment horizontal="right" vertical="center" wrapText="1"/>
    </xf>
    <xf numFmtId="0" fontId="4" fillId="0" borderId="0" xfId="0" applyFont="1" applyFill="1" applyBorder="1" applyAlignment="1">
      <alignment vertical="center" wrapText="1"/>
    </xf>
    <xf numFmtId="17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Alignment="1">
      <alignment vertical="center" wrapText="1"/>
    </xf>
    <xf numFmtId="49" fontId="4" fillId="0" borderId="13" xfId="0" applyNumberFormat="1" applyFont="1" applyFill="1" applyBorder="1" applyAlignment="1">
      <alignment horizontal="center" vertical="center" wrapText="1"/>
    </xf>
    <xf numFmtId="0" fontId="4" fillId="0" borderId="10" xfId="0" applyFont="1" applyFill="1" applyBorder="1" applyAlignment="1">
      <alignment vertical="center" wrapText="1"/>
    </xf>
    <xf numFmtId="175" fontId="4" fillId="0" borderId="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175" fontId="4" fillId="0" borderId="10" xfId="0" applyNumberFormat="1" applyFont="1" applyFill="1" applyBorder="1" applyAlignment="1">
      <alignment horizontal="center" vertical="center" wrapText="1"/>
    </xf>
    <xf numFmtId="175" fontId="4" fillId="0" borderId="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2" fillId="25" borderId="0" xfId="0" applyFont="1" applyFill="1" applyAlignment="1">
      <alignment/>
    </xf>
    <xf numFmtId="0" fontId="2" fillId="0" borderId="0" xfId="0" applyFont="1" applyFill="1" applyAlignment="1">
      <alignment vertical="center"/>
    </xf>
    <xf numFmtId="0" fontId="4"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6"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5" fontId="3" fillId="0" borderId="12"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3" fontId="6" fillId="0" borderId="20" xfId="0" applyNumberFormat="1" applyFont="1" applyFill="1" applyBorder="1" applyAlignment="1">
      <alignment horizontal="left" vertical="center" wrapText="1"/>
    </xf>
    <xf numFmtId="3" fontId="4" fillId="0" borderId="2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175"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54" applyFont="1" applyFill="1" applyBorder="1" applyAlignment="1">
      <alignment horizontal="center" vertical="center"/>
      <protection/>
    </xf>
    <xf numFmtId="175" fontId="2" fillId="0" borderId="10" xfId="54" applyNumberFormat="1" applyFont="1" applyFill="1" applyBorder="1" applyAlignment="1">
      <alignment horizontal="center" vertical="center" wrapText="1"/>
      <protection/>
    </xf>
    <xf numFmtId="172" fontId="2" fillId="0" borderId="10" xfId="0" applyNumberFormat="1" applyFont="1" applyFill="1" applyBorder="1" applyAlignment="1">
      <alignment horizontal="center" vertical="center" wrapText="1"/>
    </xf>
    <xf numFmtId="173" fontId="2" fillId="0" borderId="10" xfId="54" applyNumberFormat="1" applyFont="1" applyFill="1" applyBorder="1" applyAlignment="1">
      <alignment horizontal="center" vertical="center" wrapText="1"/>
      <protection/>
    </xf>
    <xf numFmtId="173" fontId="2" fillId="0" borderId="10" xfId="0" applyNumberFormat="1" applyFont="1" applyFill="1" applyBorder="1" applyAlignment="1">
      <alignment horizontal="center" vertical="center"/>
    </xf>
    <xf numFmtId="173" fontId="2"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175" fontId="3" fillId="0"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wrapText="1"/>
    </xf>
    <xf numFmtId="0" fontId="2" fillId="0" borderId="10" xfId="54" applyFont="1" applyFill="1" applyBorder="1" applyAlignment="1">
      <alignment vertical="center" wrapText="1"/>
      <protection/>
    </xf>
    <xf numFmtId="3" fontId="2" fillId="0" borderId="10" xfId="0" applyNumberFormat="1" applyFont="1" applyFill="1" applyBorder="1" applyAlignment="1">
      <alignment vertical="center" wrapText="1"/>
    </xf>
    <xf numFmtId="174" fontId="2" fillId="0" borderId="10" xfId="61" applyNumberFormat="1" applyFont="1" applyFill="1" applyBorder="1" applyAlignment="1">
      <alignment horizontal="center" vertical="center" wrapText="1"/>
    </xf>
    <xf numFmtId="0" fontId="2" fillId="0" borderId="10" xfId="54" applyFont="1" applyFill="1" applyBorder="1" applyAlignment="1">
      <alignment horizontal="center" vertical="center" wrapText="1"/>
      <protection/>
    </xf>
    <xf numFmtId="174" fontId="2" fillId="0" borderId="10" xfId="0" applyNumberFormat="1" applyFont="1" applyFill="1" applyBorder="1" applyAlignment="1">
      <alignment horizontal="center" vertical="center" wrapText="1"/>
    </xf>
    <xf numFmtId="191" fontId="2" fillId="0" borderId="10" xfId="0" applyNumberFormat="1" applyFont="1" applyFill="1" applyBorder="1" applyAlignment="1">
      <alignment horizontal="center" vertical="center" wrapText="1"/>
    </xf>
    <xf numFmtId="175" fontId="2" fillId="0" borderId="10" xfId="0" applyNumberFormat="1" applyFont="1" applyFill="1" applyBorder="1" applyAlignment="1">
      <alignment vertical="center" wrapText="1"/>
    </xf>
    <xf numFmtId="0" fontId="2" fillId="0" borderId="10" xfId="0" applyFont="1" applyFill="1" applyBorder="1" applyAlignment="1">
      <alignment vertical="center"/>
    </xf>
    <xf numFmtId="2" fontId="2" fillId="0" borderId="10" xfId="0" applyNumberFormat="1" applyFont="1" applyFill="1" applyBorder="1" applyAlignment="1">
      <alignment vertical="center"/>
    </xf>
    <xf numFmtId="2" fontId="2" fillId="0" borderId="10" xfId="0" applyNumberFormat="1" applyFont="1" applyFill="1" applyBorder="1" applyAlignment="1">
      <alignment vertical="center" wrapText="1"/>
    </xf>
    <xf numFmtId="0" fontId="9" fillId="0" borderId="10" xfId="0" applyFont="1" applyFill="1" applyBorder="1" applyAlignment="1">
      <alignment horizontal="left" vertical="center" wrapText="1"/>
    </xf>
    <xf numFmtId="177" fontId="2" fillId="0" borderId="10" xfId="0" applyNumberFormat="1" applyFont="1" applyFill="1" applyBorder="1" applyAlignment="1">
      <alignment vertical="center" wrapText="1"/>
    </xf>
    <xf numFmtId="0" fontId="9" fillId="0" borderId="10" xfId="54" applyFont="1" applyFill="1" applyBorder="1" applyAlignment="1">
      <alignment vertical="center" wrapText="1"/>
      <protection/>
    </xf>
    <xf numFmtId="182" fontId="2" fillId="0" borderId="10" xfId="54" applyNumberFormat="1" applyFont="1" applyFill="1" applyBorder="1" applyAlignment="1">
      <alignment vertical="center" wrapText="1"/>
      <protection/>
    </xf>
    <xf numFmtId="182" fontId="2" fillId="0" borderId="10" xfId="54" applyNumberFormat="1" applyFont="1" applyFill="1" applyBorder="1" applyAlignment="1">
      <alignment horizontal="left" vertical="center" wrapText="1"/>
      <protection/>
    </xf>
    <xf numFmtId="182" fontId="2" fillId="0" borderId="10" xfId="0" applyNumberFormat="1" applyFont="1" applyFill="1" applyBorder="1" applyAlignment="1">
      <alignment vertical="center" wrapText="1"/>
    </xf>
    <xf numFmtId="49" fontId="2" fillId="0" borderId="10" xfId="54" applyNumberFormat="1" applyFont="1" applyFill="1" applyBorder="1" applyAlignment="1">
      <alignment horizontal="center" vertical="center" wrapText="1"/>
      <protection/>
    </xf>
    <xf numFmtId="49" fontId="2" fillId="0" borderId="10" xfId="54" applyNumberFormat="1" applyFont="1" applyFill="1" applyBorder="1" applyAlignment="1">
      <alignment horizontal="left" vertical="center" wrapText="1"/>
      <protection/>
    </xf>
    <xf numFmtId="49" fontId="3" fillId="0" borderId="10" xfId="0" applyNumberFormat="1" applyFont="1" applyFill="1" applyBorder="1" applyAlignment="1">
      <alignment horizontal="center" vertical="center"/>
    </xf>
    <xf numFmtId="0" fontId="10" fillId="0" borderId="10" xfId="0" applyFont="1" applyFill="1" applyBorder="1" applyAlignment="1">
      <alignment wrapText="1"/>
    </xf>
    <xf numFmtId="0" fontId="3" fillId="0" borderId="10" xfId="0" applyFont="1" applyFill="1" applyBorder="1" applyAlignment="1">
      <alignment vertical="center" wrapText="1"/>
    </xf>
    <xf numFmtId="175" fontId="3"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5" fontId="3" fillId="0" borderId="10" xfId="0" applyNumberFormat="1" applyFont="1" applyFill="1" applyBorder="1" applyAlignment="1">
      <alignment vertical="center"/>
    </xf>
    <xf numFmtId="174" fontId="3" fillId="0" borderId="10" xfId="59" applyNumberFormat="1" applyFont="1" applyFill="1" applyBorder="1" applyAlignment="1">
      <alignment horizontal="center" vertical="center" wrapText="1"/>
    </xf>
    <xf numFmtId="0" fontId="9" fillId="0" borderId="10" xfId="0" applyFont="1" applyFill="1" applyBorder="1" applyAlignment="1">
      <alignment vertical="center" wrapText="1"/>
    </xf>
    <xf numFmtId="177"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9" fontId="4" fillId="0" borderId="14" xfId="0" applyNumberFormat="1" applyFont="1" applyFill="1" applyBorder="1" applyAlignment="1">
      <alignment vertical="center" wrapText="1"/>
    </xf>
    <xf numFmtId="175" fontId="4" fillId="0" borderId="14"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188" fontId="2" fillId="0" borderId="20" xfId="0" applyNumberFormat="1" applyFont="1" applyFill="1" applyBorder="1" applyAlignment="1">
      <alignment horizontal="left" vertical="center" wrapText="1"/>
    </xf>
    <xf numFmtId="186" fontId="4" fillId="0" borderId="20" xfId="73" applyFont="1" applyFill="1" applyBorder="1" applyAlignment="1">
      <alignment horizontal="left" vertical="center" wrapText="1"/>
    </xf>
    <xf numFmtId="0" fontId="2" fillId="0" borderId="20" xfId="0" applyFont="1" applyFill="1" applyBorder="1" applyAlignment="1">
      <alignment horizontal="justify" vertical="center" wrapText="1"/>
    </xf>
    <xf numFmtId="3" fontId="4" fillId="0" borderId="20" xfId="0" applyNumberFormat="1" applyFont="1" applyFill="1" applyBorder="1" applyAlignment="1">
      <alignment horizontal="justify" vertical="center" wrapText="1"/>
    </xf>
    <xf numFmtId="0" fontId="13" fillId="0" borderId="10" xfId="0" applyFont="1" applyFill="1" applyBorder="1" applyAlignment="1">
      <alignment vertical="center" wrapText="1"/>
    </xf>
    <xf numFmtId="0" fontId="11" fillId="0" borderId="10" xfId="0" applyFont="1" applyFill="1" applyBorder="1" applyAlignment="1">
      <alignment vertical="center" wrapText="1"/>
    </xf>
    <xf numFmtId="177" fontId="4"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NumberFormat="1" applyFont="1" applyFill="1" applyBorder="1" applyAlignment="1">
      <alignment horizontal="left" vertical="center" wrapText="1"/>
    </xf>
    <xf numFmtId="3" fontId="2" fillId="0" borderId="20" xfId="54" applyNumberFormat="1" applyFont="1" applyFill="1" applyBorder="1" applyAlignment="1">
      <alignment horizontal="left" vertical="center" wrapText="1"/>
      <protection/>
    </xf>
    <xf numFmtId="49" fontId="6" fillId="0" borderId="13"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wrapText="1"/>
    </xf>
    <xf numFmtId="0" fontId="15" fillId="0" borderId="0" xfId="0" applyFont="1" applyFill="1" applyAlignment="1">
      <alignment horizontal="left" indent="8"/>
    </xf>
    <xf numFmtId="0" fontId="14" fillId="0" borderId="0" xfId="0" applyFont="1" applyFill="1" applyAlignment="1">
      <alignment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4"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2" fillId="0" borderId="0" xfId="0" applyFont="1" applyFill="1" applyBorder="1" applyAlignment="1">
      <alignment horizontal="center" vertical="center"/>
    </xf>
    <xf numFmtId="172" fontId="2" fillId="0" borderId="0" xfId="0" applyNumberFormat="1" applyFont="1" applyFill="1" applyBorder="1" applyAlignment="1">
      <alignment horizontal="center" vertical="center"/>
    </xf>
    <xf numFmtId="0" fontId="2" fillId="0" borderId="0" xfId="0" applyFont="1" applyFill="1" applyBorder="1" applyAlignment="1">
      <alignment horizontal="right"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54" applyFont="1" applyFill="1" applyBorder="1" applyAlignment="1">
      <alignment horizontal="center" vertical="center" wrapText="1"/>
      <protection/>
    </xf>
    <xf numFmtId="0" fontId="2" fillId="0" borderId="10" xfId="54" applyFont="1" applyFill="1" applyBorder="1" applyAlignment="1">
      <alignment horizontal="left" vertical="center" wrapText="1"/>
      <protection/>
    </xf>
    <xf numFmtId="0" fontId="9" fillId="0" borderId="10" xfId="54"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0" fontId="2" fillId="0" borderId="22" xfId="0" applyFont="1" applyFill="1" applyBorder="1" applyAlignment="1">
      <alignment horizontal="center" vertical="center" textRotation="90" wrapText="1"/>
    </xf>
    <xf numFmtId="0" fontId="2" fillId="0" borderId="23" xfId="0" applyFont="1" applyFill="1" applyBorder="1" applyAlignment="1">
      <alignment horizontal="center" vertical="center" textRotation="90" wrapText="1"/>
    </xf>
    <xf numFmtId="0" fontId="3" fillId="0" borderId="0" xfId="0" applyFont="1" applyFill="1" applyBorder="1" applyAlignment="1">
      <alignment horizontal="left" vertic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horizontal="center" wrapText="1"/>
    </xf>
    <xf numFmtId="0" fontId="15" fillId="0" borderId="0" xfId="0" applyFont="1" applyFill="1" applyBorder="1" applyAlignment="1">
      <alignment horizontal="left" vertical="center" indent="8"/>
    </xf>
    <xf numFmtId="0" fontId="14" fillId="0" borderId="0" xfId="0" applyFont="1" applyFill="1" applyAlignment="1">
      <alignment horizontal="left" vertical="center" wrapText="1" indent="8"/>
    </xf>
    <xf numFmtId="0" fontId="15" fillId="0" borderId="0" xfId="0" applyFont="1" applyFill="1" applyAlignment="1">
      <alignment horizontal="left" vertical="center" wrapText="1" indent="8"/>
    </xf>
    <xf numFmtId="0" fontId="16" fillId="0" borderId="0" xfId="0" applyFont="1" applyFill="1" applyAlignment="1">
      <alignment horizontal="left" vertical="center" wrapText="1"/>
    </xf>
    <xf numFmtId="3" fontId="4" fillId="0" borderId="2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right" vertical="center" wrapText="1"/>
    </xf>
    <xf numFmtId="49" fontId="2" fillId="0" borderId="24" xfId="0" applyNumberFormat="1" applyFont="1" applyFill="1" applyBorder="1" applyAlignment="1">
      <alignment horizontal="right" vertical="center" wrapText="1"/>
    </xf>
    <xf numFmtId="0" fontId="35" fillId="0" borderId="0" xfId="0" applyFont="1" applyFill="1" applyAlignment="1">
      <alignment horizontal="left" vertical="center" wrapText="1" indent="15"/>
    </xf>
    <xf numFmtId="0" fontId="7" fillId="0" borderId="0" xfId="0" applyFont="1" applyFill="1" applyBorder="1" applyAlignment="1">
      <alignment horizontal="left" vertical="center" wrapText="1" indent="8"/>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6" fillId="0" borderId="0" xfId="0" applyFont="1" applyFill="1" applyAlignment="1">
      <alignment horizontal="left" vertical="center" wrapText="1" indent="8"/>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5" xfId="54"/>
    <cellStyle name="Плохой" xfId="55"/>
    <cellStyle name="Пояснение" xfId="56"/>
    <cellStyle name="Примечание" xfId="57"/>
    <cellStyle name="Percent" xfId="58"/>
    <cellStyle name="Процентный 2" xfId="59"/>
    <cellStyle name="Процентный 2 2" xfId="60"/>
    <cellStyle name="Процентный 2 3" xfId="61"/>
    <cellStyle name="Процентный 2 4" xfId="62"/>
    <cellStyle name="Процентный 2 5" xfId="63"/>
    <cellStyle name="Процентный 2 6" xfId="64"/>
    <cellStyle name="Процентный 2 7" xfId="65"/>
    <cellStyle name="Процентный 2 8" xfId="66"/>
    <cellStyle name="Процентный 2 9" xfId="67"/>
    <cellStyle name="Процентный 5" xfId="68"/>
    <cellStyle name="Связанная ячейка" xfId="69"/>
    <cellStyle name="Текст предупреждения" xfId="70"/>
    <cellStyle name="Comma" xfId="71"/>
    <cellStyle name="Comma [0]" xfId="72"/>
    <cellStyle name="Финансовый 2"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199"/>
  <sheetViews>
    <sheetView tabSelected="1" view="pageBreakPreview" zoomScale="70" zoomScaleNormal="70" zoomScaleSheetLayoutView="70" zoomScalePageLayoutView="0" workbookViewId="0" topLeftCell="B196">
      <selection activeCell="J9" sqref="J9"/>
    </sheetView>
  </sheetViews>
  <sheetFormatPr defaultColWidth="9.140625" defaultRowHeight="15"/>
  <cols>
    <col min="1" max="1" width="13.140625" style="53" customWidth="1"/>
    <col min="2" max="2" width="23.8515625" style="53" customWidth="1"/>
    <col min="3" max="3" width="49.57421875" style="53" customWidth="1"/>
    <col min="4" max="4" width="17.7109375" style="53" customWidth="1"/>
    <col min="5" max="5" width="10.421875" style="53" customWidth="1"/>
    <col min="6" max="6" width="19.140625" style="53" customWidth="1"/>
    <col min="7" max="7" width="18.28125" style="53" customWidth="1"/>
    <col min="8" max="8" width="19.8515625" style="54" customWidth="1"/>
    <col min="9" max="9" width="19.57421875" style="54" hidden="1" customWidth="1"/>
    <col min="10" max="10" width="64.28125" style="56" customWidth="1"/>
    <col min="11" max="16384" width="9.140625" style="53" customWidth="1"/>
  </cols>
  <sheetData>
    <row r="1" spans="2:10" s="137" customFormat="1" ht="26.25">
      <c r="B1" s="138"/>
      <c r="H1" s="174" t="s">
        <v>70</v>
      </c>
      <c r="I1" s="174"/>
      <c r="J1" s="174"/>
    </row>
    <row r="2" spans="2:10" s="137" customFormat="1" ht="26.25">
      <c r="B2" s="138"/>
      <c r="H2" s="174" t="s">
        <v>71</v>
      </c>
      <c r="I2" s="174"/>
      <c r="J2" s="174"/>
    </row>
    <row r="3" spans="2:10" s="137" customFormat="1" ht="30.75" customHeight="1">
      <c r="B3" s="138"/>
      <c r="H3" s="193" t="s">
        <v>79</v>
      </c>
      <c r="I3" s="175"/>
      <c r="J3" s="175"/>
    </row>
    <row r="4" spans="1:10" s="141" customFormat="1" ht="27" customHeight="1">
      <c r="A4" s="139"/>
      <c r="B4" s="140"/>
      <c r="H4" s="142" t="s">
        <v>76</v>
      </c>
      <c r="I4" s="143"/>
      <c r="J4" s="143"/>
    </row>
    <row r="5" spans="1:10" s="141" customFormat="1" ht="27.75" customHeight="1">
      <c r="A5" s="139"/>
      <c r="B5" s="140"/>
      <c r="H5" s="176" t="s">
        <v>72</v>
      </c>
      <c r="I5" s="176"/>
      <c r="J5" s="176"/>
    </row>
    <row r="6" spans="1:10" s="141" customFormat="1" ht="50.25" customHeight="1">
      <c r="A6" s="139"/>
      <c r="B6" s="140"/>
      <c r="H6" s="176"/>
      <c r="I6" s="176"/>
      <c r="J6" s="176"/>
    </row>
    <row r="7" spans="1:10" s="150" customFormat="1" ht="14.25" customHeight="1">
      <c r="A7" s="144"/>
      <c r="B7" s="145"/>
      <c r="C7" s="146"/>
      <c r="D7" s="147"/>
      <c r="E7" s="148"/>
      <c r="F7" s="148"/>
      <c r="G7" s="177"/>
      <c r="H7" s="177"/>
      <c r="I7" s="149"/>
      <c r="J7" s="149"/>
    </row>
    <row r="8" spans="1:10" s="151" customFormat="1" ht="33" customHeight="1">
      <c r="A8" s="172" t="s">
        <v>74</v>
      </c>
      <c r="B8" s="172"/>
      <c r="C8" s="172"/>
      <c r="D8" s="172"/>
      <c r="E8" s="172"/>
      <c r="F8" s="172"/>
      <c r="G8" s="172"/>
      <c r="H8" s="172"/>
      <c r="I8" s="172"/>
      <c r="J8" s="172"/>
    </row>
    <row r="9" spans="1:10" s="151" customFormat="1" ht="35.25" customHeight="1">
      <c r="A9" s="152"/>
      <c r="B9" s="153"/>
      <c r="C9" s="152"/>
      <c r="D9" s="152"/>
      <c r="F9" s="154"/>
      <c r="J9" s="155" t="s">
        <v>77</v>
      </c>
    </row>
    <row r="10" spans="1:10" s="151" customFormat="1" ht="49.5" customHeight="1">
      <c r="A10" s="173" t="s">
        <v>73</v>
      </c>
      <c r="B10" s="173"/>
      <c r="C10" s="173"/>
      <c r="D10" s="173"/>
      <c r="E10" s="173"/>
      <c r="F10" s="173"/>
      <c r="G10" s="173"/>
      <c r="H10" s="173"/>
      <c r="I10" s="173"/>
      <c r="J10" s="173"/>
    </row>
    <row r="11" spans="2:10" s="156" customFormat="1" ht="26.25" customHeight="1">
      <c r="B11" s="171"/>
      <c r="C11" s="171"/>
      <c r="E11" s="157"/>
      <c r="J11" s="158" t="s">
        <v>288</v>
      </c>
    </row>
    <row r="12" spans="1:10" ht="63.75" customHeight="1">
      <c r="A12" s="26" t="s">
        <v>80</v>
      </c>
      <c r="B12" s="1" t="s">
        <v>81</v>
      </c>
      <c r="C12" s="165" t="s">
        <v>82</v>
      </c>
      <c r="D12" s="167" t="s">
        <v>83</v>
      </c>
      <c r="E12" s="169" t="s">
        <v>84</v>
      </c>
      <c r="F12" s="167" t="s">
        <v>85</v>
      </c>
      <c r="G12" s="165" t="s">
        <v>94</v>
      </c>
      <c r="H12" s="165" t="s">
        <v>95</v>
      </c>
      <c r="I12" s="165" t="s">
        <v>26</v>
      </c>
      <c r="J12" s="165" t="s">
        <v>86</v>
      </c>
    </row>
    <row r="13" spans="1:10" ht="84.75" customHeight="1">
      <c r="A13" s="26" t="s">
        <v>87</v>
      </c>
      <c r="B13" s="48" t="s">
        <v>88</v>
      </c>
      <c r="C13" s="166"/>
      <c r="D13" s="168"/>
      <c r="E13" s="170"/>
      <c r="F13" s="168"/>
      <c r="G13" s="166"/>
      <c r="H13" s="166"/>
      <c r="I13" s="166"/>
      <c r="J13" s="166"/>
    </row>
    <row r="14" spans="1:10" ht="18.75">
      <c r="A14" s="1">
        <v>1</v>
      </c>
      <c r="B14" s="1">
        <v>2</v>
      </c>
      <c r="C14" s="1">
        <v>3</v>
      </c>
      <c r="D14" s="1">
        <v>4</v>
      </c>
      <c r="E14" s="1">
        <v>5</v>
      </c>
      <c r="F14" s="1">
        <v>6</v>
      </c>
      <c r="G14" s="1">
        <v>7</v>
      </c>
      <c r="H14" s="1">
        <v>8</v>
      </c>
      <c r="I14" s="1">
        <v>9</v>
      </c>
      <c r="J14" s="1">
        <v>9</v>
      </c>
    </row>
    <row r="15" spans="1:10" s="55" customFormat="1" ht="28.5" customHeight="1">
      <c r="A15" s="73"/>
      <c r="B15" s="74"/>
      <c r="C15" s="74" t="s">
        <v>102</v>
      </c>
      <c r="D15" s="75">
        <f>SUM(D16+D29+D99+D136+D152+D171+D175+D177+D181+D186+D192+D194+D196)</f>
        <v>450154.596</v>
      </c>
      <c r="E15" s="75"/>
      <c r="F15" s="75">
        <f>SUM(F16+F29+F99+F136+F152+F171+F175+F177+F181+F186+F192+F194+F196)</f>
        <v>369149.2905500001</v>
      </c>
      <c r="G15" s="75">
        <f>SUM(G16+G29+G99+G136+G152+G171+G175+G177+G181+G186+G192+G194+G196)</f>
        <v>114409.01900000003</v>
      </c>
      <c r="H15" s="76">
        <f>SUM(H16+H29+H99+H136+H152+H171+H175+H177+H181+H186+H192+H194+H196)</f>
        <v>47256.432750000014</v>
      </c>
      <c r="I15" s="76">
        <f>SUM(I16+I29+I99+I136+I152+I171+I175+I177+I181+I186+I192+I194+I196)</f>
        <v>12178.49873</v>
      </c>
      <c r="J15" s="23"/>
    </row>
    <row r="16" spans="1:10" s="55" customFormat="1" ht="97.5" customHeight="1">
      <c r="A16" s="77">
        <v>73</v>
      </c>
      <c r="B16" s="78" t="s">
        <v>103</v>
      </c>
      <c r="C16" s="78"/>
      <c r="D16" s="63">
        <f>SUM(D17:D28)</f>
        <v>124436.09999999999</v>
      </c>
      <c r="E16" s="63"/>
      <c r="F16" s="63">
        <f>SUM(F17:F28)</f>
        <v>108557.96398000003</v>
      </c>
      <c r="G16" s="63">
        <f>SUM(G17:G28)</f>
        <v>9044.422</v>
      </c>
      <c r="H16" s="79">
        <f>SUM(H17:H28)</f>
        <v>5201.5976</v>
      </c>
      <c r="I16" s="79">
        <f>SUM(I17:I28)</f>
        <v>64.74852</v>
      </c>
      <c r="J16" s="23"/>
    </row>
    <row r="17" spans="1:10" s="55" customFormat="1" ht="58.5" customHeight="1">
      <c r="A17" s="25">
        <v>150101</v>
      </c>
      <c r="B17" s="18" t="s">
        <v>89</v>
      </c>
      <c r="C17" s="18" t="s">
        <v>104</v>
      </c>
      <c r="D17" s="19"/>
      <c r="E17" s="19"/>
      <c r="F17" s="19"/>
      <c r="G17" s="19">
        <v>200.404</v>
      </c>
      <c r="H17" s="1">
        <v>200.40319</v>
      </c>
      <c r="I17" s="1">
        <v>0</v>
      </c>
      <c r="J17" s="23" t="s">
        <v>394</v>
      </c>
    </row>
    <row r="18" spans="1:10" s="55" customFormat="1" ht="44.25" customHeight="1">
      <c r="A18" s="25">
        <v>150101</v>
      </c>
      <c r="B18" s="18" t="s">
        <v>89</v>
      </c>
      <c r="C18" s="18" t="s">
        <v>105</v>
      </c>
      <c r="D18" s="20">
        <v>8428.076</v>
      </c>
      <c r="E18" s="21">
        <f aca="true" t="shared" si="0" ref="E18:E28">100-(F18/D18)*100</f>
        <v>17.300442473466077</v>
      </c>
      <c r="F18" s="19">
        <f>D18-(2.65228+224.04934+1231.39282)</f>
        <v>6969.981559999999</v>
      </c>
      <c r="G18" s="19">
        <f>532.674+1342.837+2088.752</f>
        <v>3964.263</v>
      </c>
      <c r="H18" s="80">
        <v>3025.28968</v>
      </c>
      <c r="I18" s="1">
        <v>0</v>
      </c>
      <c r="J18" s="23" t="s">
        <v>377</v>
      </c>
    </row>
    <row r="19" spans="1:10" s="55" customFormat="1" ht="77.25" customHeight="1">
      <c r="A19" s="25">
        <v>150101</v>
      </c>
      <c r="B19" s="18" t="s">
        <v>89</v>
      </c>
      <c r="C19" s="18" t="s">
        <v>106</v>
      </c>
      <c r="D19" s="20">
        <v>3836.2</v>
      </c>
      <c r="E19" s="21">
        <f>100-(F19/D19)*100</f>
        <v>0.7438871800219005</v>
      </c>
      <c r="F19" s="20">
        <f>D19-(28.537)</f>
        <v>3807.663</v>
      </c>
      <c r="G19" s="19">
        <v>200</v>
      </c>
      <c r="H19" s="1">
        <v>155.9688</v>
      </c>
      <c r="I19" s="1">
        <v>31.2228</v>
      </c>
      <c r="J19" s="23" t="s">
        <v>387</v>
      </c>
    </row>
    <row r="20" spans="1:10" s="55" customFormat="1" ht="75.75" customHeight="1">
      <c r="A20" s="81">
        <v>150101</v>
      </c>
      <c r="B20" s="22" t="s">
        <v>89</v>
      </c>
      <c r="C20" s="18" t="s">
        <v>107</v>
      </c>
      <c r="D20" s="82">
        <v>286.653</v>
      </c>
      <c r="E20" s="83">
        <f>100-(F20/D20)*100</f>
        <v>95.28454263517213</v>
      </c>
      <c r="F20" s="84">
        <f>SUM(D20-250-23.136)</f>
        <v>13.51700000000002</v>
      </c>
      <c r="G20" s="85">
        <v>13.517</v>
      </c>
      <c r="H20" s="1">
        <v>13.51661</v>
      </c>
      <c r="I20" s="1">
        <v>0</v>
      </c>
      <c r="J20" s="23" t="s">
        <v>387</v>
      </c>
    </row>
    <row r="21" spans="1:10" s="55" customFormat="1" ht="37.5">
      <c r="A21" s="81">
        <v>150101</v>
      </c>
      <c r="B21" s="22" t="s">
        <v>89</v>
      </c>
      <c r="C21" s="18" t="s">
        <v>108</v>
      </c>
      <c r="D21" s="19">
        <f>137.164</f>
        <v>137.164</v>
      </c>
      <c r="E21" s="83">
        <f>100-(F21/D21)*100</f>
        <v>0</v>
      </c>
      <c r="F21" s="19">
        <f>SUM(D21)</f>
        <v>137.164</v>
      </c>
      <c r="G21" s="86">
        <v>137.164</v>
      </c>
      <c r="H21" s="1">
        <v>34.48159</v>
      </c>
      <c r="I21" s="1">
        <v>8.1492</v>
      </c>
      <c r="J21" s="23" t="s">
        <v>392</v>
      </c>
    </row>
    <row r="22" spans="1:10" s="55" customFormat="1" ht="105">
      <c r="A22" s="25">
        <v>150121</v>
      </c>
      <c r="B22" s="87" t="s">
        <v>109</v>
      </c>
      <c r="C22" s="18" t="s">
        <v>110</v>
      </c>
      <c r="D22" s="20">
        <v>14110.057</v>
      </c>
      <c r="E22" s="21">
        <f>100-(F22/D22)*100</f>
        <v>15.856992356586503</v>
      </c>
      <c r="F22" s="20">
        <f>D22-(56.35656+1000+570.604+271.5277+338.9424)</f>
        <v>11872.62634</v>
      </c>
      <c r="G22" s="20">
        <f>1677.78+1205.98</f>
        <v>2883.76</v>
      </c>
      <c r="H22" s="1">
        <v>862.47196</v>
      </c>
      <c r="I22" s="1">
        <v>10.94331</v>
      </c>
      <c r="J22" s="23" t="s">
        <v>27</v>
      </c>
    </row>
    <row r="23" spans="1:10" s="55" customFormat="1" ht="82.5" customHeight="1">
      <c r="A23" s="25">
        <v>150101</v>
      </c>
      <c r="B23" s="18" t="s">
        <v>89</v>
      </c>
      <c r="C23" s="18" t="s">
        <v>111</v>
      </c>
      <c r="D23" s="20">
        <v>4848.886</v>
      </c>
      <c r="E23" s="21">
        <f t="shared" si="0"/>
        <v>87.38717985945637</v>
      </c>
      <c r="F23" s="19">
        <f>SUM(D23-1337.30473-2900)</f>
        <v>611.5812700000006</v>
      </c>
      <c r="G23" s="19">
        <f>22.235+186.656</f>
        <v>208.89100000000002</v>
      </c>
      <c r="H23" s="1">
        <v>208.495</v>
      </c>
      <c r="I23" s="1">
        <v>0</v>
      </c>
      <c r="J23" s="23" t="s">
        <v>378</v>
      </c>
    </row>
    <row r="24" spans="1:10" s="55" customFormat="1" ht="62.25" customHeight="1">
      <c r="A24" s="25">
        <v>150101</v>
      </c>
      <c r="B24" s="18" t="s">
        <v>89</v>
      </c>
      <c r="C24" s="22" t="s">
        <v>112</v>
      </c>
      <c r="D24" s="20">
        <v>8469.431</v>
      </c>
      <c r="E24" s="21">
        <f t="shared" si="0"/>
        <v>80.20124634110601</v>
      </c>
      <c r="F24" s="20">
        <f>SUM(D24-1500-1125.399-428.3483-479.307-3259.53492)</f>
        <v>1676.8417800000016</v>
      </c>
      <c r="G24" s="20">
        <f>311.886-11.885</f>
        <v>300.00100000000003</v>
      </c>
      <c r="H24" s="1">
        <v>300.00034</v>
      </c>
      <c r="I24" s="1">
        <v>0</v>
      </c>
      <c r="J24" s="23" t="s">
        <v>28</v>
      </c>
    </row>
    <row r="25" spans="1:10" s="55" customFormat="1" ht="75">
      <c r="A25" s="25">
        <v>150101</v>
      </c>
      <c r="B25" s="18" t="s">
        <v>89</v>
      </c>
      <c r="C25" s="22" t="s">
        <v>113</v>
      </c>
      <c r="D25" s="19">
        <v>40486.207</v>
      </c>
      <c r="E25" s="21">
        <f>100-(F25/D25)*100</f>
        <v>1.106544310263473</v>
      </c>
      <c r="F25" s="19">
        <f>D25-(160+149.35361+138.64421)</f>
        <v>40038.209180000005</v>
      </c>
      <c r="G25" s="19">
        <v>60</v>
      </c>
      <c r="H25" s="1">
        <v>6.27967</v>
      </c>
      <c r="I25" s="1">
        <v>3.408</v>
      </c>
      <c r="J25" s="23" t="s">
        <v>393</v>
      </c>
    </row>
    <row r="26" spans="1:10" s="55" customFormat="1" ht="75">
      <c r="A26" s="25">
        <v>150101</v>
      </c>
      <c r="B26" s="18" t="s">
        <v>89</v>
      </c>
      <c r="C26" s="22" t="s">
        <v>114</v>
      </c>
      <c r="D26" s="19">
        <v>41973.922</v>
      </c>
      <c r="E26" s="21">
        <f t="shared" si="0"/>
        <v>0.7238618063854005</v>
      </c>
      <c r="F26" s="19">
        <f>SUM(D26-249.768-46.62-7.44519)</f>
        <v>41670.08881</v>
      </c>
      <c r="G26" s="19">
        <f>524-150</f>
        <v>374</v>
      </c>
      <c r="H26" s="1">
        <v>351.32938</v>
      </c>
      <c r="I26" s="1">
        <v>7.11866</v>
      </c>
      <c r="J26" s="23" t="s">
        <v>392</v>
      </c>
    </row>
    <row r="27" spans="1:10" s="55" customFormat="1" ht="56.25">
      <c r="A27" s="25">
        <v>150101</v>
      </c>
      <c r="B27" s="18" t="s">
        <v>89</v>
      </c>
      <c r="C27" s="22" t="s">
        <v>115</v>
      </c>
      <c r="D27" s="19">
        <v>1222.082</v>
      </c>
      <c r="E27" s="21">
        <f t="shared" si="0"/>
        <v>8.118355396773708</v>
      </c>
      <c r="F27" s="19">
        <f>D27-99.21296</f>
        <v>1122.86904</v>
      </c>
      <c r="G27" s="19">
        <v>65</v>
      </c>
      <c r="H27" s="1">
        <v>43.36138</v>
      </c>
      <c r="I27" s="1">
        <v>3.90655</v>
      </c>
      <c r="J27" s="23" t="s">
        <v>392</v>
      </c>
    </row>
    <row r="28" spans="1:10" s="55" customFormat="1" ht="56.25">
      <c r="A28" s="25">
        <v>150101</v>
      </c>
      <c r="B28" s="18" t="s">
        <v>89</v>
      </c>
      <c r="C28" s="22" t="s">
        <v>116</v>
      </c>
      <c r="D28" s="19">
        <v>637.422</v>
      </c>
      <c r="E28" s="21">
        <f t="shared" si="0"/>
        <v>0</v>
      </c>
      <c r="F28" s="19">
        <f>SUM(D28)</f>
        <v>637.422</v>
      </c>
      <c r="G28" s="19">
        <v>637.422</v>
      </c>
      <c r="H28" s="1">
        <v>0</v>
      </c>
      <c r="I28" s="1">
        <v>0</v>
      </c>
      <c r="J28" s="23" t="s">
        <v>354</v>
      </c>
    </row>
    <row r="29" spans="1:10" s="55" customFormat="1" ht="131.25">
      <c r="A29" s="77">
        <v>41</v>
      </c>
      <c r="B29" s="78" t="s">
        <v>117</v>
      </c>
      <c r="C29" s="78" t="s">
        <v>118</v>
      </c>
      <c r="D29" s="63">
        <f>SUM(D30:D98)</f>
        <v>150409.15500000003</v>
      </c>
      <c r="E29" s="63"/>
      <c r="F29" s="63">
        <f>SUM(F30:F98)</f>
        <v>122561.35302000002</v>
      </c>
      <c r="G29" s="63">
        <f>SUM(G30:G98)</f>
        <v>34757.799000000006</v>
      </c>
      <c r="H29" s="79">
        <f>SUM(H30:H98)</f>
        <v>18283.27466</v>
      </c>
      <c r="I29" s="79">
        <f>SUM(I30:I98)</f>
        <v>3763.9028799999996</v>
      </c>
      <c r="J29" s="88"/>
    </row>
    <row r="30" spans="1:10" s="55" customFormat="1" ht="173.25" customHeight="1">
      <c r="A30" s="25">
        <v>150101</v>
      </c>
      <c r="B30" s="18" t="s">
        <v>89</v>
      </c>
      <c r="C30" s="18" t="s">
        <v>119</v>
      </c>
      <c r="D30" s="19">
        <v>33418</v>
      </c>
      <c r="E30" s="21">
        <f aca="true" t="shared" si="1" ref="E30:E57">100-(F30/D30)*100</f>
        <v>67.09543686037466</v>
      </c>
      <c r="F30" s="19">
        <f>D30-(18568.25313+3853.69996)</f>
        <v>10996.046909999997</v>
      </c>
      <c r="G30" s="19">
        <v>1622.458</v>
      </c>
      <c r="H30" s="1">
        <v>244.04244</v>
      </c>
      <c r="I30" s="1">
        <v>95.77824</v>
      </c>
      <c r="J30" s="89" t="s">
        <v>21</v>
      </c>
    </row>
    <row r="31" spans="1:10" s="55" customFormat="1" ht="76.5" customHeight="1">
      <c r="A31" s="25">
        <v>150101</v>
      </c>
      <c r="B31" s="18" t="s">
        <v>89</v>
      </c>
      <c r="C31" s="18" t="s">
        <v>120</v>
      </c>
      <c r="D31" s="19">
        <v>51.997</v>
      </c>
      <c r="E31" s="21">
        <f t="shared" si="1"/>
        <v>0</v>
      </c>
      <c r="F31" s="19">
        <v>51.997</v>
      </c>
      <c r="G31" s="19">
        <v>12</v>
      </c>
      <c r="H31" s="1">
        <v>0.59492</v>
      </c>
      <c r="I31" s="1">
        <v>10.66008</v>
      </c>
      <c r="J31" s="23" t="s">
        <v>387</v>
      </c>
    </row>
    <row r="32" spans="1:10" s="55" customFormat="1" ht="67.5" customHeight="1">
      <c r="A32" s="25">
        <v>150101</v>
      </c>
      <c r="B32" s="18" t="s">
        <v>89</v>
      </c>
      <c r="C32" s="18" t="s">
        <v>121</v>
      </c>
      <c r="D32" s="19">
        <v>137.018</v>
      </c>
      <c r="E32" s="21">
        <f t="shared" si="1"/>
        <v>0</v>
      </c>
      <c r="F32" s="19">
        <v>137.018</v>
      </c>
      <c r="G32" s="19">
        <v>2</v>
      </c>
      <c r="H32" s="1">
        <v>0</v>
      </c>
      <c r="I32" s="1">
        <v>0</v>
      </c>
      <c r="J32" s="23" t="s">
        <v>354</v>
      </c>
    </row>
    <row r="33" spans="1:10" s="55" customFormat="1" ht="75">
      <c r="A33" s="25">
        <v>150101</v>
      </c>
      <c r="B33" s="18" t="s">
        <v>89</v>
      </c>
      <c r="C33" s="18" t="s">
        <v>122</v>
      </c>
      <c r="D33" s="19">
        <v>44.962</v>
      </c>
      <c r="E33" s="21">
        <f t="shared" si="1"/>
        <v>0</v>
      </c>
      <c r="F33" s="19">
        <v>44.962</v>
      </c>
      <c r="G33" s="19">
        <v>12</v>
      </c>
      <c r="H33" s="1">
        <v>0.89192</v>
      </c>
      <c r="I33" s="1">
        <v>10.7653</v>
      </c>
      <c r="J33" s="23" t="s">
        <v>387</v>
      </c>
    </row>
    <row r="34" spans="1:10" s="55" customFormat="1" ht="56.25">
      <c r="A34" s="25">
        <v>150101</v>
      </c>
      <c r="B34" s="18" t="s">
        <v>89</v>
      </c>
      <c r="C34" s="18" t="s">
        <v>123</v>
      </c>
      <c r="D34" s="19">
        <v>999.986</v>
      </c>
      <c r="E34" s="21">
        <f t="shared" si="1"/>
        <v>0</v>
      </c>
      <c r="F34" s="19">
        <f>SUM(D34)</f>
        <v>999.986</v>
      </c>
      <c r="G34" s="19">
        <f>970+29.486</f>
        <v>999.486</v>
      </c>
      <c r="H34" s="1">
        <v>45.85451</v>
      </c>
      <c r="I34" s="1">
        <v>1.50664</v>
      </c>
      <c r="J34" s="23" t="s">
        <v>387</v>
      </c>
    </row>
    <row r="35" spans="1:10" s="55" customFormat="1" ht="58.5" customHeight="1">
      <c r="A35" s="25">
        <v>150101</v>
      </c>
      <c r="B35" s="18" t="s">
        <v>89</v>
      </c>
      <c r="C35" s="18" t="s">
        <v>124</v>
      </c>
      <c r="D35" s="19">
        <v>987.421</v>
      </c>
      <c r="E35" s="21">
        <f t="shared" si="1"/>
        <v>0</v>
      </c>
      <c r="F35" s="19">
        <f>SUM(D35)</f>
        <v>987.421</v>
      </c>
      <c r="G35" s="19">
        <f>940+47.421</f>
        <v>987.421</v>
      </c>
      <c r="H35" s="1">
        <v>41.73073</v>
      </c>
      <c r="I35" s="1">
        <v>1.50532</v>
      </c>
      <c r="J35" s="23" t="s">
        <v>387</v>
      </c>
    </row>
    <row r="36" spans="1:10" s="55" customFormat="1" ht="56.25">
      <c r="A36" s="25">
        <v>150101</v>
      </c>
      <c r="B36" s="18" t="s">
        <v>89</v>
      </c>
      <c r="C36" s="18" t="s">
        <v>125</v>
      </c>
      <c r="D36" s="19">
        <v>882.103</v>
      </c>
      <c r="E36" s="21">
        <f t="shared" si="1"/>
        <v>0</v>
      </c>
      <c r="F36" s="19">
        <f>SUM(D36)</f>
        <v>882.103</v>
      </c>
      <c r="G36" s="19">
        <v>882.103</v>
      </c>
      <c r="H36" s="1">
        <v>37.8597</v>
      </c>
      <c r="I36" s="1">
        <v>1.39372</v>
      </c>
      <c r="J36" s="23" t="s">
        <v>387</v>
      </c>
    </row>
    <row r="37" spans="1:10" s="55" customFormat="1" ht="56.25">
      <c r="A37" s="25">
        <v>150101</v>
      </c>
      <c r="B37" s="18" t="s">
        <v>89</v>
      </c>
      <c r="C37" s="18" t="s">
        <v>126</v>
      </c>
      <c r="D37" s="19">
        <v>999.994</v>
      </c>
      <c r="E37" s="21">
        <f t="shared" si="1"/>
        <v>0</v>
      </c>
      <c r="F37" s="19">
        <f>SUM(D37)</f>
        <v>999.994</v>
      </c>
      <c r="G37" s="19">
        <v>999.994</v>
      </c>
      <c r="H37" s="1">
        <v>43.13664</v>
      </c>
      <c r="I37" s="1">
        <v>1.51816</v>
      </c>
      <c r="J37" s="23" t="s">
        <v>387</v>
      </c>
    </row>
    <row r="38" spans="1:10" s="55" customFormat="1" ht="55.5" customHeight="1">
      <c r="A38" s="25">
        <v>150101</v>
      </c>
      <c r="B38" s="18" t="s">
        <v>89</v>
      </c>
      <c r="C38" s="18" t="s">
        <v>127</v>
      </c>
      <c r="D38" s="19">
        <v>999.998</v>
      </c>
      <c r="E38" s="21">
        <f t="shared" si="1"/>
        <v>0</v>
      </c>
      <c r="F38" s="19">
        <f>SUM(D38)</f>
        <v>999.998</v>
      </c>
      <c r="G38" s="19">
        <v>999.998</v>
      </c>
      <c r="H38" s="1">
        <v>38.81158</v>
      </c>
      <c r="I38" s="1">
        <v>1.52036</v>
      </c>
      <c r="J38" s="23" t="s">
        <v>387</v>
      </c>
    </row>
    <row r="39" spans="1:10" s="55" customFormat="1" ht="116.25" customHeight="1">
      <c r="A39" s="25">
        <v>150101</v>
      </c>
      <c r="B39" s="18" t="s">
        <v>89</v>
      </c>
      <c r="C39" s="90" t="s">
        <v>128</v>
      </c>
      <c r="D39" s="19">
        <v>398.792</v>
      </c>
      <c r="E39" s="21">
        <f t="shared" si="1"/>
        <v>0</v>
      </c>
      <c r="F39" s="19">
        <v>398.792</v>
      </c>
      <c r="G39" s="19">
        <v>36.5</v>
      </c>
      <c r="H39" s="1">
        <v>0</v>
      </c>
      <c r="I39" s="1">
        <v>0</v>
      </c>
      <c r="J39" s="23" t="s">
        <v>354</v>
      </c>
    </row>
    <row r="40" spans="1:10" s="55" customFormat="1" ht="112.5">
      <c r="A40" s="25">
        <v>150101</v>
      </c>
      <c r="B40" s="18" t="s">
        <v>89</v>
      </c>
      <c r="C40" s="90" t="s">
        <v>129</v>
      </c>
      <c r="D40" s="19">
        <v>18</v>
      </c>
      <c r="E40" s="21">
        <f t="shared" si="1"/>
        <v>0</v>
      </c>
      <c r="F40" s="19">
        <v>18</v>
      </c>
      <c r="G40" s="19">
        <v>18</v>
      </c>
      <c r="H40" s="1">
        <v>0</v>
      </c>
      <c r="I40" s="1">
        <v>0</v>
      </c>
      <c r="J40" s="23" t="s">
        <v>354</v>
      </c>
    </row>
    <row r="41" spans="1:10" s="55" customFormat="1" ht="56.25">
      <c r="A41" s="25">
        <v>150101</v>
      </c>
      <c r="B41" s="18" t="s">
        <v>89</v>
      </c>
      <c r="C41" s="22" t="s">
        <v>130</v>
      </c>
      <c r="D41" s="19">
        <v>13492.94</v>
      </c>
      <c r="E41" s="21">
        <f t="shared" si="1"/>
        <v>21.184069594914064</v>
      </c>
      <c r="F41" s="19">
        <f>D41-(2764.6818+93.672)</f>
        <v>10634.586200000002</v>
      </c>
      <c r="G41" s="19">
        <v>50</v>
      </c>
      <c r="H41" s="1">
        <v>30.822</v>
      </c>
      <c r="I41" s="1">
        <v>0</v>
      </c>
      <c r="J41" s="23" t="s">
        <v>387</v>
      </c>
    </row>
    <row r="42" spans="1:10" s="55" customFormat="1" ht="75">
      <c r="A42" s="25">
        <v>150101</v>
      </c>
      <c r="B42" s="18" t="s">
        <v>89</v>
      </c>
      <c r="C42" s="18" t="s">
        <v>131</v>
      </c>
      <c r="D42" s="19">
        <v>5210</v>
      </c>
      <c r="E42" s="21">
        <f>100-(F42/D42)*100</f>
        <v>1.7417963531669756</v>
      </c>
      <c r="F42" s="19">
        <f>D42-90.74759</f>
        <v>5119.25241</v>
      </c>
      <c r="G42" s="19">
        <v>112.926</v>
      </c>
      <c r="H42" s="1">
        <v>112.92584</v>
      </c>
      <c r="I42" s="1">
        <v>0</v>
      </c>
      <c r="J42" s="91" t="s">
        <v>388</v>
      </c>
    </row>
    <row r="43" spans="1:10" s="55" customFormat="1" ht="84" customHeight="1">
      <c r="A43" s="25">
        <v>150101</v>
      </c>
      <c r="B43" s="23" t="s">
        <v>89</v>
      </c>
      <c r="C43" s="18" t="s">
        <v>132</v>
      </c>
      <c r="D43" s="19">
        <v>820.137</v>
      </c>
      <c r="E43" s="21">
        <f>100-(F43/D43)*100</f>
        <v>0</v>
      </c>
      <c r="F43" s="19">
        <v>820.137</v>
      </c>
      <c r="G43" s="19">
        <v>820.137</v>
      </c>
      <c r="H43" s="1">
        <v>184.8528</v>
      </c>
      <c r="I43" s="1">
        <v>142.18273</v>
      </c>
      <c r="J43" s="92" t="s">
        <v>0</v>
      </c>
    </row>
    <row r="44" spans="1:10" s="55" customFormat="1" ht="93.75">
      <c r="A44" s="25">
        <v>150101</v>
      </c>
      <c r="B44" s="23" t="s">
        <v>89</v>
      </c>
      <c r="C44" s="18" t="s">
        <v>133</v>
      </c>
      <c r="D44" s="19">
        <v>329</v>
      </c>
      <c r="E44" s="21">
        <f>100-(F44/D44)*100</f>
        <v>0</v>
      </c>
      <c r="F44" s="19">
        <v>329</v>
      </c>
      <c r="G44" s="19">
        <v>329</v>
      </c>
      <c r="H44" s="1">
        <v>0</v>
      </c>
      <c r="I44" s="1">
        <v>0</v>
      </c>
      <c r="J44" s="23" t="s">
        <v>354</v>
      </c>
    </row>
    <row r="45" spans="1:10" s="55" customFormat="1" ht="63" customHeight="1">
      <c r="A45" s="25">
        <v>150101</v>
      </c>
      <c r="B45" s="18" t="s">
        <v>89</v>
      </c>
      <c r="C45" s="18" t="s">
        <v>134</v>
      </c>
      <c r="D45" s="19">
        <v>465</v>
      </c>
      <c r="E45" s="21">
        <f t="shared" si="1"/>
        <v>46.5410752688172</v>
      </c>
      <c r="F45" s="19">
        <f>D45-(79.512+136.904)</f>
        <v>248.584</v>
      </c>
      <c r="G45" s="19">
        <v>248.584</v>
      </c>
      <c r="H45" s="1">
        <v>219.26723</v>
      </c>
      <c r="I45" s="1">
        <v>23.97362</v>
      </c>
      <c r="J45" s="23" t="s">
        <v>387</v>
      </c>
    </row>
    <row r="46" spans="1:10" s="55" customFormat="1" ht="56.25">
      <c r="A46" s="25">
        <v>150101</v>
      </c>
      <c r="B46" s="23" t="s">
        <v>89</v>
      </c>
      <c r="C46" s="18" t="s">
        <v>135</v>
      </c>
      <c r="D46" s="19">
        <v>4621.54</v>
      </c>
      <c r="E46" s="21">
        <f>100-(F46/D46)*100</f>
        <v>0</v>
      </c>
      <c r="F46" s="19">
        <f>D46-0</f>
        <v>4621.54</v>
      </c>
      <c r="G46" s="20">
        <v>100</v>
      </c>
      <c r="H46" s="1">
        <v>89.44292</v>
      </c>
      <c r="I46" s="1">
        <v>0.12212</v>
      </c>
      <c r="J46" s="23" t="s">
        <v>387</v>
      </c>
    </row>
    <row r="47" spans="1:10" s="55" customFormat="1" ht="97.5" customHeight="1">
      <c r="A47" s="25">
        <v>150101</v>
      </c>
      <c r="B47" s="18" t="s">
        <v>89</v>
      </c>
      <c r="C47" s="18" t="s">
        <v>136</v>
      </c>
      <c r="D47" s="19">
        <v>997.202</v>
      </c>
      <c r="E47" s="21">
        <f t="shared" si="1"/>
        <v>31.945884585069024</v>
      </c>
      <c r="F47" s="19">
        <f>SUM(D47-318.565)</f>
        <v>678.637</v>
      </c>
      <c r="G47" s="19">
        <f>439.075-15</f>
        <v>424.075</v>
      </c>
      <c r="H47" s="1">
        <v>424.07499</v>
      </c>
      <c r="I47" s="1">
        <v>0</v>
      </c>
      <c r="J47" s="91" t="s">
        <v>388</v>
      </c>
    </row>
    <row r="48" spans="1:10" s="55" customFormat="1" ht="56.25">
      <c r="A48" s="25">
        <v>150101</v>
      </c>
      <c r="B48" s="18" t="s">
        <v>89</v>
      </c>
      <c r="C48" s="18" t="s">
        <v>137</v>
      </c>
      <c r="D48" s="19">
        <v>1250.888</v>
      </c>
      <c r="E48" s="21">
        <f t="shared" si="1"/>
        <v>38.226829260493346</v>
      </c>
      <c r="F48" s="19">
        <f>SUM(D48-98.21146-96.41545-283.54791)</f>
        <v>772.71318</v>
      </c>
      <c r="G48" s="19">
        <v>772.713</v>
      </c>
      <c r="H48" s="1">
        <v>696.4574</v>
      </c>
      <c r="I48" s="1">
        <v>0.8766</v>
      </c>
      <c r="J48" s="23" t="s">
        <v>387</v>
      </c>
    </row>
    <row r="49" spans="1:10" s="55" customFormat="1" ht="60" customHeight="1">
      <c r="A49" s="25">
        <v>150101</v>
      </c>
      <c r="B49" s="18" t="s">
        <v>89</v>
      </c>
      <c r="C49" s="18" t="s">
        <v>138</v>
      </c>
      <c r="D49" s="19">
        <f>65.92+28.77</f>
        <v>94.69</v>
      </c>
      <c r="E49" s="21">
        <f t="shared" si="1"/>
        <v>0</v>
      </c>
      <c r="F49" s="19">
        <f>SUM(D49)</f>
        <v>94.69</v>
      </c>
      <c r="G49" s="19">
        <f>65.92+28.77</f>
        <v>94.69</v>
      </c>
      <c r="H49" s="1">
        <v>47.9736</v>
      </c>
      <c r="I49" s="1">
        <v>28.99732</v>
      </c>
      <c r="J49" s="23" t="s">
        <v>387</v>
      </c>
    </row>
    <row r="50" spans="1:10" s="55" customFormat="1" ht="56.25">
      <c r="A50" s="25">
        <v>150101</v>
      </c>
      <c r="B50" s="18" t="s">
        <v>89</v>
      </c>
      <c r="C50" s="18" t="s">
        <v>139</v>
      </c>
      <c r="D50" s="19">
        <f>320+60</f>
        <v>380</v>
      </c>
      <c r="E50" s="21">
        <f t="shared" si="1"/>
        <v>16.18976315789473</v>
      </c>
      <c r="F50" s="19">
        <f>D50-(60+1.5211)</f>
        <v>318.4789</v>
      </c>
      <c r="G50" s="19">
        <f>186.226+72.253+60</f>
        <v>318.479</v>
      </c>
      <c r="H50" s="1">
        <v>259.30137</v>
      </c>
      <c r="I50" s="1">
        <v>0</v>
      </c>
      <c r="J50" s="23" t="s">
        <v>387</v>
      </c>
    </row>
    <row r="51" spans="1:10" s="55" customFormat="1" ht="41.25" customHeight="1">
      <c r="A51" s="25">
        <v>150101</v>
      </c>
      <c r="B51" s="18" t="s">
        <v>89</v>
      </c>
      <c r="C51" s="18" t="s">
        <v>140</v>
      </c>
      <c r="D51" s="19">
        <v>17355.089</v>
      </c>
      <c r="E51" s="21">
        <f t="shared" si="1"/>
        <v>1.248861357034798</v>
      </c>
      <c r="F51" s="19">
        <v>17138.348</v>
      </c>
      <c r="G51" s="19">
        <f>184.976+35</f>
        <v>219.976</v>
      </c>
      <c r="H51" s="1">
        <v>185.47569</v>
      </c>
      <c r="I51" s="1">
        <v>0</v>
      </c>
      <c r="J51" s="23" t="s">
        <v>387</v>
      </c>
    </row>
    <row r="52" spans="1:10" s="55" customFormat="1" ht="56.25">
      <c r="A52" s="25">
        <v>150101</v>
      </c>
      <c r="B52" s="18" t="s">
        <v>89</v>
      </c>
      <c r="C52" s="18" t="s">
        <v>141</v>
      </c>
      <c r="D52" s="19">
        <f>430+31.406</f>
        <v>461.406</v>
      </c>
      <c r="E52" s="21">
        <f t="shared" si="1"/>
        <v>21.11676051026646</v>
      </c>
      <c r="F52" s="19">
        <f>D52-(60.3528+37.0812)</f>
        <v>363.972</v>
      </c>
      <c r="G52" s="19">
        <f>317.262+15.304+31.406</f>
        <v>363.972</v>
      </c>
      <c r="H52" s="1">
        <v>318.25743</v>
      </c>
      <c r="I52" s="1">
        <v>25.42546</v>
      </c>
      <c r="J52" s="23" t="s">
        <v>387</v>
      </c>
    </row>
    <row r="53" spans="1:10" s="55" customFormat="1" ht="100.5" customHeight="1">
      <c r="A53" s="25">
        <v>150101</v>
      </c>
      <c r="B53" s="18" t="s">
        <v>89</v>
      </c>
      <c r="C53" s="18" t="s">
        <v>142</v>
      </c>
      <c r="D53" s="19">
        <v>2800</v>
      </c>
      <c r="E53" s="21">
        <f t="shared" si="1"/>
        <v>3.8084935714285706</v>
      </c>
      <c r="F53" s="19">
        <f>D53-106.63782</f>
        <v>2693.36218</v>
      </c>
      <c r="G53" s="19">
        <f>450-200</f>
        <v>250</v>
      </c>
      <c r="H53" s="1">
        <v>184.00808</v>
      </c>
      <c r="I53" s="1">
        <v>3.79978</v>
      </c>
      <c r="J53" s="23" t="s">
        <v>387</v>
      </c>
    </row>
    <row r="54" spans="1:10" s="55" customFormat="1" ht="84" customHeight="1">
      <c r="A54" s="25">
        <v>150101</v>
      </c>
      <c r="B54" s="18" t="s">
        <v>89</v>
      </c>
      <c r="C54" s="18" t="s">
        <v>143</v>
      </c>
      <c r="D54" s="19">
        <v>4500</v>
      </c>
      <c r="E54" s="21">
        <f t="shared" si="1"/>
        <v>3.7698666666666725</v>
      </c>
      <c r="F54" s="19">
        <f>D54-169.644</f>
        <v>4330.356</v>
      </c>
      <c r="G54" s="19">
        <v>350</v>
      </c>
      <c r="H54" s="1">
        <v>100.74664</v>
      </c>
      <c r="I54" s="1">
        <v>35.67428</v>
      </c>
      <c r="J54" s="23" t="s">
        <v>395</v>
      </c>
    </row>
    <row r="55" spans="1:10" s="55" customFormat="1" ht="56.25">
      <c r="A55" s="25">
        <v>150101</v>
      </c>
      <c r="B55" s="18" t="s">
        <v>89</v>
      </c>
      <c r="C55" s="18" t="s">
        <v>144</v>
      </c>
      <c r="D55" s="19">
        <v>1951.998</v>
      </c>
      <c r="E55" s="21">
        <f t="shared" si="1"/>
        <v>4.2933973293005465</v>
      </c>
      <c r="F55" s="19">
        <f>D55-83.80703</f>
        <v>1868.19097</v>
      </c>
      <c r="G55" s="19">
        <v>150</v>
      </c>
      <c r="H55" s="1">
        <v>106.15176</v>
      </c>
      <c r="I55" s="1">
        <v>9.11637</v>
      </c>
      <c r="J55" s="23" t="s">
        <v>395</v>
      </c>
    </row>
    <row r="56" spans="1:10" s="55" customFormat="1" ht="60">
      <c r="A56" s="25">
        <v>150101</v>
      </c>
      <c r="B56" s="18" t="s">
        <v>89</v>
      </c>
      <c r="C56" s="18" t="s">
        <v>145</v>
      </c>
      <c r="D56" s="19">
        <v>2037.432</v>
      </c>
      <c r="E56" s="21">
        <f t="shared" si="1"/>
        <v>3.727133960789857</v>
      </c>
      <c r="F56" s="19">
        <f>D56-75.93782</f>
        <v>1961.49418</v>
      </c>
      <c r="G56" s="19">
        <v>500</v>
      </c>
      <c r="H56" s="1">
        <v>145.69126</v>
      </c>
      <c r="I56" s="1">
        <v>31.7879</v>
      </c>
      <c r="J56" s="23" t="s">
        <v>391</v>
      </c>
    </row>
    <row r="57" spans="1:10" s="55" customFormat="1" ht="56.25">
      <c r="A57" s="25">
        <v>150101</v>
      </c>
      <c r="B57" s="18" t="s">
        <v>89</v>
      </c>
      <c r="C57" s="18" t="s">
        <v>146</v>
      </c>
      <c r="D57" s="19">
        <v>325</v>
      </c>
      <c r="E57" s="21">
        <f t="shared" si="1"/>
        <v>0</v>
      </c>
      <c r="F57" s="19">
        <f>D57-0</f>
        <v>325</v>
      </c>
      <c r="G57" s="19">
        <v>325</v>
      </c>
      <c r="H57" s="1">
        <v>268.29528</v>
      </c>
      <c r="I57" s="1">
        <v>0.53825</v>
      </c>
      <c r="J57" s="23" t="s">
        <v>387</v>
      </c>
    </row>
    <row r="58" spans="1:10" s="55" customFormat="1" ht="78.75" customHeight="1">
      <c r="A58" s="25">
        <v>150101</v>
      </c>
      <c r="B58" s="18" t="s">
        <v>89</v>
      </c>
      <c r="C58" s="18" t="s">
        <v>352</v>
      </c>
      <c r="D58" s="19">
        <v>29998.001</v>
      </c>
      <c r="E58" s="93">
        <v>0</v>
      </c>
      <c r="F58" s="19">
        <v>29998.001</v>
      </c>
      <c r="G58" s="19">
        <f>5000-4996.218+3254.59</f>
        <v>3258.3720000000003</v>
      </c>
      <c r="H58" s="80">
        <v>2968.98013</v>
      </c>
      <c r="I58" s="1">
        <v>32.90092</v>
      </c>
      <c r="J58" s="23" t="s">
        <v>379</v>
      </c>
    </row>
    <row r="59" spans="1:10" s="55" customFormat="1" ht="75">
      <c r="A59" s="25">
        <v>150101</v>
      </c>
      <c r="B59" s="18" t="s">
        <v>89</v>
      </c>
      <c r="C59" s="18" t="s">
        <v>147</v>
      </c>
      <c r="D59" s="19">
        <v>332.2</v>
      </c>
      <c r="E59" s="21">
        <f aca="true" t="shared" si="2" ref="E59:E92">100-(F59/D59)*100</f>
        <v>96.21954244431066</v>
      </c>
      <c r="F59" s="19">
        <f>SUM(D59-319.64132)</f>
        <v>12.558679999999981</v>
      </c>
      <c r="G59" s="19">
        <v>0.426</v>
      </c>
      <c r="H59" s="1">
        <v>0.426</v>
      </c>
      <c r="I59" s="1">
        <v>0</v>
      </c>
      <c r="J59" s="23" t="s">
        <v>379</v>
      </c>
    </row>
    <row r="60" spans="1:10" s="55" customFormat="1" ht="37.5">
      <c r="A60" s="25">
        <v>150101</v>
      </c>
      <c r="B60" s="18" t="s">
        <v>89</v>
      </c>
      <c r="C60" s="18" t="s">
        <v>148</v>
      </c>
      <c r="D60" s="19">
        <v>6849.198</v>
      </c>
      <c r="E60" s="21">
        <f t="shared" si="2"/>
        <v>2.151230990840091</v>
      </c>
      <c r="F60" s="19">
        <f>D60-147.34207</f>
        <v>6701.855930000001</v>
      </c>
      <c r="G60" s="19">
        <v>100</v>
      </c>
      <c r="H60" s="1">
        <v>4.4547</v>
      </c>
      <c r="I60" s="1">
        <v>0</v>
      </c>
      <c r="J60" s="23" t="s">
        <v>387</v>
      </c>
    </row>
    <row r="61" spans="1:10" s="55" customFormat="1" ht="75">
      <c r="A61" s="25">
        <v>150101</v>
      </c>
      <c r="B61" s="18" t="s">
        <v>89</v>
      </c>
      <c r="C61" s="18" t="s">
        <v>149</v>
      </c>
      <c r="D61" s="19">
        <v>330</v>
      </c>
      <c r="E61" s="21">
        <f t="shared" si="2"/>
        <v>0</v>
      </c>
      <c r="F61" s="19">
        <f>D61-0</f>
        <v>330</v>
      </c>
      <c r="G61" s="19">
        <v>330</v>
      </c>
      <c r="H61" s="1">
        <v>0</v>
      </c>
      <c r="I61" s="1">
        <v>71.32216</v>
      </c>
      <c r="J61" s="23" t="s">
        <v>354</v>
      </c>
    </row>
    <row r="62" spans="1:10" s="55" customFormat="1" ht="42" customHeight="1">
      <c r="A62" s="25">
        <v>150101</v>
      </c>
      <c r="B62" s="18" t="s">
        <v>89</v>
      </c>
      <c r="C62" s="18" t="s">
        <v>150</v>
      </c>
      <c r="D62" s="19">
        <v>3216.012</v>
      </c>
      <c r="E62" s="21">
        <f t="shared" si="2"/>
        <v>0.10837148617605408</v>
      </c>
      <c r="F62" s="19">
        <f>D62-3.48524</f>
        <v>3212.52676</v>
      </c>
      <c r="G62" s="19">
        <v>3212.527</v>
      </c>
      <c r="H62" s="80">
        <v>2070.96995</v>
      </c>
      <c r="I62" s="1">
        <v>147.08089</v>
      </c>
      <c r="J62" s="23" t="s">
        <v>380</v>
      </c>
    </row>
    <row r="63" spans="1:10" s="55" customFormat="1" ht="56.25">
      <c r="A63" s="25">
        <v>150101</v>
      </c>
      <c r="B63" s="18" t="s">
        <v>89</v>
      </c>
      <c r="C63" s="18" t="s">
        <v>151</v>
      </c>
      <c r="D63" s="19">
        <v>1600.549</v>
      </c>
      <c r="E63" s="21">
        <f t="shared" si="2"/>
        <v>0.6112277724705706</v>
      </c>
      <c r="F63" s="19">
        <v>1590.766</v>
      </c>
      <c r="G63" s="19">
        <v>1590.766</v>
      </c>
      <c r="H63" s="1">
        <v>972.04419</v>
      </c>
      <c r="I63" s="1">
        <v>482.46484</v>
      </c>
      <c r="J63" s="23" t="s">
        <v>29</v>
      </c>
    </row>
    <row r="64" spans="1:10" s="55" customFormat="1" ht="62.25" customHeight="1">
      <c r="A64" s="94">
        <v>150101</v>
      </c>
      <c r="B64" s="22" t="s">
        <v>89</v>
      </c>
      <c r="C64" s="22" t="s">
        <v>152</v>
      </c>
      <c r="D64" s="82">
        <v>205.17</v>
      </c>
      <c r="E64" s="95">
        <f t="shared" si="2"/>
        <v>0</v>
      </c>
      <c r="F64" s="82">
        <f>SUM(D64)</f>
        <v>205.17</v>
      </c>
      <c r="G64" s="19">
        <v>33.408</v>
      </c>
      <c r="H64" s="1">
        <v>33.40776</v>
      </c>
      <c r="I64" s="1">
        <v>0</v>
      </c>
      <c r="J64" s="91" t="s">
        <v>389</v>
      </c>
    </row>
    <row r="65" spans="1:10" s="55" customFormat="1" ht="79.5" customHeight="1">
      <c r="A65" s="94">
        <v>150101</v>
      </c>
      <c r="B65" s="22" t="s">
        <v>89</v>
      </c>
      <c r="C65" s="22" t="s">
        <v>153</v>
      </c>
      <c r="D65" s="82">
        <v>169.307</v>
      </c>
      <c r="E65" s="95">
        <f t="shared" si="2"/>
        <v>0</v>
      </c>
      <c r="F65" s="82">
        <f>SUM(D65)</f>
        <v>169.307</v>
      </c>
      <c r="G65" s="19">
        <v>169.215</v>
      </c>
      <c r="H65" s="1">
        <v>169.2146</v>
      </c>
      <c r="I65" s="1">
        <v>0</v>
      </c>
      <c r="J65" s="91" t="s">
        <v>389</v>
      </c>
    </row>
    <row r="66" spans="1:10" s="55" customFormat="1" ht="56.25">
      <c r="A66" s="94">
        <v>150101</v>
      </c>
      <c r="B66" s="22" t="s">
        <v>89</v>
      </c>
      <c r="C66" s="90" t="s">
        <v>154</v>
      </c>
      <c r="D66" s="82">
        <v>20.278</v>
      </c>
      <c r="E66" s="95">
        <f t="shared" si="2"/>
        <v>0</v>
      </c>
      <c r="F66" s="82">
        <f aca="true" t="shared" si="3" ref="F66:F84">SUM(D66)</f>
        <v>20.278</v>
      </c>
      <c r="G66" s="19">
        <v>15</v>
      </c>
      <c r="H66" s="1">
        <v>0</v>
      </c>
      <c r="I66" s="1">
        <v>7.49189</v>
      </c>
      <c r="J66" s="23" t="s">
        <v>354</v>
      </c>
    </row>
    <row r="67" spans="1:10" s="55" customFormat="1" ht="56.25">
      <c r="A67" s="94">
        <v>150101</v>
      </c>
      <c r="B67" s="22" t="s">
        <v>89</v>
      </c>
      <c r="C67" s="90" t="s">
        <v>155</v>
      </c>
      <c r="D67" s="82">
        <v>21.328</v>
      </c>
      <c r="E67" s="95">
        <f t="shared" si="2"/>
        <v>0</v>
      </c>
      <c r="F67" s="82">
        <f t="shared" si="3"/>
        <v>21.328</v>
      </c>
      <c r="G67" s="19">
        <v>15</v>
      </c>
      <c r="H67" s="1">
        <v>0</v>
      </c>
      <c r="I67" s="1">
        <v>7.49189</v>
      </c>
      <c r="J67" s="23" t="s">
        <v>354</v>
      </c>
    </row>
    <row r="68" spans="1:10" s="55" customFormat="1" ht="56.25">
      <c r="A68" s="94">
        <v>150101</v>
      </c>
      <c r="B68" s="22" t="s">
        <v>89</v>
      </c>
      <c r="C68" s="90" t="s">
        <v>156</v>
      </c>
      <c r="D68" s="82">
        <v>24.608</v>
      </c>
      <c r="E68" s="95">
        <f t="shared" si="2"/>
        <v>0</v>
      </c>
      <c r="F68" s="82">
        <f t="shared" si="3"/>
        <v>24.608</v>
      </c>
      <c r="G68" s="19">
        <v>15</v>
      </c>
      <c r="H68" s="1">
        <v>0</v>
      </c>
      <c r="I68" s="1">
        <v>0</v>
      </c>
      <c r="J68" s="23" t="s">
        <v>354</v>
      </c>
    </row>
    <row r="69" spans="1:10" s="55" customFormat="1" ht="56.25">
      <c r="A69" s="94">
        <v>150101</v>
      </c>
      <c r="B69" s="22" t="s">
        <v>89</v>
      </c>
      <c r="C69" s="90" t="s">
        <v>157</v>
      </c>
      <c r="D69" s="82">
        <v>27.555</v>
      </c>
      <c r="E69" s="95">
        <f t="shared" si="2"/>
        <v>0</v>
      </c>
      <c r="F69" s="82">
        <f t="shared" si="3"/>
        <v>27.555</v>
      </c>
      <c r="G69" s="19">
        <v>15</v>
      </c>
      <c r="H69" s="1">
        <v>0</v>
      </c>
      <c r="I69" s="1">
        <v>0</v>
      </c>
      <c r="J69" s="23" t="s">
        <v>354</v>
      </c>
    </row>
    <row r="70" spans="1:10" s="55" customFormat="1" ht="56.25">
      <c r="A70" s="94">
        <v>150101</v>
      </c>
      <c r="B70" s="22" t="s">
        <v>89</v>
      </c>
      <c r="C70" s="90" t="s">
        <v>158</v>
      </c>
      <c r="D70" s="82">
        <v>26.655</v>
      </c>
      <c r="E70" s="95">
        <f t="shared" si="2"/>
        <v>0</v>
      </c>
      <c r="F70" s="82">
        <f t="shared" si="3"/>
        <v>26.655</v>
      </c>
      <c r="G70" s="19">
        <v>15</v>
      </c>
      <c r="H70" s="1">
        <v>0</v>
      </c>
      <c r="I70" s="1">
        <v>0</v>
      </c>
      <c r="J70" s="23" t="s">
        <v>354</v>
      </c>
    </row>
    <row r="71" spans="1:10" s="55" customFormat="1" ht="56.25">
      <c r="A71" s="94">
        <v>150101</v>
      </c>
      <c r="B71" s="22" t="s">
        <v>89</v>
      </c>
      <c r="C71" s="90" t="s">
        <v>159</v>
      </c>
      <c r="D71" s="82">
        <v>16.744</v>
      </c>
      <c r="E71" s="95">
        <f t="shared" si="2"/>
        <v>0</v>
      </c>
      <c r="F71" s="82">
        <f t="shared" si="3"/>
        <v>16.744</v>
      </c>
      <c r="G71" s="19">
        <v>15</v>
      </c>
      <c r="H71" s="1">
        <v>0</v>
      </c>
      <c r="I71" s="1">
        <v>7.49189</v>
      </c>
      <c r="J71" s="23" t="s">
        <v>354</v>
      </c>
    </row>
    <row r="72" spans="1:10" s="55" customFormat="1" ht="56.25">
      <c r="A72" s="94">
        <v>150101</v>
      </c>
      <c r="B72" s="22" t="s">
        <v>89</v>
      </c>
      <c r="C72" s="90" t="s">
        <v>160</v>
      </c>
      <c r="D72" s="82">
        <v>16.114</v>
      </c>
      <c r="E72" s="95">
        <f t="shared" si="2"/>
        <v>0</v>
      </c>
      <c r="F72" s="82">
        <f t="shared" si="3"/>
        <v>16.114</v>
      </c>
      <c r="G72" s="19">
        <v>16</v>
      </c>
      <c r="H72" s="1">
        <v>0</v>
      </c>
      <c r="I72" s="1">
        <v>0</v>
      </c>
      <c r="J72" s="23" t="s">
        <v>354</v>
      </c>
    </row>
    <row r="73" spans="1:10" s="55" customFormat="1" ht="56.25">
      <c r="A73" s="94">
        <v>150101</v>
      </c>
      <c r="B73" s="22" t="s">
        <v>89</v>
      </c>
      <c r="C73" s="90" t="s">
        <v>161</v>
      </c>
      <c r="D73" s="82">
        <v>25.955</v>
      </c>
      <c r="E73" s="95">
        <f t="shared" si="2"/>
        <v>0</v>
      </c>
      <c r="F73" s="82">
        <f t="shared" si="3"/>
        <v>25.955</v>
      </c>
      <c r="G73" s="19">
        <v>17</v>
      </c>
      <c r="H73" s="1">
        <v>0</v>
      </c>
      <c r="I73" s="1">
        <v>0</v>
      </c>
      <c r="J73" s="23" t="s">
        <v>354</v>
      </c>
    </row>
    <row r="74" spans="1:10" s="55" customFormat="1" ht="56.25">
      <c r="A74" s="94">
        <v>150101</v>
      </c>
      <c r="B74" s="22" t="s">
        <v>89</v>
      </c>
      <c r="C74" s="90" t="s">
        <v>162</v>
      </c>
      <c r="D74" s="82">
        <v>23.873</v>
      </c>
      <c r="E74" s="95">
        <f t="shared" si="2"/>
        <v>0</v>
      </c>
      <c r="F74" s="82">
        <f t="shared" si="3"/>
        <v>23.873</v>
      </c>
      <c r="G74" s="19">
        <v>15</v>
      </c>
      <c r="H74" s="1">
        <v>0</v>
      </c>
      <c r="I74" s="1">
        <v>0</v>
      </c>
      <c r="J74" s="23" t="s">
        <v>354</v>
      </c>
    </row>
    <row r="75" spans="1:10" s="55" customFormat="1" ht="56.25">
      <c r="A75" s="94">
        <v>150101</v>
      </c>
      <c r="B75" s="22" t="s">
        <v>89</v>
      </c>
      <c r="C75" s="90" t="s">
        <v>163</v>
      </c>
      <c r="D75" s="82">
        <v>16.014</v>
      </c>
      <c r="E75" s="95">
        <f t="shared" si="2"/>
        <v>0</v>
      </c>
      <c r="F75" s="82">
        <f t="shared" si="3"/>
        <v>16.014</v>
      </c>
      <c r="G75" s="19">
        <v>15</v>
      </c>
      <c r="H75" s="1">
        <v>0</v>
      </c>
      <c r="I75" s="1">
        <v>7.49189</v>
      </c>
      <c r="J75" s="23" t="s">
        <v>354</v>
      </c>
    </row>
    <row r="76" spans="1:10" s="55" customFormat="1" ht="56.25">
      <c r="A76" s="94">
        <v>150101</v>
      </c>
      <c r="B76" s="22" t="s">
        <v>89</v>
      </c>
      <c r="C76" s="22" t="s">
        <v>164</v>
      </c>
      <c r="D76" s="82">
        <v>150</v>
      </c>
      <c r="E76" s="95">
        <f t="shared" si="2"/>
        <v>0</v>
      </c>
      <c r="F76" s="82">
        <f t="shared" si="3"/>
        <v>150</v>
      </c>
      <c r="G76" s="19">
        <v>150</v>
      </c>
      <c r="H76" s="1">
        <v>0</v>
      </c>
      <c r="I76" s="1">
        <v>0</v>
      </c>
      <c r="J76" s="23" t="s">
        <v>354</v>
      </c>
    </row>
    <row r="77" spans="1:10" s="55" customFormat="1" ht="37.5">
      <c r="A77" s="94">
        <v>150101</v>
      </c>
      <c r="B77" s="22" t="s">
        <v>89</v>
      </c>
      <c r="C77" s="22" t="s">
        <v>165</v>
      </c>
      <c r="D77" s="82">
        <v>200</v>
      </c>
      <c r="E77" s="95">
        <f t="shared" si="2"/>
        <v>0</v>
      </c>
      <c r="F77" s="82">
        <f t="shared" si="3"/>
        <v>200</v>
      </c>
      <c r="G77" s="19">
        <v>200</v>
      </c>
      <c r="H77" s="1">
        <v>0</v>
      </c>
      <c r="I77" s="1">
        <v>0</v>
      </c>
      <c r="J77" s="23" t="s">
        <v>354</v>
      </c>
    </row>
    <row r="78" spans="1:10" s="55" customFormat="1" ht="56.25">
      <c r="A78" s="94">
        <v>150101</v>
      </c>
      <c r="B78" s="22" t="s">
        <v>89</v>
      </c>
      <c r="C78" s="22" t="s">
        <v>166</v>
      </c>
      <c r="D78" s="82">
        <v>300</v>
      </c>
      <c r="E78" s="95">
        <f t="shared" si="2"/>
        <v>0</v>
      </c>
      <c r="F78" s="82">
        <f t="shared" si="3"/>
        <v>300</v>
      </c>
      <c r="G78" s="19">
        <v>300</v>
      </c>
      <c r="H78" s="1">
        <v>0</v>
      </c>
      <c r="I78" s="1">
        <v>0</v>
      </c>
      <c r="J78" s="23" t="s">
        <v>354</v>
      </c>
    </row>
    <row r="79" spans="1:10" s="55" customFormat="1" ht="56.25">
      <c r="A79" s="94">
        <v>150101</v>
      </c>
      <c r="B79" s="22" t="s">
        <v>89</v>
      </c>
      <c r="C79" s="22" t="s">
        <v>167</v>
      </c>
      <c r="D79" s="82">
        <v>100</v>
      </c>
      <c r="E79" s="95">
        <f t="shared" si="2"/>
        <v>0</v>
      </c>
      <c r="F79" s="82">
        <f t="shared" si="3"/>
        <v>100</v>
      </c>
      <c r="G79" s="19">
        <v>100</v>
      </c>
      <c r="H79" s="1">
        <v>0</v>
      </c>
      <c r="I79" s="1">
        <v>0</v>
      </c>
      <c r="J79" s="23" t="s">
        <v>354</v>
      </c>
    </row>
    <row r="80" spans="1:10" s="55" customFormat="1" ht="75">
      <c r="A80" s="94">
        <v>150101</v>
      </c>
      <c r="B80" s="22" t="s">
        <v>89</v>
      </c>
      <c r="C80" s="22" t="s">
        <v>168</v>
      </c>
      <c r="D80" s="82">
        <v>39.888</v>
      </c>
      <c r="E80" s="95">
        <f t="shared" si="2"/>
        <v>0</v>
      </c>
      <c r="F80" s="82">
        <f t="shared" si="3"/>
        <v>39.888</v>
      </c>
      <c r="G80" s="19">
        <v>20.184</v>
      </c>
      <c r="H80" s="1">
        <v>0</v>
      </c>
      <c r="I80" s="1">
        <v>0</v>
      </c>
      <c r="J80" s="23" t="s">
        <v>354</v>
      </c>
    </row>
    <row r="81" spans="1:10" s="55" customFormat="1" ht="93.75">
      <c r="A81" s="94">
        <v>150101</v>
      </c>
      <c r="B81" s="22" t="s">
        <v>89</v>
      </c>
      <c r="C81" s="22" t="s">
        <v>169</v>
      </c>
      <c r="D81" s="82">
        <v>222.588</v>
      </c>
      <c r="E81" s="95">
        <f t="shared" si="2"/>
        <v>0</v>
      </c>
      <c r="F81" s="82">
        <f t="shared" si="3"/>
        <v>222.588</v>
      </c>
      <c r="G81" s="19">
        <v>222.588</v>
      </c>
      <c r="H81" s="1">
        <v>0</v>
      </c>
      <c r="I81" s="1">
        <v>222.588</v>
      </c>
      <c r="J81" s="23" t="s">
        <v>354</v>
      </c>
    </row>
    <row r="82" spans="1:10" s="55" customFormat="1" ht="56.25">
      <c r="A82" s="94">
        <v>150101</v>
      </c>
      <c r="B82" s="22" t="s">
        <v>89</v>
      </c>
      <c r="C82" s="22" t="s">
        <v>170</v>
      </c>
      <c r="D82" s="82">
        <v>173.866</v>
      </c>
      <c r="E82" s="95">
        <f t="shared" si="2"/>
        <v>0</v>
      </c>
      <c r="F82" s="82">
        <f t="shared" si="3"/>
        <v>173.866</v>
      </c>
      <c r="G82" s="19">
        <v>24.9</v>
      </c>
      <c r="H82" s="1">
        <v>0</v>
      </c>
      <c r="I82" s="1">
        <v>24.4586</v>
      </c>
      <c r="J82" s="23" t="s">
        <v>354</v>
      </c>
    </row>
    <row r="83" spans="1:10" s="55" customFormat="1" ht="56.25">
      <c r="A83" s="94">
        <v>150101</v>
      </c>
      <c r="B83" s="22" t="s">
        <v>89</v>
      </c>
      <c r="C83" s="22" t="s">
        <v>171</v>
      </c>
      <c r="D83" s="82">
        <v>206.191</v>
      </c>
      <c r="E83" s="95">
        <f t="shared" si="2"/>
        <v>0</v>
      </c>
      <c r="F83" s="82">
        <f t="shared" si="3"/>
        <v>206.191</v>
      </c>
      <c r="G83" s="19">
        <v>27.18</v>
      </c>
      <c r="H83" s="1">
        <v>0</v>
      </c>
      <c r="I83" s="1">
        <v>24.4586</v>
      </c>
      <c r="J83" s="23" t="s">
        <v>354</v>
      </c>
    </row>
    <row r="84" spans="1:10" s="55" customFormat="1" ht="56.25">
      <c r="A84" s="94">
        <v>150101</v>
      </c>
      <c r="B84" s="22" t="s">
        <v>89</v>
      </c>
      <c r="C84" s="22" t="s">
        <v>172</v>
      </c>
      <c r="D84" s="82">
        <v>224.328</v>
      </c>
      <c r="E84" s="95">
        <f t="shared" si="2"/>
        <v>0</v>
      </c>
      <c r="F84" s="82">
        <f t="shared" si="3"/>
        <v>224.328</v>
      </c>
      <c r="G84" s="19">
        <v>27.54</v>
      </c>
      <c r="H84" s="1">
        <v>0</v>
      </c>
      <c r="I84" s="1">
        <v>27.4201</v>
      </c>
      <c r="J84" s="23" t="s">
        <v>354</v>
      </c>
    </row>
    <row r="85" spans="1:10" s="55" customFormat="1" ht="56.25">
      <c r="A85" s="94">
        <v>150101</v>
      </c>
      <c r="B85" s="22" t="s">
        <v>89</v>
      </c>
      <c r="C85" s="22" t="s">
        <v>173</v>
      </c>
      <c r="D85" s="82">
        <v>8169.181</v>
      </c>
      <c r="E85" s="95">
        <f t="shared" si="2"/>
        <v>2.1007892957690615</v>
      </c>
      <c r="F85" s="82">
        <f>SUM(D85-160.8-10.81728)</f>
        <v>7997.563719999999</v>
      </c>
      <c r="G85" s="19">
        <v>120</v>
      </c>
      <c r="H85" s="1">
        <v>0</v>
      </c>
      <c r="I85" s="1">
        <v>0</v>
      </c>
      <c r="J85" s="23" t="s">
        <v>354</v>
      </c>
    </row>
    <row r="86" spans="1:10" s="55" customFormat="1" ht="75">
      <c r="A86" s="94">
        <v>150101</v>
      </c>
      <c r="B86" s="22" t="s">
        <v>89</v>
      </c>
      <c r="C86" s="22" t="s">
        <v>174</v>
      </c>
      <c r="D86" s="82">
        <v>300</v>
      </c>
      <c r="E86" s="95">
        <f t="shared" si="2"/>
        <v>0</v>
      </c>
      <c r="F86" s="82">
        <f aca="true" t="shared" si="4" ref="F86:F92">SUM(D86)</f>
        <v>300</v>
      </c>
      <c r="G86" s="19">
        <v>300</v>
      </c>
      <c r="H86" s="1">
        <v>0</v>
      </c>
      <c r="I86" s="1">
        <v>0</v>
      </c>
      <c r="J86" s="23" t="s">
        <v>354</v>
      </c>
    </row>
    <row r="87" spans="1:10" s="55" customFormat="1" ht="56.25">
      <c r="A87" s="94">
        <v>150101</v>
      </c>
      <c r="B87" s="22" t="s">
        <v>89</v>
      </c>
      <c r="C87" s="22" t="s">
        <v>175</v>
      </c>
      <c r="D87" s="82">
        <v>85</v>
      </c>
      <c r="E87" s="95">
        <f t="shared" si="2"/>
        <v>0</v>
      </c>
      <c r="F87" s="82">
        <f t="shared" si="4"/>
        <v>85</v>
      </c>
      <c r="G87" s="19">
        <v>85</v>
      </c>
      <c r="H87" s="1">
        <v>0</v>
      </c>
      <c r="I87" s="1">
        <v>0</v>
      </c>
      <c r="J87" s="23" t="s">
        <v>354</v>
      </c>
    </row>
    <row r="88" spans="1:10" s="55" customFormat="1" ht="75">
      <c r="A88" s="94">
        <v>150101</v>
      </c>
      <c r="B88" s="22" t="s">
        <v>89</v>
      </c>
      <c r="C88" s="22" t="s">
        <v>176</v>
      </c>
      <c r="D88" s="82">
        <v>1000</v>
      </c>
      <c r="E88" s="95">
        <f t="shared" si="2"/>
        <v>0</v>
      </c>
      <c r="F88" s="82">
        <f t="shared" si="4"/>
        <v>1000</v>
      </c>
      <c r="G88" s="19">
        <v>400</v>
      </c>
      <c r="H88" s="1">
        <v>0</v>
      </c>
      <c r="I88" s="1">
        <v>0</v>
      </c>
      <c r="J88" s="23" t="s">
        <v>354</v>
      </c>
    </row>
    <row r="89" spans="1:10" s="55" customFormat="1" ht="56.25">
      <c r="A89" s="94">
        <v>150101</v>
      </c>
      <c r="B89" s="22" t="s">
        <v>89</v>
      </c>
      <c r="C89" s="23" t="s">
        <v>177</v>
      </c>
      <c r="D89" s="82">
        <v>52.041</v>
      </c>
      <c r="E89" s="95">
        <f t="shared" si="2"/>
        <v>0</v>
      </c>
      <c r="F89" s="82">
        <f t="shared" si="4"/>
        <v>52.041</v>
      </c>
      <c r="G89" s="19">
        <v>52.041</v>
      </c>
      <c r="H89" s="1">
        <v>0</v>
      </c>
      <c r="I89" s="86">
        <v>24</v>
      </c>
      <c r="J89" s="23" t="s">
        <v>354</v>
      </c>
    </row>
    <row r="90" spans="1:10" s="55" customFormat="1" ht="75">
      <c r="A90" s="94">
        <v>150101</v>
      </c>
      <c r="B90" s="22" t="s">
        <v>89</v>
      </c>
      <c r="C90" s="23" t="s">
        <v>178</v>
      </c>
      <c r="D90" s="82">
        <v>25.918</v>
      </c>
      <c r="E90" s="95">
        <f>100-(F90/D90)*100</f>
        <v>0</v>
      </c>
      <c r="F90" s="82">
        <f t="shared" si="4"/>
        <v>25.918</v>
      </c>
      <c r="G90" s="19">
        <v>25.918</v>
      </c>
      <c r="H90" s="1">
        <v>0</v>
      </c>
      <c r="I90" s="1">
        <v>0</v>
      </c>
      <c r="J90" s="23" t="s">
        <v>354</v>
      </c>
    </row>
    <row r="91" spans="1:10" s="55" customFormat="1" ht="37.5">
      <c r="A91" s="94">
        <v>150101</v>
      </c>
      <c r="B91" s="22" t="s">
        <v>89</v>
      </c>
      <c r="C91" s="23" t="s">
        <v>179</v>
      </c>
      <c r="D91" s="82">
        <v>110</v>
      </c>
      <c r="E91" s="95">
        <f t="shared" si="2"/>
        <v>0</v>
      </c>
      <c r="F91" s="82">
        <f t="shared" si="4"/>
        <v>110</v>
      </c>
      <c r="G91" s="19">
        <v>50</v>
      </c>
      <c r="H91" s="1">
        <v>0</v>
      </c>
      <c r="I91" s="1">
        <v>0.49496</v>
      </c>
      <c r="J91" s="23" t="s">
        <v>354</v>
      </c>
    </row>
    <row r="92" spans="1:10" s="55" customFormat="1" ht="56.25">
      <c r="A92" s="94">
        <v>150101</v>
      </c>
      <c r="B92" s="22" t="s">
        <v>89</v>
      </c>
      <c r="C92" s="23" t="s">
        <v>180</v>
      </c>
      <c r="D92" s="82">
        <v>100</v>
      </c>
      <c r="E92" s="95">
        <f t="shared" si="2"/>
        <v>0</v>
      </c>
      <c r="F92" s="82">
        <f t="shared" si="4"/>
        <v>100</v>
      </c>
      <c r="G92" s="19">
        <v>50</v>
      </c>
      <c r="H92" s="1">
        <v>0</v>
      </c>
      <c r="I92" s="86">
        <v>50</v>
      </c>
      <c r="J92" s="23" t="s">
        <v>354</v>
      </c>
    </row>
    <row r="93" spans="1:10" s="55" customFormat="1" ht="18.75">
      <c r="A93" s="161">
        <v>180409</v>
      </c>
      <c r="B93" s="163" t="s">
        <v>181</v>
      </c>
      <c r="C93" s="162" t="s">
        <v>182</v>
      </c>
      <c r="D93" s="82"/>
      <c r="E93" s="95"/>
      <c r="F93" s="82"/>
      <c r="G93" s="19">
        <v>990</v>
      </c>
      <c r="H93" s="1">
        <v>0</v>
      </c>
      <c r="I93" s="1">
        <v>0</v>
      </c>
      <c r="J93" s="23" t="s">
        <v>354</v>
      </c>
    </row>
    <row r="94" spans="1:10" s="55" customFormat="1" ht="75">
      <c r="A94" s="161"/>
      <c r="B94" s="163"/>
      <c r="C94" s="162"/>
      <c r="D94" s="82"/>
      <c r="E94" s="95"/>
      <c r="F94" s="82"/>
      <c r="G94" s="19">
        <v>8399.604</v>
      </c>
      <c r="H94" s="19">
        <v>6198.8</v>
      </c>
      <c r="I94" s="19">
        <v>2199.604</v>
      </c>
      <c r="J94" s="91" t="s">
        <v>30</v>
      </c>
    </row>
    <row r="95" spans="1:10" s="55" customFormat="1" ht="60.75" customHeight="1">
      <c r="A95" s="161"/>
      <c r="B95" s="163"/>
      <c r="C95" s="162"/>
      <c r="D95" s="82"/>
      <c r="E95" s="95"/>
      <c r="F95" s="82"/>
      <c r="G95" s="19">
        <f>800-84.322</f>
        <v>715.678</v>
      </c>
      <c r="H95" s="96">
        <v>390.3706</v>
      </c>
      <c r="I95" s="1">
        <v>0</v>
      </c>
      <c r="J95" s="91" t="s">
        <v>373</v>
      </c>
    </row>
    <row r="96" spans="1:10" s="55" customFormat="1" ht="61.5" customHeight="1">
      <c r="A96" s="164">
        <v>180409</v>
      </c>
      <c r="B96" s="162" t="s">
        <v>181</v>
      </c>
      <c r="C96" s="162" t="s">
        <v>183</v>
      </c>
      <c r="D96" s="19"/>
      <c r="E96" s="21"/>
      <c r="F96" s="19"/>
      <c r="G96" s="19">
        <v>1125.14</v>
      </c>
      <c r="H96" s="19">
        <v>1125.14</v>
      </c>
      <c r="I96" s="1">
        <v>0</v>
      </c>
      <c r="J96" s="97" t="s">
        <v>376</v>
      </c>
    </row>
    <row r="97" spans="1:10" s="55" customFormat="1" ht="57.75" customHeight="1">
      <c r="A97" s="164"/>
      <c r="B97" s="162"/>
      <c r="C97" s="162"/>
      <c r="D97" s="19"/>
      <c r="E97" s="21"/>
      <c r="F97" s="19"/>
      <c r="G97" s="19">
        <v>382.8</v>
      </c>
      <c r="H97" s="86">
        <v>382.8</v>
      </c>
      <c r="I97" s="1">
        <v>0</v>
      </c>
      <c r="J97" s="97" t="s">
        <v>374</v>
      </c>
    </row>
    <row r="98" spans="1:10" s="55" customFormat="1" ht="37.5">
      <c r="A98" s="164"/>
      <c r="B98" s="162"/>
      <c r="C98" s="162"/>
      <c r="D98" s="1"/>
      <c r="E98" s="21"/>
      <c r="F98" s="19"/>
      <c r="G98" s="19">
        <v>140</v>
      </c>
      <c r="H98" s="86">
        <v>140</v>
      </c>
      <c r="I98" s="1">
        <v>0</v>
      </c>
      <c r="J98" s="97" t="s">
        <v>375</v>
      </c>
    </row>
    <row r="99" spans="1:10" s="55" customFormat="1" ht="118.5" customHeight="1">
      <c r="A99" s="77">
        <v>40</v>
      </c>
      <c r="B99" s="78" t="s">
        <v>184</v>
      </c>
      <c r="C99" s="78"/>
      <c r="D99" s="63">
        <f>SUM(D100:D135)</f>
        <v>39370.44599999997</v>
      </c>
      <c r="E99" s="63"/>
      <c r="F99" s="63">
        <f>SUM(F100:F135)</f>
        <v>29514.23412000002</v>
      </c>
      <c r="G99" s="63">
        <f>SUM(G100:G135)</f>
        <v>17719.29399999999</v>
      </c>
      <c r="H99" s="63">
        <f>SUM(H100:H135)</f>
        <v>5434.55875</v>
      </c>
      <c r="I99" s="79">
        <f>SUM(I100:I135)</f>
        <v>2957.99618</v>
      </c>
      <c r="J99" s="88"/>
    </row>
    <row r="100" spans="1:10" s="55" customFormat="1" ht="59.25" customHeight="1">
      <c r="A100" s="25">
        <v>150101</v>
      </c>
      <c r="B100" s="18" t="s">
        <v>89</v>
      </c>
      <c r="C100" s="18" t="s">
        <v>185</v>
      </c>
      <c r="D100" s="20">
        <v>3036.56</v>
      </c>
      <c r="E100" s="21">
        <f aca="true" t="shared" si="5" ref="E100:E133">100-(F100/D100)*100</f>
        <v>30.88672017019259</v>
      </c>
      <c r="F100" s="20">
        <f>D100-(884.915+52.97879)</f>
        <v>2098.66621</v>
      </c>
      <c r="G100" s="20">
        <v>678.935</v>
      </c>
      <c r="H100" s="1">
        <v>640.1108</v>
      </c>
      <c r="I100" s="1">
        <v>0</v>
      </c>
      <c r="J100" s="23" t="s">
        <v>31</v>
      </c>
    </row>
    <row r="101" spans="1:10" s="55" customFormat="1" ht="56.25">
      <c r="A101" s="25">
        <v>150101</v>
      </c>
      <c r="B101" s="18" t="s">
        <v>89</v>
      </c>
      <c r="C101" s="18" t="s">
        <v>186</v>
      </c>
      <c r="D101" s="19">
        <v>840</v>
      </c>
      <c r="E101" s="21">
        <f t="shared" si="5"/>
        <v>0</v>
      </c>
      <c r="F101" s="19">
        <f>D101</f>
        <v>840</v>
      </c>
      <c r="G101" s="19">
        <v>840</v>
      </c>
      <c r="H101" s="1">
        <v>0</v>
      </c>
      <c r="I101" s="1">
        <v>4.1064</v>
      </c>
      <c r="J101" s="23" t="s">
        <v>354</v>
      </c>
    </row>
    <row r="102" spans="1:10" s="55" customFormat="1" ht="93.75">
      <c r="A102" s="25">
        <v>150101</v>
      </c>
      <c r="B102" s="18" t="s">
        <v>89</v>
      </c>
      <c r="C102" s="18" t="s">
        <v>187</v>
      </c>
      <c r="D102" s="19">
        <v>1512</v>
      </c>
      <c r="E102" s="21">
        <f t="shared" si="5"/>
        <v>33.69751322751323</v>
      </c>
      <c r="F102" s="19">
        <f>D102-509.5064</f>
        <v>1002.4936</v>
      </c>
      <c r="G102" s="19">
        <f>196.381</f>
        <v>196.381</v>
      </c>
      <c r="H102" s="1">
        <v>84.38064</v>
      </c>
      <c r="I102" s="1">
        <v>24.8652</v>
      </c>
      <c r="J102" s="23" t="s">
        <v>32</v>
      </c>
    </row>
    <row r="103" spans="1:10" s="55" customFormat="1" ht="56.25">
      <c r="A103" s="25">
        <v>150101</v>
      </c>
      <c r="B103" s="18" t="s">
        <v>89</v>
      </c>
      <c r="C103" s="18" t="s">
        <v>188</v>
      </c>
      <c r="D103" s="19">
        <v>1761.669</v>
      </c>
      <c r="E103" s="21">
        <f t="shared" si="5"/>
        <v>40.32799237541217</v>
      </c>
      <c r="F103" s="19">
        <f>D103-710.44574</f>
        <v>1051.2232600000002</v>
      </c>
      <c r="G103" s="19">
        <v>254.224</v>
      </c>
      <c r="H103" s="1">
        <v>254.2225</v>
      </c>
      <c r="I103" s="1">
        <v>0</v>
      </c>
      <c r="J103" s="23" t="s">
        <v>33</v>
      </c>
    </row>
    <row r="104" spans="1:10" s="55" customFormat="1" ht="37.5">
      <c r="A104" s="25">
        <v>150101</v>
      </c>
      <c r="B104" s="18" t="s">
        <v>89</v>
      </c>
      <c r="C104" s="18" t="s">
        <v>189</v>
      </c>
      <c r="D104" s="19">
        <v>800</v>
      </c>
      <c r="E104" s="21">
        <f t="shared" si="5"/>
        <v>0.27025374999999485</v>
      </c>
      <c r="F104" s="19">
        <f>D104-2.16203</f>
        <v>797.83797</v>
      </c>
      <c r="G104" s="19">
        <f>99.511</f>
        <v>99.511</v>
      </c>
      <c r="H104" s="1">
        <v>0</v>
      </c>
      <c r="I104" s="1">
        <v>79.7484</v>
      </c>
      <c r="J104" s="23" t="s">
        <v>354</v>
      </c>
    </row>
    <row r="105" spans="1:10" s="55" customFormat="1" ht="37.5">
      <c r="A105" s="25">
        <v>150101</v>
      </c>
      <c r="B105" s="18" t="s">
        <v>89</v>
      </c>
      <c r="C105" s="18" t="s">
        <v>190</v>
      </c>
      <c r="D105" s="19">
        <v>1664.934</v>
      </c>
      <c r="E105" s="21">
        <f t="shared" si="5"/>
        <v>0</v>
      </c>
      <c r="F105" s="19">
        <f>D105</f>
        <v>1664.934</v>
      </c>
      <c r="G105" s="19">
        <f>550+44.404</f>
        <v>594.404</v>
      </c>
      <c r="H105" s="1">
        <v>594.40113</v>
      </c>
      <c r="I105" s="1">
        <v>0</v>
      </c>
      <c r="J105" s="98" t="s">
        <v>8</v>
      </c>
    </row>
    <row r="106" spans="1:10" s="55" customFormat="1" ht="56.25">
      <c r="A106" s="25">
        <v>150101</v>
      </c>
      <c r="B106" s="18" t="s">
        <v>89</v>
      </c>
      <c r="C106" s="18" t="s">
        <v>191</v>
      </c>
      <c r="D106" s="19">
        <v>1050.483</v>
      </c>
      <c r="E106" s="21">
        <f t="shared" si="5"/>
        <v>0</v>
      </c>
      <c r="F106" s="19">
        <f>D106-0</f>
        <v>1050.483</v>
      </c>
      <c r="G106" s="19">
        <v>1050.483</v>
      </c>
      <c r="H106" s="1">
        <v>6.59545</v>
      </c>
      <c r="I106" s="1">
        <v>0</v>
      </c>
      <c r="J106" s="99" t="s">
        <v>9</v>
      </c>
    </row>
    <row r="107" spans="1:10" s="55" customFormat="1" ht="56.25">
      <c r="A107" s="25">
        <v>150101</v>
      </c>
      <c r="B107" s="18" t="s">
        <v>89</v>
      </c>
      <c r="C107" s="18" t="s">
        <v>192</v>
      </c>
      <c r="D107" s="19">
        <v>3231.882</v>
      </c>
      <c r="E107" s="21">
        <f>100-(F107/D107)*100</f>
        <v>66.36832099686808</v>
      </c>
      <c r="F107" s="19">
        <f>1131.882-44.94582</f>
        <v>1086.9361800000001</v>
      </c>
      <c r="G107" s="19">
        <v>575.931</v>
      </c>
      <c r="H107" s="1">
        <v>70.76735</v>
      </c>
      <c r="I107" s="1">
        <v>0</v>
      </c>
      <c r="J107" s="23" t="s">
        <v>11</v>
      </c>
    </row>
    <row r="108" spans="1:10" s="55" customFormat="1" ht="56.25">
      <c r="A108" s="25">
        <v>150101</v>
      </c>
      <c r="B108" s="18" t="s">
        <v>89</v>
      </c>
      <c r="C108" s="18" t="s">
        <v>193</v>
      </c>
      <c r="D108" s="19">
        <v>2667.701</v>
      </c>
      <c r="E108" s="21">
        <f t="shared" si="5"/>
        <v>6.489295464521689</v>
      </c>
      <c r="F108" s="19">
        <f>D108-173.115</f>
        <v>2494.5860000000002</v>
      </c>
      <c r="G108" s="19">
        <v>1100</v>
      </c>
      <c r="H108" s="1">
        <v>591.54716</v>
      </c>
      <c r="I108" s="1">
        <v>4.77109</v>
      </c>
      <c r="J108" s="98" t="s">
        <v>12</v>
      </c>
    </row>
    <row r="109" spans="1:10" s="55" customFormat="1" ht="37.5">
      <c r="A109" s="25">
        <v>150101</v>
      </c>
      <c r="B109" s="18" t="s">
        <v>89</v>
      </c>
      <c r="C109" s="22" t="s">
        <v>194</v>
      </c>
      <c r="D109" s="19">
        <v>5000</v>
      </c>
      <c r="E109" s="21">
        <f t="shared" si="5"/>
        <v>0</v>
      </c>
      <c r="F109" s="19">
        <f>D109</f>
        <v>5000</v>
      </c>
      <c r="G109" s="19">
        <v>253.405</v>
      </c>
      <c r="H109" s="1">
        <v>253.40467</v>
      </c>
      <c r="I109" s="1">
        <v>0</v>
      </c>
      <c r="J109" s="99" t="s">
        <v>10</v>
      </c>
    </row>
    <row r="110" spans="1:10" s="55" customFormat="1" ht="156.75" customHeight="1">
      <c r="A110" s="25">
        <v>150101</v>
      </c>
      <c r="B110" s="18" t="s">
        <v>89</v>
      </c>
      <c r="C110" s="22" t="s">
        <v>195</v>
      </c>
      <c r="D110" s="19">
        <v>3116.841</v>
      </c>
      <c r="E110" s="21">
        <f t="shared" si="5"/>
        <v>2.7912877172752815</v>
      </c>
      <c r="F110" s="19">
        <f>D110-87</f>
        <v>3029.841</v>
      </c>
      <c r="G110" s="19">
        <f>209.114+800+412.555</f>
        <v>1421.669</v>
      </c>
      <c r="H110" s="1">
        <v>905.23378</v>
      </c>
      <c r="I110" s="1">
        <v>202.86567</v>
      </c>
      <c r="J110" s="100" t="s">
        <v>34</v>
      </c>
    </row>
    <row r="111" spans="1:10" s="55" customFormat="1" ht="43.5" customHeight="1">
      <c r="A111" s="25">
        <v>150101</v>
      </c>
      <c r="B111" s="18" t="s">
        <v>89</v>
      </c>
      <c r="C111" s="22" t="s">
        <v>196</v>
      </c>
      <c r="D111" s="19">
        <v>822.602</v>
      </c>
      <c r="E111" s="21">
        <f t="shared" si="5"/>
        <v>56.382807238494436</v>
      </c>
      <c r="F111" s="19">
        <f>SUM(D111-463.8061)</f>
        <v>358.79589999999996</v>
      </c>
      <c r="G111" s="19">
        <v>358.796</v>
      </c>
      <c r="H111" s="1">
        <v>18.7964</v>
      </c>
      <c r="I111" s="1">
        <v>0.297</v>
      </c>
      <c r="J111" s="23" t="s">
        <v>35</v>
      </c>
    </row>
    <row r="112" spans="1:10" s="55" customFormat="1" ht="63.75" customHeight="1">
      <c r="A112" s="25">
        <v>150101</v>
      </c>
      <c r="B112" s="18" t="s">
        <v>89</v>
      </c>
      <c r="C112" s="22" t="s">
        <v>197</v>
      </c>
      <c r="D112" s="19">
        <v>480.88</v>
      </c>
      <c r="E112" s="21">
        <f t="shared" si="5"/>
        <v>38.585925802695066</v>
      </c>
      <c r="F112" s="19">
        <v>295.328</v>
      </c>
      <c r="G112" s="19">
        <f>277.274+18.054</f>
        <v>295.328</v>
      </c>
      <c r="H112" s="1">
        <v>277.27422</v>
      </c>
      <c r="I112" s="1">
        <v>0</v>
      </c>
      <c r="J112" s="23" t="s">
        <v>13</v>
      </c>
    </row>
    <row r="113" spans="1:10" s="55" customFormat="1" ht="37.5">
      <c r="A113" s="25">
        <v>150101</v>
      </c>
      <c r="B113" s="18" t="s">
        <v>89</v>
      </c>
      <c r="C113" s="22" t="s">
        <v>198</v>
      </c>
      <c r="D113" s="19">
        <v>1062</v>
      </c>
      <c r="E113" s="21">
        <f t="shared" si="5"/>
        <v>50.847457627118644</v>
      </c>
      <c r="F113" s="19">
        <v>522</v>
      </c>
      <c r="G113" s="19">
        <v>461.143</v>
      </c>
      <c r="H113" s="1">
        <v>461.14248</v>
      </c>
      <c r="I113" s="1">
        <v>0</v>
      </c>
      <c r="J113" s="23" t="s">
        <v>14</v>
      </c>
    </row>
    <row r="114" spans="1:10" s="55" customFormat="1" ht="37.5">
      <c r="A114" s="25">
        <v>150101</v>
      </c>
      <c r="B114" s="18" t="s">
        <v>89</v>
      </c>
      <c r="C114" s="22" t="s">
        <v>199</v>
      </c>
      <c r="D114" s="19">
        <v>1366.871</v>
      </c>
      <c r="E114" s="21">
        <f t="shared" si="5"/>
        <v>83.2401155632097</v>
      </c>
      <c r="F114" s="19">
        <v>229.086</v>
      </c>
      <c r="G114" s="19">
        <v>14.595</v>
      </c>
      <c r="H114" s="1">
        <v>14.59493</v>
      </c>
      <c r="I114" s="1">
        <v>0</v>
      </c>
      <c r="J114" s="23" t="s">
        <v>15</v>
      </c>
    </row>
    <row r="115" spans="1:10" s="55" customFormat="1" ht="75">
      <c r="A115" s="25">
        <v>150101</v>
      </c>
      <c r="B115" s="18" t="s">
        <v>89</v>
      </c>
      <c r="C115" s="22" t="s">
        <v>200</v>
      </c>
      <c r="D115" s="19">
        <v>2664.013</v>
      </c>
      <c r="E115" s="21">
        <f t="shared" si="5"/>
        <v>52.10826673893858</v>
      </c>
      <c r="F115" s="19">
        <v>1275.842</v>
      </c>
      <c r="G115" s="19">
        <v>289.816</v>
      </c>
      <c r="H115" s="1">
        <v>0</v>
      </c>
      <c r="I115" s="1">
        <v>0</v>
      </c>
      <c r="J115" s="23" t="s">
        <v>354</v>
      </c>
    </row>
    <row r="116" spans="1:10" s="55" customFormat="1" ht="75">
      <c r="A116" s="25">
        <v>150101</v>
      </c>
      <c r="B116" s="18" t="s">
        <v>89</v>
      </c>
      <c r="C116" s="22" t="s">
        <v>201</v>
      </c>
      <c r="D116" s="19">
        <v>610.807</v>
      </c>
      <c r="E116" s="21">
        <f t="shared" si="5"/>
        <v>23.40379203250781</v>
      </c>
      <c r="F116" s="19">
        <v>467.855</v>
      </c>
      <c r="G116" s="19">
        <f>178.128+289.727</f>
        <v>467.85499999999996</v>
      </c>
      <c r="H116" s="1">
        <v>178.12755</v>
      </c>
      <c r="I116" s="1">
        <v>0.41856</v>
      </c>
      <c r="J116" s="23" t="s">
        <v>16</v>
      </c>
    </row>
    <row r="117" spans="1:10" s="55" customFormat="1" ht="37.5">
      <c r="A117" s="25">
        <v>150101</v>
      </c>
      <c r="B117" s="18" t="s">
        <v>89</v>
      </c>
      <c r="C117" s="22" t="s">
        <v>202</v>
      </c>
      <c r="D117" s="19">
        <v>717.305</v>
      </c>
      <c r="E117" s="21">
        <f t="shared" si="5"/>
        <v>3.9168833341465614</v>
      </c>
      <c r="F117" s="19">
        <v>689.209</v>
      </c>
      <c r="G117" s="19">
        <f>325.758+354.451</f>
        <v>680.2090000000001</v>
      </c>
      <c r="H117" s="1">
        <v>673.4614</v>
      </c>
      <c r="I117" s="1">
        <v>0</v>
      </c>
      <c r="J117" s="23" t="s">
        <v>36</v>
      </c>
    </row>
    <row r="118" spans="1:10" s="55" customFormat="1" ht="75">
      <c r="A118" s="25">
        <v>150101</v>
      </c>
      <c r="B118" s="18" t="s">
        <v>89</v>
      </c>
      <c r="C118" s="22" t="s">
        <v>203</v>
      </c>
      <c r="D118" s="19">
        <v>294</v>
      </c>
      <c r="E118" s="21">
        <f t="shared" si="5"/>
        <v>29.31972789115646</v>
      </c>
      <c r="F118" s="19">
        <v>207.8</v>
      </c>
      <c r="G118" s="19">
        <f>54.138+153.662</f>
        <v>207.8</v>
      </c>
      <c r="H118" s="1">
        <v>54.13813</v>
      </c>
      <c r="I118" s="1">
        <v>0.297</v>
      </c>
      <c r="J118" s="23" t="s">
        <v>17</v>
      </c>
    </row>
    <row r="119" spans="1:10" s="55" customFormat="1" ht="37.5">
      <c r="A119" s="25">
        <v>150101</v>
      </c>
      <c r="B119" s="18" t="s">
        <v>89</v>
      </c>
      <c r="C119" s="22" t="s">
        <v>204</v>
      </c>
      <c r="D119" s="19">
        <v>1502.982</v>
      </c>
      <c r="E119" s="21">
        <f t="shared" si="5"/>
        <v>87.73099079030887</v>
      </c>
      <c r="F119" s="19">
        <v>184.401</v>
      </c>
      <c r="G119" s="19">
        <v>93.587</v>
      </c>
      <c r="H119" s="1">
        <v>93.58659</v>
      </c>
      <c r="I119" s="1">
        <v>0</v>
      </c>
      <c r="J119" s="23" t="s">
        <v>37</v>
      </c>
    </row>
    <row r="120" spans="1:10" s="55" customFormat="1" ht="83.25" customHeight="1">
      <c r="A120" s="25">
        <v>150101</v>
      </c>
      <c r="B120" s="18" t="s">
        <v>89</v>
      </c>
      <c r="C120" s="22" t="s">
        <v>205</v>
      </c>
      <c r="D120" s="19">
        <v>298.864</v>
      </c>
      <c r="E120" s="21">
        <f t="shared" si="5"/>
        <v>0</v>
      </c>
      <c r="F120" s="19">
        <v>298.864</v>
      </c>
      <c r="G120" s="19">
        <f>86.43+212.434</f>
        <v>298.86400000000003</v>
      </c>
      <c r="H120" s="1">
        <v>249.81262</v>
      </c>
      <c r="I120" s="1">
        <v>28.75128</v>
      </c>
      <c r="J120" s="23" t="s">
        <v>38</v>
      </c>
    </row>
    <row r="121" spans="1:10" s="55" customFormat="1" ht="56.25">
      <c r="A121" s="25">
        <v>150101</v>
      </c>
      <c r="B121" s="18" t="s">
        <v>89</v>
      </c>
      <c r="C121" s="22" t="s">
        <v>206</v>
      </c>
      <c r="D121" s="19">
        <v>4548.06</v>
      </c>
      <c r="E121" s="21">
        <f t="shared" si="5"/>
        <v>0</v>
      </c>
      <c r="F121" s="19">
        <v>4548.06</v>
      </c>
      <c r="G121" s="19">
        <v>1015.071</v>
      </c>
      <c r="H121" s="1">
        <v>1.41395</v>
      </c>
      <c r="I121" s="1">
        <v>3.29921</v>
      </c>
      <c r="J121" s="99" t="s">
        <v>368</v>
      </c>
    </row>
    <row r="122" spans="1:10" s="55" customFormat="1" ht="37.5">
      <c r="A122" s="25">
        <v>150101</v>
      </c>
      <c r="B122" s="18" t="s">
        <v>89</v>
      </c>
      <c r="C122" s="22" t="s">
        <v>207</v>
      </c>
      <c r="D122" s="19">
        <v>26.666</v>
      </c>
      <c r="E122" s="21">
        <f t="shared" si="5"/>
        <v>0</v>
      </c>
      <c r="F122" s="19">
        <v>26.666</v>
      </c>
      <c r="G122" s="19">
        <v>26.666</v>
      </c>
      <c r="H122" s="1">
        <v>0</v>
      </c>
      <c r="I122" s="1">
        <v>0</v>
      </c>
      <c r="J122" s="23" t="s">
        <v>354</v>
      </c>
    </row>
    <row r="123" spans="1:10" s="55" customFormat="1" ht="37.5">
      <c r="A123" s="25">
        <v>150101</v>
      </c>
      <c r="B123" s="18" t="s">
        <v>89</v>
      </c>
      <c r="C123" s="22" t="s">
        <v>208</v>
      </c>
      <c r="D123" s="19">
        <v>26.666</v>
      </c>
      <c r="E123" s="21">
        <f t="shared" si="5"/>
        <v>0</v>
      </c>
      <c r="F123" s="19">
        <v>26.666</v>
      </c>
      <c r="G123" s="19">
        <v>26.666</v>
      </c>
      <c r="H123" s="1">
        <v>0</v>
      </c>
      <c r="I123" s="1">
        <v>3.73948</v>
      </c>
      <c r="J123" s="23" t="s">
        <v>354</v>
      </c>
    </row>
    <row r="124" spans="1:10" s="55" customFormat="1" ht="37.5">
      <c r="A124" s="25">
        <v>150101</v>
      </c>
      <c r="B124" s="18" t="s">
        <v>89</v>
      </c>
      <c r="C124" s="22" t="s">
        <v>209</v>
      </c>
      <c r="D124" s="19">
        <v>26.666</v>
      </c>
      <c r="E124" s="21">
        <f t="shared" si="5"/>
        <v>0</v>
      </c>
      <c r="F124" s="19">
        <v>26.666</v>
      </c>
      <c r="G124" s="19">
        <v>26.666</v>
      </c>
      <c r="H124" s="1">
        <v>0</v>
      </c>
      <c r="I124" s="1">
        <v>4.3453</v>
      </c>
      <c r="J124" s="23" t="s">
        <v>354</v>
      </c>
    </row>
    <row r="125" spans="1:10" s="55" customFormat="1" ht="37.5" customHeight="1">
      <c r="A125" s="25">
        <v>150101</v>
      </c>
      <c r="B125" s="18" t="s">
        <v>89</v>
      </c>
      <c r="C125" s="22" t="s">
        <v>210</v>
      </c>
      <c r="D125" s="19">
        <v>26.666</v>
      </c>
      <c r="E125" s="21">
        <f t="shared" si="5"/>
        <v>0</v>
      </c>
      <c r="F125" s="19">
        <v>26.666</v>
      </c>
      <c r="G125" s="19">
        <v>26.666</v>
      </c>
      <c r="H125" s="1">
        <v>0</v>
      </c>
      <c r="I125" s="1">
        <v>3.94142</v>
      </c>
      <c r="J125" s="23" t="s">
        <v>354</v>
      </c>
    </row>
    <row r="126" spans="1:10" s="55" customFormat="1" ht="37.5" customHeight="1">
      <c r="A126" s="25">
        <v>150101</v>
      </c>
      <c r="B126" s="18" t="s">
        <v>89</v>
      </c>
      <c r="C126" s="22" t="s">
        <v>211</v>
      </c>
      <c r="D126" s="19">
        <v>26.666</v>
      </c>
      <c r="E126" s="21">
        <f t="shared" si="5"/>
        <v>0</v>
      </c>
      <c r="F126" s="19">
        <v>26.666</v>
      </c>
      <c r="G126" s="19">
        <v>26.666</v>
      </c>
      <c r="H126" s="1">
        <v>0</v>
      </c>
      <c r="I126" s="1">
        <v>3.73948</v>
      </c>
      <c r="J126" s="23" t="s">
        <v>354</v>
      </c>
    </row>
    <row r="127" spans="1:10" s="55" customFormat="1" ht="37.5" customHeight="1">
      <c r="A127" s="25">
        <v>150101</v>
      </c>
      <c r="B127" s="18" t="s">
        <v>89</v>
      </c>
      <c r="C127" s="22" t="s">
        <v>212</v>
      </c>
      <c r="D127" s="19">
        <v>26.666</v>
      </c>
      <c r="E127" s="21">
        <f t="shared" si="5"/>
        <v>0</v>
      </c>
      <c r="F127" s="19">
        <v>26.666</v>
      </c>
      <c r="G127" s="19">
        <v>26.666</v>
      </c>
      <c r="H127" s="1">
        <v>0</v>
      </c>
      <c r="I127" s="1">
        <v>3.73948</v>
      </c>
      <c r="J127" s="23" t="s">
        <v>354</v>
      </c>
    </row>
    <row r="128" spans="1:10" s="55" customFormat="1" ht="37.5">
      <c r="A128" s="25">
        <v>150101</v>
      </c>
      <c r="B128" s="18" t="s">
        <v>89</v>
      </c>
      <c r="C128" s="22" t="s">
        <v>213</v>
      </c>
      <c r="D128" s="19">
        <v>26.666</v>
      </c>
      <c r="E128" s="21">
        <f t="shared" si="5"/>
        <v>0</v>
      </c>
      <c r="F128" s="19">
        <v>26.666</v>
      </c>
      <c r="G128" s="19">
        <v>26.666</v>
      </c>
      <c r="H128" s="1">
        <v>0</v>
      </c>
      <c r="I128" s="1">
        <v>0</v>
      </c>
      <c r="J128" s="23" t="s">
        <v>354</v>
      </c>
    </row>
    <row r="129" spans="1:10" s="55" customFormat="1" ht="37.5">
      <c r="A129" s="25">
        <v>150101</v>
      </c>
      <c r="B129" s="18" t="s">
        <v>89</v>
      </c>
      <c r="C129" s="22" t="s">
        <v>214</v>
      </c>
      <c r="D129" s="19">
        <v>26.666</v>
      </c>
      <c r="E129" s="21">
        <f t="shared" si="5"/>
        <v>0</v>
      </c>
      <c r="F129" s="19">
        <v>26.666</v>
      </c>
      <c r="G129" s="19">
        <v>26.666</v>
      </c>
      <c r="H129" s="1">
        <v>0</v>
      </c>
      <c r="I129" s="1">
        <v>4.54723</v>
      </c>
      <c r="J129" s="23" t="s">
        <v>354</v>
      </c>
    </row>
    <row r="130" spans="1:10" s="55" customFormat="1" ht="37.5">
      <c r="A130" s="25">
        <v>150101</v>
      </c>
      <c r="B130" s="18" t="s">
        <v>89</v>
      </c>
      <c r="C130" s="22" t="s">
        <v>215</v>
      </c>
      <c r="D130" s="19">
        <v>26.666</v>
      </c>
      <c r="E130" s="21">
        <f t="shared" si="5"/>
        <v>0</v>
      </c>
      <c r="F130" s="19">
        <v>26.666</v>
      </c>
      <c r="G130" s="19">
        <v>26.666</v>
      </c>
      <c r="H130" s="1">
        <v>0</v>
      </c>
      <c r="I130" s="1">
        <v>4.95112</v>
      </c>
      <c r="J130" s="23" t="s">
        <v>354</v>
      </c>
    </row>
    <row r="131" spans="1:10" s="55" customFormat="1" ht="37.5">
      <c r="A131" s="25">
        <v>150101</v>
      </c>
      <c r="B131" s="18" t="s">
        <v>89</v>
      </c>
      <c r="C131" s="22" t="s">
        <v>216</v>
      </c>
      <c r="D131" s="19">
        <v>26.666</v>
      </c>
      <c r="E131" s="21">
        <f t="shared" si="5"/>
        <v>0</v>
      </c>
      <c r="F131" s="19">
        <v>26.666</v>
      </c>
      <c r="G131" s="19">
        <v>26.666</v>
      </c>
      <c r="H131" s="1">
        <v>0</v>
      </c>
      <c r="I131" s="1">
        <v>0</v>
      </c>
      <c r="J131" s="23" t="s">
        <v>354</v>
      </c>
    </row>
    <row r="132" spans="1:10" s="55" customFormat="1" ht="37.5">
      <c r="A132" s="25">
        <v>150101</v>
      </c>
      <c r="B132" s="18" t="s">
        <v>89</v>
      </c>
      <c r="C132" s="22" t="s">
        <v>217</v>
      </c>
      <c r="D132" s="19">
        <v>26.666</v>
      </c>
      <c r="E132" s="21">
        <f>100-(F132/D132)*100</f>
        <v>0</v>
      </c>
      <c r="F132" s="19">
        <v>26.666</v>
      </c>
      <c r="G132" s="19">
        <v>26.666</v>
      </c>
      <c r="H132" s="1">
        <v>0</v>
      </c>
      <c r="I132" s="1">
        <v>4.54723</v>
      </c>
      <c r="J132" s="23" t="s">
        <v>354</v>
      </c>
    </row>
    <row r="133" spans="1:10" s="55" customFormat="1" ht="37.5">
      <c r="A133" s="25">
        <v>150101</v>
      </c>
      <c r="B133" s="18" t="s">
        <v>89</v>
      </c>
      <c r="C133" s="22" t="s">
        <v>218</v>
      </c>
      <c r="D133" s="19">
        <v>26.666</v>
      </c>
      <c r="E133" s="21">
        <f t="shared" si="5"/>
        <v>0</v>
      </c>
      <c r="F133" s="19">
        <v>26.666</v>
      </c>
      <c r="G133" s="19">
        <v>26.666</v>
      </c>
      <c r="H133" s="1">
        <v>0</v>
      </c>
      <c r="I133" s="1">
        <v>4.54723</v>
      </c>
      <c r="J133" s="23" t="s">
        <v>354</v>
      </c>
    </row>
    <row r="134" spans="1:10" s="55" customFormat="1" ht="71.25" customHeight="1">
      <c r="A134" s="25">
        <v>150118</v>
      </c>
      <c r="B134" s="101" t="s">
        <v>219</v>
      </c>
      <c r="C134" s="22" t="s">
        <v>220</v>
      </c>
      <c r="D134" s="19"/>
      <c r="E134" s="21"/>
      <c r="F134" s="19"/>
      <c r="G134" s="19">
        <v>2902.495</v>
      </c>
      <c r="H134" s="1">
        <v>11.547</v>
      </c>
      <c r="I134" s="1">
        <v>0</v>
      </c>
      <c r="J134" s="102" t="s">
        <v>372</v>
      </c>
    </row>
    <row r="135" spans="1:10" s="55" customFormat="1" ht="110.25">
      <c r="A135" s="94">
        <v>180409</v>
      </c>
      <c r="B135" s="103" t="s">
        <v>181</v>
      </c>
      <c r="C135" s="91" t="s">
        <v>221</v>
      </c>
      <c r="D135" s="19"/>
      <c r="E135" s="21"/>
      <c r="F135" s="19"/>
      <c r="G135" s="19">
        <v>3248.8</v>
      </c>
      <c r="H135" s="1">
        <v>0</v>
      </c>
      <c r="I135" s="1">
        <v>2570.4784</v>
      </c>
      <c r="J135" s="23" t="s">
        <v>354</v>
      </c>
    </row>
    <row r="136" spans="1:10" s="55" customFormat="1" ht="93.75">
      <c r="A136" s="77">
        <v>10</v>
      </c>
      <c r="B136" s="78" t="s">
        <v>222</v>
      </c>
      <c r="C136" s="78"/>
      <c r="D136" s="63">
        <f>SUM(D137:D151)</f>
        <v>63675.80800000001</v>
      </c>
      <c r="E136" s="63"/>
      <c r="F136" s="63">
        <f>SUM(F137:F151)</f>
        <v>55493.761710000006</v>
      </c>
      <c r="G136" s="63">
        <f>SUM(G137:G151)</f>
        <v>16460.324</v>
      </c>
      <c r="H136" s="63">
        <f>SUM(H137:H151)</f>
        <v>7024.0380300000015</v>
      </c>
      <c r="I136" s="79">
        <f>SUM(I137:I151)</f>
        <v>1080.10069</v>
      </c>
      <c r="J136" s="88"/>
    </row>
    <row r="137" spans="1:10" s="55" customFormat="1" ht="156.75" customHeight="1">
      <c r="A137" s="25">
        <v>150101</v>
      </c>
      <c r="B137" s="18" t="s">
        <v>89</v>
      </c>
      <c r="C137" s="18" t="s">
        <v>223</v>
      </c>
      <c r="D137" s="19">
        <v>2105.695</v>
      </c>
      <c r="E137" s="21">
        <f aca="true" t="shared" si="6" ref="E137:E147">100-(F137/D137)*100</f>
        <v>7.531995374448826</v>
      </c>
      <c r="F137" s="19">
        <f>D137-158.60085</f>
        <v>1947.0941500000001</v>
      </c>
      <c r="G137" s="19">
        <f>274.246+1672.848</f>
        <v>1947.094</v>
      </c>
      <c r="H137" s="80">
        <v>1785.14845</v>
      </c>
      <c r="I137" s="1">
        <v>33.99569</v>
      </c>
      <c r="J137" s="104" t="s">
        <v>39</v>
      </c>
    </row>
    <row r="138" spans="1:10" s="55" customFormat="1" ht="75">
      <c r="A138" s="25">
        <v>150101</v>
      </c>
      <c r="B138" s="18" t="s">
        <v>89</v>
      </c>
      <c r="C138" s="22" t="s">
        <v>224</v>
      </c>
      <c r="D138" s="19">
        <v>3519.492</v>
      </c>
      <c r="E138" s="21">
        <f t="shared" si="6"/>
        <v>37.06448544278549</v>
      </c>
      <c r="F138" s="19">
        <f>2397.192-182.1816</f>
        <v>2215.0104</v>
      </c>
      <c r="G138" s="19">
        <f>54.072+1120.562-5.081-8.492-931</f>
        <v>230.06100000000015</v>
      </c>
      <c r="H138" s="1">
        <v>54.072</v>
      </c>
      <c r="I138" s="1">
        <v>130.8151</v>
      </c>
      <c r="J138" s="97" t="s">
        <v>366</v>
      </c>
    </row>
    <row r="139" spans="1:10" s="55" customFormat="1" ht="82.5" customHeight="1">
      <c r="A139" s="25">
        <v>150101</v>
      </c>
      <c r="B139" s="18" t="s">
        <v>89</v>
      </c>
      <c r="C139" s="18" t="s">
        <v>225</v>
      </c>
      <c r="D139" s="19">
        <v>2335.982</v>
      </c>
      <c r="E139" s="21">
        <f t="shared" si="6"/>
        <v>66.29837943956761</v>
      </c>
      <c r="F139" s="19">
        <f>D139-(1069.8304+474.25929+1.38856+3.23996)</f>
        <v>787.2637899999997</v>
      </c>
      <c r="G139" s="19">
        <f>583.111+204.153</f>
        <v>787.264</v>
      </c>
      <c r="H139" s="1">
        <v>781.1106</v>
      </c>
      <c r="I139" s="1">
        <v>0</v>
      </c>
      <c r="J139" s="105" t="s">
        <v>40</v>
      </c>
    </row>
    <row r="140" spans="1:10" s="55" customFormat="1" ht="93.75">
      <c r="A140" s="25">
        <v>150101</v>
      </c>
      <c r="B140" s="18" t="s">
        <v>89</v>
      </c>
      <c r="C140" s="22" t="s">
        <v>226</v>
      </c>
      <c r="D140" s="19">
        <v>6379.139</v>
      </c>
      <c r="E140" s="21">
        <f t="shared" si="6"/>
        <v>35.38813482509158</v>
      </c>
      <c r="F140" s="19">
        <f>D140-(1687.311+344.04021+44.9761+181.131)</f>
        <v>4121.680690000001</v>
      </c>
      <c r="G140" s="19">
        <f>46.111+1149.714+261.296</f>
        <v>1457.121</v>
      </c>
      <c r="H140" s="1">
        <v>636.19824</v>
      </c>
      <c r="I140" s="1">
        <v>12.354</v>
      </c>
      <c r="J140" s="23" t="s">
        <v>363</v>
      </c>
    </row>
    <row r="141" spans="1:10" s="55" customFormat="1" ht="57.75" customHeight="1">
      <c r="A141" s="25">
        <v>150101</v>
      </c>
      <c r="B141" s="18" t="s">
        <v>89</v>
      </c>
      <c r="C141" s="18" t="s">
        <v>227</v>
      </c>
      <c r="D141" s="19">
        <v>7632.826</v>
      </c>
      <c r="E141" s="21">
        <f t="shared" si="6"/>
        <v>16.719485548340813</v>
      </c>
      <c r="F141" s="19">
        <f>D141-(1069.7+206.46924)</f>
        <v>6356.65676</v>
      </c>
      <c r="G141" s="19">
        <f>0.133+553.564-260-59.972</f>
        <v>233.725</v>
      </c>
      <c r="H141" s="1">
        <v>0.13313</v>
      </c>
      <c r="I141" s="1">
        <v>4.79506</v>
      </c>
      <c r="J141" s="23" t="s">
        <v>364</v>
      </c>
    </row>
    <row r="142" spans="1:10" s="55" customFormat="1" ht="93.75">
      <c r="A142" s="94">
        <v>150101</v>
      </c>
      <c r="B142" s="22" t="s">
        <v>89</v>
      </c>
      <c r="C142" s="18" t="s">
        <v>228</v>
      </c>
      <c r="D142" s="82">
        <f>13005.346+2884.005</f>
        <v>15889.350999999999</v>
      </c>
      <c r="E142" s="21">
        <f t="shared" si="6"/>
        <v>2.0143220449973143</v>
      </c>
      <c r="F142" s="19">
        <f>SUM(D142-202.12564-117.93706)</f>
        <v>15569.288299999998</v>
      </c>
      <c r="G142" s="19">
        <f>7672-280.65</f>
        <v>7391.35</v>
      </c>
      <c r="H142" s="80">
        <v>2239.71048</v>
      </c>
      <c r="I142" s="1">
        <v>87.7444</v>
      </c>
      <c r="J142" s="104" t="s">
        <v>41</v>
      </c>
    </row>
    <row r="143" spans="1:10" s="55" customFormat="1" ht="75">
      <c r="A143" s="94">
        <v>150101</v>
      </c>
      <c r="B143" s="22" t="s">
        <v>89</v>
      </c>
      <c r="C143" s="22" t="s">
        <v>229</v>
      </c>
      <c r="D143" s="82">
        <v>11138.05</v>
      </c>
      <c r="E143" s="95">
        <f>100-(F143/D143)*100</f>
        <v>2.566631142794307</v>
      </c>
      <c r="F143" s="82">
        <f>D143-285.87266</f>
        <v>10852.177339999998</v>
      </c>
      <c r="G143" s="19">
        <f>20+15</f>
        <v>35</v>
      </c>
      <c r="H143" s="1">
        <v>14.127</v>
      </c>
      <c r="I143" s="1">
        <v>20.68379</v>
      </c>
      <c r="J143" s="106" t="s">
        <v>365</v>
      </c>
    </row>
    <row r="144" spans="1:10" s="55" customFormat="1" ht="79.5" customHeight="1">
      <c r="A144" s="94">
        <v>150101</v>
      </c>
      <c r="B144" s="22" t="s">
        <v>89</v>
      </c>
      <c r="C144" s="22" t="s">
        <v>230</v>
      </c>
      <c r="D144" s="82">
        <v>260</v>
      </c>
      <c r="E144" s="95">
        <f>100-(F144/D144)*100</f>
        <v>0</v>
      </c>
      <c r="F144" s="82">
        <v>260</v>
      </c>
      <c r="G144" s="19">
        <v>260</v>
      </c>
      <c r="H144" s="1">
        <v>0</v>
      </c>
      <c r="I144" s="1">
        <v>0</v>
      </c>
      <c r="J144" s="23" t="s">
        <v>354</v>
      </c>
    </row>
    <row r="145" spans="1:10" s="55" customFormat="1" ht="75">
      <c r="A145" s="94">
        <v>150102</v>
      </c>
      <c r="B145" s="22" t="s">
        <v>89</v>
      </c>
      <c r="C145" s="22" t="s">
        <v>231</v>
      </c>
      <c r="D145" s="19">
        <v>9459.239</v>
      </c>
      <c r="E145" s="95">
        <f>100-(F145/D145)*100</f>
        <v>10.67089572427551</v>
      </c>
      <c r="F145" s="19">
        <f>SUM(D145-796.858-70-74.6-67.92753)</f>
        <v>8449.853469999998</v>
      </c>
      <c r="G145" s="19">
        <v>44.972</v>
      </c>
      <c r="H145" s="1">
        <v>44.9718</v>
      </c>
      <c r="I145" s="1">
        <v>0</v>
      </c>
      <c r="J145" s="106" t="s">
        <v>366</v>
      </c>
    </row>
    <row r="146" spans="1:10" s="55" customFormat="1" ht="75">
      <c r="A146" s="25">
        <v>150101</v>
      </c>
      <c r="B146" s="18" t="s">
        <v>89</v>
      </c>
      <c r="C146" s="18" t="s">
        <v>232</v>
      </c>
      <c r="D146" s="19">
        <v>1002.696</v>
      </c>
      <c r="E146" s="21">
        <f t="shared" si="6"/>
        <v>2.123992715638636</v>
      </c>
      <c r="F146" s="19">
        <f>D146-21.29719</f>
        <v>981.39881</v>
      </c>
      <c r="G146" s="19">
        <v>870.399</v>
      </c>
      <c r="H146" s="1">
        <v>527.40245</v>
      </c>
      <c r="I146" s="1">
        <v>133.60524</v>
      </c>
      <c r="J146" s="106" t="s">
        <v>367</v>
      </c>
    </row>
    <row r="147" spans="1:10" s="55" customFormat="1" ht="44.25" customHeight="1">
      <c r="A147" s="25">
        <v>150101</v>
      </c>
      <c r="B147" s="18" t="s">
        <v>89</v>
      </c>
      <c r="C147" s="18" t="s">
        <v>233</v>
      </c>
      <c r="D147" s="19">
        <v>2533.338</v>
      </c>
      <c r="E147" s="21">
        <f t="shared" si="6"/>
        <v>0</v>
      </c>
      <c r="F147" s="19">
        <v>2533.338</v>
      </c>
      <c r="G147" s="19">
        <f>2533.338-1000+1000</f>
        <v>2533.338</v>
      </c>
      <c r="H147" s="1">
        <v>941.16388</v>
      </c>
      <c r="I147" s="1">
        <v>474.681</v>
      </c>
      <c r="J147" s="23" t="s">
        <v>368</v>
      </c>
    </row>
    <row r="148" spans="1:10" s="55" customFormat="1" ht="56.25">
      <c r="A148" s="25">
        <v>150101</v>
      </c>
      <c r="B148" s="18" t="s">
        <v>89</v>
      </c>
      <c r="C148" s="18" t="s">
        <v>234</v>
      </c>
      <c r="D148" s="19">
        <v>300</v>
      </c>
      <c r="E148" s="21">
        <f>100-(F148/D148)*100</f>
        <v>0</v>
      </c>
      <c r="F148" s="19">
        <v>300</v>
      </c>
      <c r="G148" s="19">
        <v>100</v>
      </c>
      <c r="H148" s="1">
        <v>0</v>
      </c>
      <c r="I148" s="1">
        <v>0</v>
      </c>
      <c r="J148" s="23" t="s">
        <v>354</v>
      </c>
    </row>
    <row r="149" spans="1:10" s="55" customFormat="1" ht="63" customHeight="1">
      <c r="A149" s="25">
        <v>150101</v>
      </c>
      <c r="B149" s="18" t="s">
        <v>89</v>
      </c>
      <c r="C149" s="18" t="s">
        <v>235</v>
      </c>
      <c r="D149" s="19">
        <v>260</v>
      </c>
      <c r="E149" s="21">
        <f>100-(F149/D149)*100</f>
        <v>0</v>
      </c>
      <c r="F149" s="19">
        <f>SUM(D149)</f>
        <v>260</v>
      </c>
      <c r="G149" s="19">
        <v>260</v>
      </c>
      <c r="H149" s="1">
        <v>0</v>
      </c>
      <c r="I149" s="1">
        <v>0</v>
      </c>
      <c r="J149" s="23" t="s">
        <v>354</v>
      </c>
    </row>
    <row r="150" spans="1:10" s="55" customFormat="1" ht="56.25">
      <c r="A150" s="25">
        <v>150101</v>
      </c>
      <c r="B150" s="18" t="s">
        <v>89</v>
      </c>
      <c r="C150" s="18" t="s">
        <v>236</v>
      </c>
      <c r="D150" s="19">
        <v>600</v>
      </c>
      <c r="E150" s="21">
        <f>100-(F150/D150)*100</f>
        <v>0</v>
      </c>
      <c r="F150" s="19">
        <f>SUM(D150)</f>
        <v>600</v>
      </c>
      <c r="G150" s="19">
        <v>50</v>
      </c>
      <c r="H150" s="1">
        <v>0</v>
      </c>
      <c r="I150" s="1">
        <v>0</v>
      </c>
      <c r="J150" s="23" t="s">
        <v>354</v>
      </c>
    </row>
    <row r="151" spans="1:10" s="55" customFormat="1" ht="75">
      <c r="A151" s="107">
        <v>150101</v>
      </c>
      <c r="B151" s="91" t="s">
        <v>89</v>
      </c>
      <c r="C151" s="18" t="s">
        <v>237</v>
      </c>
      <c r="D151" s="19">
        <v>260</v>
      </c>
      <c r="E151" s="95">
        <v>0</v>
      </c>
      <c r="F151" s="19">
        <v>260</v>
      </c>
      <c r="G151" s="19">
        <v>260</v>
      </c>
      <c r="H151" s="1">
        <v>0</v>
      </c>
      <c r="I151" s="1">
        <v>181.42641</v>
      </c>
      <c r="J151" s="23" t="s">
        <v>354</v>
      </c>
    </row>
    <row r="152" spans="1:10" s="55" customFormat="1" ht="93.75">
      <c r="A152" s="77">
        <v>14</v>
      </c>
      <c r="B152" s="78" t="s">
        <v>238</v>
      </c>
      <c r="C152" s="78"/>
      <c r="D152" s="63">
        <f>SUM(D153:D170)</f>
        <v>50874.337999999996</v>
      </c>
      <c r="E152" s="63"/>
      <c r="F152" s="63">
        <f>SUM(F153:F170)</f>
        <v>33313.71723</v>
      </c>
      <c r="G152" s="63">
        <f>SUM(G153:G170)</f>
        <v>12238.342</v>
      </c>
      <c r="H152" s="63">
        <f>SUM(H153:H170)</f>
        <v>4895.12563</v>
      </c>
      <c r="I152" s="63">
        <f>SUM(I153:I170)</f>
        <v>1850.0944800000002</v>
      </c>
      <c r="J152" s="88"/>
    </row>
    <row r="153" spans="1:10" s="55" customFormat="1" ht="95.25" customHeight="1">
      <c r="A153" s="25">
        <v>150101</v>
      </c>
      <c r="B153" s="18" t="s">
        <v>89</v>
      </c>
      <c r="C153" s="24" t="s">
        <v>239</v>
      </c>
      <c r="D153" s="19">
        <v>7053.562</v>
      </c>
      <c r="E153" s="21">
        <f>100-(F153/D153)*100</f>
        <v>40.961137365773496</v>
      </c>
      <c r="F153" s="19">
        <f>D153-(1131.01602+23.73674+2.4632+1732.00326)</f>
        <v>4164.34278</v>
      </c>
      <c r="G153" s="19">
        <v>989.609</v>
      </c>
      <c r="H153" s="1">
        <v>753.14493</v>
      </c>
      <c r="I153" s="1">
        <v>17.04</v>
      </c>
      <c r="J153" s="23" t="s">
        <v>381</v>
      </c>
    </row>
    <row r="154" spans="1:10" s="55" customFormat="1" ht="112.5">
      <c r="A154" s="25">
        <v>150101</v>
      </c>
      <c r="B154" s="18" t="s">
        <v>89</v>
      </c>
      <c r="C154" s="24" t="s">
        <v>240</v>
      </c>
      <c r="D154" s="19">
        <v>778</v>
      </c>
      <c r="E154" s="21">
        <f>100-(F154/D154)*100</f>
        <v>0</v>
      </c>
      <c r="F154" s="19">
        <f>D154</f>
        <v>778</v>
      </c>
      <c r="G154" s="19">
        <f>500+278</f>
        <v>778</v>
      </c>
      <c r="H154" s="1">
        <v>767.38333</v>
      </c>
      <c r="I154" s="1">
        <v>1.71371</v>
      </c>
      <c r="J154" s="23" t="s">
        <v>395</v>
      </c>
    </row>
    <row r="155" spans="1:10" s="55" customFormat="1" ht="115.5" customHeight="1">
      <c r="A155" s="25">
        <v>150101</v>
      </c>
      <c r="B155" s="18" t="s">
        <v>89</v>
      </c>
      <c r="C155" s="24" t="s">
        <v>241</v>
      </c>
      <c r="D155" s="19">
        <v>350</v>
      </c>
      <c r="E155" s="21">
        <f aca="true" t="shared" si="7" ref="E155:E169">100-(F155/D155)*100</f>
        <v>0</v>
      </c>
      <c r="F155" s="19">
        <f>SUM(D155-0)</f>
        <v>350</v>
      </c>
      <c r="G155" s="19">
        <v>350</v>
      </c>
      <c r="H155" s="1">
        <v>0</v>
      </c>
      <c r="I155" s="1">
        <v>89.11327</v>
      </c>
      <c r="J155" s="23" t="s">
        <v>354</v>
      </c>
    </row>
    <row r="156" spans="1:10" s="55" customFormat="1" ht="112.5">
      <c r="A156" s="25">
        <v>150101</v>
      </c>
      <c r="B156" s="18" t="s">
        <v>89</v>
      </c>
      <c r="C156" s="24" t="s">
        <v>242</v>
      </c>
      <c r="D156" s="19">
        <f>2652.552-128.264</f>
        <v>2524.288</v>
      </c>
      <c r="E156" s="21">
        <f t="shared" si="7"/>
        <v>6.584059742786877</v>
      </c>
      <c r="F156" s="19">
        <f>D156-(30.1488+136.05183)</f>
        <v>2358.08737</v>
      </c>
      <c r="G156" s="19">
        <f>2.414+1500</f>
        <v>1502.414</v>
      </c>
      <c r="H156" s="1">
        <v>2.41403</v>
      </c>
      <c r="I156" s="1">
        <v>3.47461</v>
      </c>
      <c r="J156" s="23" t="s">
        <v>395</v>
      </c>
    </row>
    <row r="157" spans="1:10" s="55" customFormat="1" ht="75">
      <c r="A157" s="25">
        <v>150101</v>
      </c>
      <c r="B157" s="18" t="s">
        <v>89</v>
      </c>
      <c r="C157" s="24" t="s">
        <v>243</v>
      </c>
      <c r="D157" s="19">
        <v>6405.982</v>
      </c>
      <c r="E157" s="21">
        <f t="shared" si="7"/>
        <v>78.30015757146992</v>
      </c>
      <c r="F157" s="19">
        <v>1390.088</v>
      </c>
      <c r="G157" s="19">
        <v>4.634</v>
      </c>
      <c r="H157" s="1">
        <v>4.6336</v>
      </c>
      <c r="I157" s="1">
        <v>0</v>
      </c>
      <c r="J157" s="23" t="s">
        <v>394</v>
      </c>
    </row>
    <row r="158" spans="1:10" s="55" customFormat="1" ht="75">
      <c r="A158" s="25">
        <v>150101</v>
      </c>
      <c r="B158" s="18" t="s">
        <v>89</v>
      </c>
      <c r="C158" s="108" t="s">
        <v>244</v>
      </c>
      <c r="D158" s="82">
        <v>5540.75</v>
      </c>
      <c r="E158" s="21">
        <f t="shared" si="7"/>
        <v>61.36748635112575</v>
      </c>
      <c r="F158" s="19">
        <f>D158-3400.219</f>
        <v>2140.531</v>
      </c>
      <c r="G158" s="19">
        <v>2140.531</v>
      </c>
      <c r="H158" s="80">
        <v>1162.82481</v>
      </c>
      <c r="I158" s="1">
        <v>102.54934</v>
      </c>
      <c r="J158" s="23" t="s">
        <v>382</v>
      </c>
    </row>
    <row r="159" spans="1:10" s="55" customFormat="1" ht="93.75">
      <c r="A159" s="25">
        <v>150101</v>
      </c>
      <c r="B159" s="18" t="s">
        <v>89</v>
      </c>
      <c r="C159" s="108" t="s">
        <v>245</v>
      </c>
      <c r="D159" s="19">
        <f>6538.291+708.775</f>
        <v>7247.066</v>
      </c>
      <c r="E159" s="21">
        <f t="shared" si="7"/>
        <v>0.07612018436149981</v>
      </c>
      <c r="F159" s="19">
        <f>D159-(1.655+3.86148)</f>
        <v>7241.54952</v>
      </c>
      <c r="G159" s="19">
        <v>2032.775</v>
      </c>
      <c r="H159" s="1">
        <v>683.13948</v>
      </c>
      <c r="I159" s="1">
        <v>1152.9409</v>
      </c>
      <c r="J159" s="23" t="s">
        <v>42</v>
      </c>
    </row>
    <row r="160" spans="1:10" s="55" customFormat="1" ht="75">
      <c r="A160" s="25">
        <v>150101</v>
      </c>
      <c r="B160" s="18" t="s">
        <v>89</v>
      </c>
      <c r="C160" s="24" t="s">
        <v>246</v>
      </c>
      <c r="D160" s="19">
        <v>6346.025</v>
      </c>
      <c r="E160" s="21">
        <f t="shared" si="7"/>
        <v>88.30155002540961</v>
      </c>
      <c r="F160" s="19">
        <f>D160-(1388.68+1250+594.39965+183.85879+1020+1166.7)</f>
        <v>742.3865599999999</v>
      </c>
      <c r="G160" s="19">
        <v>742.387</v>
      </c>
      <c r="H160" s="1">
        <v>415.61717</v>
      </c>
      <c r="I160" s="1">
        <v>44.73</v>
      </c>
      <c r="J160" s="23" t="s">
        <v>383</v>
      </c>
    </row>
    <row r="161" spans="1:10" s="55" customFormat="1" ht="75">
      <c r="A161" s="25">
        <v>150101</v>
      </c>
      <c r="B161" s="18" t="s">
        <v>89</v>
      </c>
      <c r="C161" s="24" t="s">
        <v>247</v>
      </c>
      <c r="D161" s="19">
        <f>808.91-6.23</f>
        <v>802.68</v>
      </c>
      <c r="E161" s="21">
        <f t="shared" si="7"/>
        <v>0</v>
      </c>
      <c r="F161" s="19">
        <f>D161-0</f>
        <v>802.68</v>
      </c>
      <c r="G161" s="19">
        <f>808.91-6.23</f>
        <v>802.68</v>
      </c>
      <c r="H161" s="1">
        <v>109.52017</v>
      </c>
      <c r="I161" s="1">
        <v>0</v>
      </c>
      <c r="J161" s="23" t="s">
        <v>43</v>
      </c>
    </row>
    <row r="162" spans="1:10" s="55" customFormat="1" ht="75">
      <c r="A162" s="25">
        <v>150101</v>
      </c>
      <c r="B162" s="18" t="s">
        <v>89</v>
      </c>
      <c r="C162" s="23" t="s">
        <v>248</v>
      </c>
      <c r="D162" s="19">
        <v>1100</v>
      </c>
      <c r="E162" s="21">
        <f>100-(F162/D162)*100</f>
        <v>0</v>
      </c>
      <c r="F162" s="19">
        <v>1100</v>
      </c>
      <c r="G162" s="19">
        <v>1100</v>
      </c>
      <c r="H162" s="1">
        <v>129.97194</v>
      </c>
      <c r="I162" s="1">
        <v>58.76412</v>
      </c>
      <c r="J162" s="23" t="s">
        <v>395</v>
      </c>
    </row>
    <row r="163" spans="1:10" s="55" customFormat="1" ht="56.25">
      <c r="A163" s="25">
        <v>150101</v>
      </c>
      <c r="B163" s="18" t="s">
        <v>89</v>
      </c>
      <c r="C163" s="23" t="s">
        <v>249</v>
      </c>
      <c r="D163" s="19">
        <v>1200</v>
      </c>
      <c r="E163" s="21">
        <f>100-(F163/D163)*100</f>
        <v>0</v>
      </c>
      <c r="F163" s="19">
        <v>1200</v>
      </c>
      <c r="G163" s="19">
        <f>1200-1000</f>
        <v>200</v>
      </c>
      <c r="H163" s="1">
        <v>141.81762</v>
      </c>
      <c r="I163" s="1">
        <v>58.18238</v>
      </c>
      <c r="J163" s="23" t="s">
        <v>395</v>
      </c>
    </row>
    <row r="164" spans="1:10" s="55" customFormat="1" ht="93.75">
      <c r="A164" s="25">
        <v>150101</v>
      </c>
      <c r="B164" s="18" t="s">
        <v>89</v>
      </c>
      <c r="C164" s="23" t="s">
        <v>250</v>
      </c>
      <c r="D164" s="19">
        <v>1100</v>
      </c>
      <c r="E164" s="21">
        <f>100-(F164/D164)*100</f>
        <v>0</v>
      </c>
      <c r="F164" s="19">
        <v>1100</v>
      </c>
      <c r="G164" s="19">
        <f>1100-900</f>
        <v>200</v>
      </c>
      <c r="H164" s="1">
        <v>100.44048</v>
      </c>
      <c r="I164" s="1">
        <v>45.63304</v>
      </c>
      <c r="J164" s="23" t="s">
        <v>395</v>
      </c>
    </row>
    <row r="165" spans="1:10" ht="101.25" customHeight="1">
      <c r="A165" s="25">
        <v>150101</v>
      </c>
      <c r="B165" s="18" t="s">
        <v>89</v>
      </c>
      <c r="C165" s="24" t="s">
        <v>251</v>
      </c>
      <c r="D165" s="19">
        <v>581.015</v>
      </c>
      <c r="E165" s="21">
        <f t="shared" si="7"/>
        <v>34.90168067950053</v>
      </c>
      <c r="F165" s="19">
        <v>378.231</v>
      </c>
      <c r="G165" s="19">
        <f>371.539+6.692</f>
        <v>378.231</v>
      </c>
      <c r="H165" s="1">
        <v>371.53889</v>
      </c>
      <c r="I165" s="1">
        <v>0</v>
      </c>
      <c r="J165" s="23" t="s">
        <v>69</v>
      </c>
    </row>
    <row r="166" spans="1:10" ht="60" customHeight="1">
      <c r="A166" s="25">
        <v>150101</v>
      </c>
      <c r="B166" s="18" t="s">
        <v>89</v>
      </c>
      <c r="C166" s="24" t="s">
        <v>252</v>
      </c>
      <c r="D166" s="19">
        <v>340.85</v>
      </c>
      <c r="E166" s="21">
        <f t="shared" si="7"/>
        <v>81.31113392988118</v>
      </c>
      <c r="F166" s="19">
        <v>63.701</v>
      </c>
      <c r="G166" s="19">
        <f>61.496+2.205</f>
        <v>63.701</v>
      </c>
      <c r="H166" s="1">
        <v>61.49622</v>
      </c>
      <c r="I166" s="1">
        <v>0</v>
      </c>
      <c r="J166" s="23" t="s">
        <v>384</v>
      </c>
    </row>
    <row r="167" spans="1:10" ht="83.25" customHeight="1">
      <c r="A167" s="25">
        <v>150101</v>
      </c>
      <c r="B167" s="18" t="s">
        <v>89</v>
      </c>
      <c r="C167" s="24" t="s">
        <v>253</v>
      </c>
      <c r="D167" s="19">
        <f>300+20.647</f>
        <v>320.647</v>
      </c>
      <c r="E167" s="21">
        <f>100-(F167/D167)*100</f>
        <v>0</v>
      </c>
      <c r="F167" s="19">
        <f>SUM(D167)</f>
        <v>320.647</v>
      </c>
      <c r="G167" s="19">
        <v>300</v>
      </c>
      <c r="H167" s="1">
        <v>30.81</v>
      </c>
      <c r="I167" s="1">
        <v>99.82184</v>
      </c>
      <c r="J167" s="23" t="s">
        <v>395</v>
      </c>
    </row>
    <row r="168" spans="1:10" ht="75">
      <c r="A168" s="25">
        <v>150101</v>
      </c>
      <c r="B168" s="18" t="s">
        <v>89</v>
      </c>
      <c r="C168" s="24" t="s">
        <v>254</v>
      </c>
      <c r="D168" s="19">
        <v>3401.878</v>
      </c>
      <c r="E168" s="21">
        <f>100-(F168/D168)*100</f>
        <v>0</v>
      </c>
      <c r="F168" s="19">
        <f>SUM(D168)</f>
        <v>3401.878</v>
      </c>
      <c r="G168" s="19">
        <v>159.591</v>
      </c>
      <c r="H168" s="1">
        <v>159.52269</v>
      </c>
      <c r="I168" s="1">
        <v>0</v>
      </c>
      <c r="J168" s="23" t="s">
        <v>395</v>
      </c>
    </row>
    <row r="169" spans="1:10" ht="75">
      <c r="A169" s="25">
        <v>150101</v>
      </c>
      <c r="B169" s="18" t="s">
        <v>89</v>
      </c>
      <c r="C169" s="23" t="s">
        <v>255</v>
      </c>
      <c r="D169" s="19">
        <v>3417</v>
      </c>
      <c r="E169" s="21">
        <f t="shared" si="7"/>
        <v>0</v>
      </c>
      <c r="F169" s="19">
        <f>D169-0</f>
        <v>3417</v>
      </c>
      <c r="G169" s="19">
        <v>310</v>
      </c>
      <c r="H169" s="1">
        <v>0.85027</v>
      </c>
      <c r="I169" s="1">
        <v>176.13127</v>
      </c>
      <c r="J169" s="23" t="s">
        <v>395</v>
      </c>
    </row>
    <row r="170" spans="1:10" ht="75" customHeight="1">
      <c r="A170" s="25">
        <v>150101</v>
      </c>
      <c r="B170" s="18" t="s">
        <v>89</v>
      </c>
      <c r="C170" s="24" t="s">
        <v>256</v>
      </c>
      <c r="D170" s="19">
        <v>2364.595</v>
      </c>
      <c r="E170" s="21">
        <f>100-(F170/D170)*100</f>
        <v>0</v>
      </c>
      <c r="F170" s="19">
        <f>D170-0</f>
        <v>2364.595</v>
      </c>
      <c r="G170" s="19">
        <v>183.789</v>
      </c>
      <c r="H170" s="1">
        <v>0</v>
      </c>
      <c r="I170" s="1">
        <v>0</v>
      </c>
      <c r="J170" s="23" t="s">
        <v>354</v>
      </c>
    </row>
    <row r="171" spans="1:10" ht="95.25" customHeight="1">
      <c r="A171" s="77">
        <v>15</v>
      </c>
      <c r="B171" s="78" t="s">
        <v>257</v>
      </c>
      <c r="C171" s="78"/>
      <c r="D171" s="63">
        <f>SUM(D172:D174)</f>
        <v>9370.429</v>
      </c>
      <c r="E171" s="63"/>
      <c r="F171" s="63">
        <f>SUM(F172:F174)</f>
        <v>7689.940490000001</v>
      </c>
      <c r="G171" s="63">
        <f>SUM(G172:G174)</f>
        <v>5341.456</v>
      </c>
      <c r="H171" s="63">
        <f>SUM(H172:H174)</f>
        <v>3650.6508400000002</v>
      </c>
      <c r="I171" s="63">
        <f>SUM(I172:I174)</f>
        <v>1537.3683999999998</v>
      </c>
      <c r="J171" s="88"/>
    </row>
    <row r="172" spans="1:10" ht="100.5" customHeight="1">
      <c r="A172" s="25">
        <v>150101</v>
      </c>
      <c r="B172" s="18" t="s">
        <v>89</v>
      </c>
      <c r="C172" s="18" t="s">
        <v>258</v>
      </c>
      <c r="D172" s="19">
        <v>5314.369</v>
      </c>
      <c r="E172" s="21">
        <f>100-(F172/D172)*100</f>
        <v>10.206197574914341</v>
      </c>
      <c r="F172" s="19">
        <v>4771.974</v>
      </c>
      <c r="G172" s="19">
        <f>1423.49+1000</f>
        <v>2423.49</v>
      </c>
      <c r="H172" s="80">
        <v>1734.25609</v>
      </c>
      <c r="I172" s="1">
        <v>684.41256</v>
      </c>
      <c r="J172" s="97" t="s">
        <v>385</v>
      </c>
    </row>
    <row r="173" spans="1:10" ht="75">
      <c r="A173" s="25">
        <v>150101</v>
      </c>
      <c r="B173" s="18" t="s">
        <v>89</v>
      </c>
      <c r="C173" s="18" t="s">
        <v>259</v>
      </c>
      <c r="D173" s="19">
        <v>3766.06</v>
      </c>
      <c r="E173" s="21">
        <f>100-(F173/D173)*100</f>
        <v>30.219739196932593</v>
      </c>
      <c r="F173" s="19">
        <f>D173-878.841-259.25251</f>
        <v>2627.9664900000002</v>
      </c>
      <c r="G173" s="19">
        <f>452.799+2175.167</f>
        <v>2627.966</v>
      </c>
      <c r="H173" s="80">
        <v>1775.00894</v>
      </c>
      <c r="I173" s="1">
        <v>852.95584</v>
      </c>
      <c r="J173" s="97" t="s">
        <v>361</v>
      </c>
    </row>
    <row r="174" spans="1:10" ht="57" customHeight="1">
      <c r="A174" s="25">
        <v>150101</v>
      </c>
      <c r="B174" s="18" t="s">
        <v>89</v>
      </c>
      <c r="C174" s="22" t="s">
        <v>260</v>
      </c>
      <c r="D174" s="19">
        <v>290</v>
      </c>
      <c r="E174" s="21">
        <f>100-(F174/D174)*100</f>
        <v>0</v>
      </c>
      <c r="F174" s="19">
        <v>290</v>
      </c>
      <c r="G174" s="19">
        <v>290</v>
      </c>
      <c r="H174" s="1">
        <v>141.38581</v>
      </c>
      <c r="I174" s="1">
        <v>0</v>
      </c>
      <c r="J174" s="97" t="s">
        <v>362</v>
      </c>
    </row>
    <row r="175" spans="1:10" ht="93.75" customHeight="1">
      <c r="A175" s="77">
        <v>24</v>
      </c>
      <c r="B175" s="78" t="s">
        <v>261</v>
      </c>
      <c r="C175" s="78"/>
      <c r="D175" s="63">
        <f>SUM(D176:D176)</f>
        <v>210</v>
      </c>
      <c r="E175" s="63"/>
      <c r="F175" s="63">
        <f>SUM(F176:F176)</f>
        <v>210</v>
      </c>
      <c r="G175" s="63">
        <f>SUM(G176:G176)</f>
        <v>210</v>
      </c>
      <c r="H175" s="63">
        <f>SUM(H176:H176)</f>
        <v>11.64</v>
      </c>
      <c r="I175" s="63">
        <f>SUM(I176:I176)</f>
        <v>0</v>
      </c>
      <c r="J175" s="88"/>
    </row>
    <row r="176" spans="1:10" ht="103.5" customHeight="1">
      <c r="A176" s="25">
        <v>150101</v>
      </c>
      <c r="B176" s="18" t="s">
        <v>89</v>
      </c>
      <c r="C176" s="18" t="s">
        <v>262</v>
      </c>
      <c r="D176" s="84">
        <v>210</v>
      </c>
      <c r="E176" s="21">
        <f>100-(F176/D176)*100</f>
        <v>0</v>
      </c>
      <c r="F176" s="19">
        <f>D176-0</f>
        <v>210</v>
      </c>
      <c r="G176" s="19">
        <v>210</v>
      </c>
      <c r="H176" s="86">
        <v>11.64</v>
      </c>
      <c r="I176" s="1">
        <v>0</v>
      </c>
      <c r="J176" s="23" t="s">
        <v>353</v>
      </c>
    </row>
    <row r="177" spans="1:10" ht="56.25">
      <c r="A177" s="109" t="s">
        <v>263</v>
      </c>
      <c r="B177" s="78" t="s">
        <v>264</v>
      </c>
      <c r="C177" s="78"/>
      <c r="D177" s="63">
        <f>SUM(D178:D180)</f>
        <v>2498.718</v>
      </c>
      <c r="E177" s="63"/>
      <c r="F177" s="63">
        <f>SUM(F178:F180)</f>
        <v>2498.718</v>
      </c>
      <c r="G177" s="63">
        <f>SUM(G178:G180)</f>
        <v>2724.625</v>
      </c>
      <c r="H177" s="63">
        <f>SUM(H178:H180)</f>
        <v>8.16432</v>
      </c>
      <c r="I177" s="79">
        <f>SUM(I178:I180)</f>
        <v>338.04806</v>
      </c>
      <c r="J177" s="88"/>
    </row>
    <row r="178" spans="1:10" ht="93.75">
      <c r="A178" s="25">
        <v>150101</v>
      </c>
      <c r="B178" s="18" t="s">
        <v>89</v>
      </c>
      <c r="C178" s="18" t="s">
        <v>265</v>
      </c>
      <c r="D178" s="1"/>
      <c r="E178" s="83"/>
      <c r="F178" s="1"/>
      <c r="G178" s="1">
        <v>7.065</v>
      </c>
      <c r="H178" s="1">
        <v>7.06464</v>
      </c>
      <c r="I178" s="1">
        <v>0</v>
      </c>
      <c r="J178" s="23" t="s">
        <v>370</v>
      </c>
    </row>
    <row r="179" spans="1:10" ht="98.25" customHeight="1">
      <c r="A179" s="25">
        <v>150101</v>
      </c>
      <c r="B179" s="18" t="s">
        <v>89</v>
      </c>
      <c r="C179" s="18" t="s">
        <v>266</v>
      </c>
      <c r="D179" s="1">
        <v>2498.718</v>
      </c>
      <c r="E179" s="21">
        <f>100-(F179/D179)*100</f>
        <v>0</v>
      </c>
      <c r="F179" s="1">
        <v>2498.718</v>
      </c>
      <c r="G179" s="1">
        <v>2498.718</v>
      </c>
      <c r="H179" s="1">
        <v>1.09968</v>
      </c>
      <c r="I179" s="1">
        <v>338.04806</v>
      </c>
      <c r="J179" s="23" t="s">
        <v>369</v>
      </c>
    </row>
    <row r="180" spans="1:10" ht="249" customHeight="1">
      <c r="A180" s="25">
        <v>150107</v>
      </c>
      <c r="B180" s="110" t="s">
        <v>267</v>
      </c>
      <c r="C180" s="18" t="s">
        <v>268</v>
      </c>
      <c r="D180" s="1"/>
      <c r="E180" s="83"/>
      <c r="F180" s="1"/>
      <c r="G180" s="1">
        <v>218.842</v>
      </c>
      <c r="H180" s="1">
        <v>0</v>
      </c>
      <c r="I180" s="1">
        <v>0</v>
      </c>
      <c r="J180" s="23" t="s">
        <v>354</v>
      </c>
    </row>
    <row r="181" spans="1:10" ht="115.5" customHeight="1">
      <c r="A181" s="77">
        <v>93</v>
      </c>
      <c r="B181" s="111" t="s">
        <v>269</v>
      </c>
      <c r="C181" s="77"/>
      <c r="D181" s="112">
        <f>SUM(D182:D185)</f>
        <v>4545.218</v>
      </c>
      <c r="E181" s="113"/>
      <c r="F181" s="112">
        <f>SUM(F182:F185)</f>
        <v>4545.218</v>
      </c>
      <c r="G181" s="112">
        <f>SUM(G182:G185)</f>
        <v>1322.945</v>
      </c>
      <c r="H181" s="114">
        <f>SUM(H182:H185)</f>
        <v>1207.41704</v>
      </c>
      <c r="I181" s="114">
        <f>SUM(I182:I185)</f>
        <v>31.937610000000003</v>
      </c>
      <c r="J181" s="115"/>
    </row>
    <row r="182" spans="1:10" ht="42" customHeight="1">
      <c r="A182" s="25">
        <v>150101</v>
      </c>
      <c r="B182" s="23" t="s">
        <v>89</v>
      </c>
      <c r="C182" s="18" t="s">
        <v>270</v>
      </c>
      <c r="D182" s="20">
        <v>3333.606</v>
      </c>
      <c r="E182" s="21">
        <f>100-(F182/D182)*100</f>
        <v>0</v>
      </c>
      <c r="F182" s="19">
        <f>D182-0</f>
        <v>3333.606</v>
      </c>
      <c r="G182" s="20">
        <f>2000-1802.183</f>
        <v>197.817</v>
      </c>
      <c r="H182" s="1">
        <v>195.12536</v>
      </c>
      <c r="I182" s="1">
        <v>2.69112</v>
      </c>
      <c r="J182" s="23" t="s">
        <v>395</v>
      </c>
    </row>
    <row r="183" spans="1:10" ht="47.25" customHeight="1">
      <c r="A183" s="25">
        <v>150101</v>
      </c>
      <c r="B183" s="23" t="s">
        <v>89</v>
      </c>
      <c r="C183" s="18" t="s">
        <v>271</v>
      </c>
      <c r="D183" s="20">
        <v>78.81</v>
      </c>
      <c r="E183" s="21">
        <f>100-(F183/D183)*100</f>
        <v>0</v>
      </c>
      <c r="F183" s="19">
        <f>D183-0</f>
        <v>78.81</v>
      </c>
      <c r="G183" s="20">
        <v>78.81</v>
      </c>
      <c r="H183" s="1">
        <v>78.81</v>
      </c>
      <c r="I183" s="1">
        <v>0</v>
      </c>
      <c r="J183" s="23" t="s">
        <v>68</v>
      </c>
    </row>
    <row r="184" spans="1:10" ht="75">
      <c r="A184" s="25">
        <v>150101</v>
      </c>
      <c r="B184" s="23" t="s">
        <v>89</v>
      </c>
      <c r="C184" s="23" t="s">
        <v>272</v>
      </c>
      <c r="D184" s="20">
        <v>136.484</v>
      </c>
      <c r="E184" s="21">
        <f>100-(F184/D184)*100</f>
        <v>0</v>
      </c>
      <c r="F184" s="19">
        <f>D184-0</f>
        <v>136.484</v>
      </c>
      <c r="G184" s="20">
        <v>50</v>
      </c>
      <c r="H184" s="1">
        <v>0</v>
      </c>
      <c r="I184" s="1">
        <v>29.24649</v>
      </c>
      <c r="J184" s="23" t="s">
        <v>354</v>
      </c>
    </row>
    <row r="185" spans="1:10" ht="75">
      <c r="A185" s="25">
        <v>150101</v>
      </c>
      <c r="B185" s="23" t="s">
        <v>89</v>
      </c>
      <c r="C185" s="18" t="s">
        <v>273</v>
      </c>
      <c r="D185" s="20">
        <v>996.318</v>
      </c>
      <c r="E185" s="21">
        <f>100-(F185/D185)*100</f>
        <v>0</v>
      </c>
      <c r="F185" s="19">
        <v>996.318</v>
      </c>
      <c r="G185" s="20">
        <v>996.318</v>
      </c>
      <c r="H185" s="1">
        <v>933.48168</v>
      </c>
      <c r="I185" s="1">
        <v>0</v>
      </c>
      <c r="J185" s="23" t="s">
        <v>44</v>
      </c>
    </row>
    <row r="186" spans="1:10" ht="120" customHeight="1">
      <c r="A186" s="77">
        <v>92</v>
      </c>
      <c r="B186" s="111" t="s">
        <v>274</v>
      </c>
      <c r="C186" s="78"/>
      <c r="D186" s="112">
        <f>SUM(D187:D191)</f>
        <v>4212.384</v>
      </c>
      <c r="E186" s="116"/>
      <c r="F186" s="112">
        <f>SUM(F187:F191)</f>
        <v>4212.384</v>
      </c>
      <c r="G186" s="112">
        <f>SUM(G187:G191)</f>
        <v>4212.384</v>
      </c>
      <c r="H186" s="114">
        <f>SUM(H187:H191)</f>
        <v>990.4322400000001</v>
      </c>
      <c r="I186" s="114">
        <f>SUM(I187:I191)</f>
        <v>532.56889</v>
      </c>
      <c r="J186" s="115"/>
    </row>
    <row r="187" spans="1:10" ht="56.25">
      <c r="A187" s="25">
        <v>150101</v>
      </c>
      <c r="B187" s="23" t="s">
        <v>89</v>
      </c>
      <c r="C187" s="18" t="s">
        <v>275</v>
      </c>
      <c r="D187" s="20">
        <v>336.698</v>
      </c>
      <c r="E187" s="21">
        <f>100-(F187/D187)*100</f>
        <v>0</v>
      </c>
      <c r="F187" s="19">
        <f>D187-0</f>
        <v>336.698</v>
      </c>
      <c r="G187" s="20">
        <v>336.698</v>
      </c>
      <c r="H187" s="1">
        <v>253.58788</v>
      </c>
      <c r="I187" s="1">
        <v>43.78245</v>
      </c>
      <c r="J187" s="23" t="s">
        <v>5</v>
      </c>
    </row>
    <row r="188" spans="1:10" ht="75">
      <c r="A188" s="25">
        <v>150101</v>
      </c>
      <c r="B188" s="23" t="s">
        <v>89</v>
      </c>
      <c r="C188" s="18" t="s">
        <v>276</v>
      </c>
      <c r="D188" s="20">
        <v>1000</v>
      </c>
      <c r="E188" s="21">
        <v>0</v>
      </c>
      <c r="F188" s="19">
        <v>1000</v>
      </c>
      <c r="G188" s="20">
        <v>1000</v>
      </c>
      <c r="H188" s="1">
        <v>0.61696</v>
      </c>
      <c r="I188" s="1">
        <v>27.56791</v>
      </c>
      <c r="J188" s="23" t="s">
        <v>6</v>
      </c>
    </row>
    <row r="189" spans="1:10" ht="75">
      <c r="A189" s="25">
        <v>150101</v>
      </c>
      <c r="B189" s="23" t="s">
        <v>89</v>
      </c>
      <c r="C189" s="18" t="s">
        <v>277</v>
      </c>
      <c r="D189" s="20">
        <v>1000</v>
      </c>
      <c r="E189" s="21">
        <v>0</v>
      </c>
      <c r="F189" s="19">
        <v>1000</v>
      </c>
      <c r="G189" s="20">
        <v>1000</v>
      </c>
      <c r="H189" s="1">
        <v>0.68238</v>
      </c>
      <c r="I189" s="1">
        <v>17.12276</v>
      </c>
      <c r="J189" s="23" t="s">
        <v>386</v>
      </c>
    </row>
    <row r="190" spans="1:10" ht="56.25">
      <c r="A190" s="25">
        <v>150101</v>
      </c>
      <c r="B190" s="23" t="s">
        <v>89</v>
      </c>
      <c r="C190" s="18" t="s">
        <v>278</v>
      </c>
      <c r="D190" s="20">
        <f>1000-0.264</f>
        <v>999.736</v>
      </c>
      <c r="E190" s="21">
        <v>0</v>
      </c>
      <c r="F190" s="19">
        <f>SUM(D190)</f>
        <v>999.736</v>
      </c>
      <c r="G190" s="20">
        <f>1000-0.264</f>
        <v>999.736</v>
      </c>
      <c r="H190" s="1">
        <v>263.78662</v>
      </c>
      <c r="I190" s="1">
        <v>444.09577</v>
      </c>
      <c r="J190" s="23" t="s">
        <v>7</v>
      </c>
    </row>
    <row r="191" spans="1:10" ht="60.75" customHeight="1">
      <c r="A191" s="25">
        <v>150101</v>
      </c>
      <c r="B191" s="23" t="s">
        <v>89</v>
      </c>
      <c r="C191" s="18" t="s">
        <v>279</v>
      </c>
      <c r="D191" s="20">
        <f>1000-124.05</f>
        <v>875.95</v>
      </c>
      <c r="E191" s="21">
        <v>0</v>
      </c>
      <c r="F191" s="19">
        <f>SUM(D191)</f>
        <v>875.95</v>
      </c>
      <c r="G191" s="20">
        <f>1000-124.05</f>
        <v>875.95</v>
      </c>
      <c r="H191" s="1">
        <v>471.7584</v>
      </c>
      <c r="I191" s="1">
        <v>0</v>
      </c>
      <c r="J191" s="23" t="s">
        <v>45</v>
      </c>
    </row>
    <row r="192" spans="1:10" ht="112.5">
      <c r="A192" s="77">
        <v>95</v>
      </c>
      <c r="B192" s="111" t="s">
        <v>280</v>
      </c>
      <c r="C192" s="78"/>
      <c r="D192" s="112">
        <f>SUM(D193:D193)</f>
        <v>552</v>
      </c>
      <c r="E192" s="116"/>
      <c r="F192" s="112">
        <f>SUM(F193:F193)</f>
        <v>552</v>
      </c>
      <c r="G192" s="112">
        <f>SUM(G193:G193)</f>
        <v>552</v>
      </c>
      <c r="H192" s="112">
        <f>SUM(H193:H193)</f>
        <v>0</v>
      </c>
      <c r="I192" s="114">
        <f>SUM(I193:I193)</f>
        <v>21.73302</v>
      </c>
      <c r="J192" s="115"/>
    </row>
    <row r="193" spans="1:10" ht="75">
      <c r="A193" s="25">
        <v>150101</v>
      </c>
      <c r="B193" s="23" t="s">
        <v>89</v>
      </c>
      <c r="C193" s="18" t="s">
        <v>281</v>
      </c>
      <c r="D193" s="20">
        <v>552</v>
      </c>
      <c r="E193" s="21">
        <f>100-(F193/D193)*100</f>
        <v>0</v>
      </c>
      <c r="F193" s="19">
        <v>552</v>
      </c>
      <c r="G193" s="20">
        <v>552</v>
      </c>
      <c r="H193" s="1">
        <v>0</v>
      </c>
      <c r="I193" s="1">
        <v>21.73302</v>
      </c>
      <c r="J193" s="23" t="s">
        <v>354</v>
      </c>
    </row>
    <row r="194" spans="1:10" ht="169.5" customHeight="1">
      <c r="A194" s="77">
        <v>67</v>
      </c>
      <c r="B194" s="111" t="s">
        <v>282</v>
      </c>
      <c r="C194" s="18"/>
      <c r="D194" s="20"/>
      <c r="E194" s="21"/>
      <c r="F194" s="19"/>
      <c r="G194" s="112">
        <f>SUM(G195)</f>
        <v>6350</v>
      </c>
      <c r="H194" s="112">
        <f>SUM(H195)</f>
        <v>0</v>
      </c>
      <c r="I194" s="112">
        <f>SUM(I195)</f>
        <v>0</v>
      </c>
      <c r="J194" s="23"/>
    </row>
    <row r="195" spans="1:10" ht="78.75" customHeight="1">
      <c r="A195" s="25">
        <v>210105</v>
      </c>
      <c r="B195" s="117" t="s">
        <v>283</v>
      </c>
      <c r="C195" s="18" t="s">
        <v>98</v>
      </c>
      <c r="D195" s="20"/>
      <c r="E195" s="21"/>
      <c r="F195" s="19"/>
      <c r="G195" s="20">
        <f>391.846+5958.154</f>
        <v>6350</v>
      </c>
      <c r="H195" s="1">
        <v>0</v>
      </c>
      <c r="I195" s="1">
        <v>0</v>
      </c>
      <c r="J195" s="23" t="s">
        <v>354</v>
      </c>
    </row>
    <row r="196" spans="1:10" ht="113.25" customHeight="1">
      <c r="A196" s="77">
        <v>65</v>
      </c>
      <c r="B196" s="111" t="s">
        <v>284</v>
      </c>
      <c r="C196" s="78"/>
      <c r="D196" s="112"/>
      <c r="E196" s="116"/>
      <c r="F196" s="112"/>
      <c r="G196" s="112">
        <f>SUM(G197)</f>
        <v>3475.428</v>
      </c>
      <c r="H196" s="112">
        <f>SUM(H197)</f>
        <v>549.53364</v>
      </c>
      <c r="I196" s="112">
        <f>SUM(I197)</f>
        <v>0</v>
      </c>
      <c r="J196" s="115"/>
    </row>
    <row r="197" spans="1:10" ht="75">
      <c r="A197" s="161">
        <v>180409</v>
      </c>
      <c r="B197" s="162" t="s">
        <v>181</v>
      </c>
      <c r="C197" s="22" t="s">
        <v>285</v>
      </c>
      <c r="D197" s="112"/>
      <c r="E197" s="116"/>
      <c r="F197" s="112"/>
      <c r="G197" s="20">
        <f>SUM(G198:G199)</f>
        <v>3475.428</v>
      </c>
      <c r="H197" s="118">
        <f>SUM(H198:H199)</f>
        <v>549.53364</v>
      </c>
      <c r="I197" s="119">
        <f>SUM(I198:I199)</f>
        <v>0</v>
      </c>
      <c r="J197" s="115"/>
    </row>
    <row r="198" spans="1:10" ht="37.5">
      <c r="A198" s="161"/>
      <c r="B198" s="162"/>
      <c r="C198" s="22" t="s">
        <v>286</v>
      </c>
      <c r="D198" s="112"/>
      <c r="E198" s="116"/>
      <c r="F198" s="112"/>
      <c r="G198" s="20">
        <v>549.534</v>
      </c>
      <c r="H198" s="1">
        <v>549.53364</v>
      </c>
      <c r="I198" s="1">
        <v>0</v>
      </c>
      <c r="J198" s="91" t="s">
        <v>4</v>
      </c>
    </row>
    <row r="199" spans="1:10" ht="93.75">
      <c r="A199" s="161"/>
      <c r="B199" s="162"/>
      <c r="C199" s="91" t="s">
        <v>287</v>
      </c>
      <c r="D199" s="20"/>
      <c r="E199" s="21"/>
      <c r="F199" s="19"/>
      <c r="G199" s="20">
        <v>2925.894</v>
      </c>
      <c r="H199" s="1">
        <v>0</v>
      </c>
      <c r="I199" s="1">
        <v>0</v>
      </c>
      <c r="J199" s="23" t="s">
        <v>354</v>
      </c>
    </row>
  </sheetData>
  <sheetProtection/>
  <mergeCells count="24">
    <mergeCell ref="B11:C11"/>
    <mergeCell ref="A8:J8"/>
    <mergeCell ref="A10:J10"/>
    <mergeCell ref="H1:J1"/>
    <mergeCell ref="H2:J2"/>
    <mergeCell ref="H3:J3"/>
    <mergeCell ref="H5:J6"/>
    <mergeCell ref="G7:H7"/>
    <mergeCell ref="C12:C13"/>
    <mergeCell ref="D12:D13"/>
    <mergeCell ref="G12:G13"/>
    <mergeCell ref="I12:I13"/>
    <mergeCell ref="J12:J13"/>
    <mergeCell ref="H12:H13"/>
    <mergeCell ref="F12:F13"/>
    <mergeCell ref="E12:E13"/>
    <mergeCell ref="C93:C95"/>
    <mergeCell ref="A96:A98"/>
    <mergeCell ref="B96:B98"/>
    <mergeCell ref="C96:C98"/>
    <mergeCell ref="A197:A199"/>
    <mergeCell ref="B197:B199"/>
    <mergeCell ref="A93:A95"/>
    <mergeCell ref="B93:B95"/>
  </mergeCells>
  <printOptions/>
  <pageMargins left="0.31496062992125984" right="0.31496062992125984" top="0.7874015748031497" bottom="0.15748031496062992" header="0.31496062992125984" footer="0.31496062992125984"/>
  <pageSetup firstPageNumber="51" useFirstPageNumber="1" horizontalDpi="600" verticalDpi="600" orientation="landscape" paperSize="9" scale="6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6"/>
  <sheetViews>
    <sheetView view="pageBreakPreview" zoomScale="70" zoomScaleNormal="70" zoomScaleSheetLayoutView="70" zoomScalePageLayoutView="0" workbookViewId="0" topLeftCell="A61">
      <selection activeCell="G5" sqref="G5"/>
    </sheetView>
  </sheetViews>
  <sheetFormatPr defaultColWidth="9.140625" defaultRowHeight="15"/>
  <cols>
    <col min="1" max="1" width="18.7109375" style="41" customWidth="1"/>
    <col min="2" max="2" width="47.8515625" style="41" customWidth="1"/>
    <col min="3" max="3" width="18.28125" style="41" customWidth="1"/>
    <col min="4" max="4" width="16.8515625" style="47" customWidth="1"/>
    <col min="5" max="5" width="20.7109375" style="52" customWidth="1"/>
    <col min="6" max="6" width="66.28125" style="57" customWidth="1"/>
    <col min="7" max="7" width="16.7109375" style="38" customWidth="1"/>
    <col min="8" max="9" width="9.140625" style="38" customWidth="1"/>
    <col min="10" max="16384" width="9.140625" style="41" customWidth="1"/>
  </cols>
  <sheetData>
    <row r="1" spans="1:6" s="29" customFormat="1" ht="22.5" customHeight="1">
      <c r="A1" s="27"/>
      <c r="B1" s="27"/>
      <c r="C1" s="27"/>
      <c r="D1" s="180" t="s">
        <v>78</v>
      </c>
      <c r="E1" s="180"/>
      <c r="F1" s="180"/>
    </row>
    <row r="2" spans="1:6" s="29" customFormat="1" ht="34.5" customHeight="1">
      <c r="A2" s="179" t="s">
        <v>75</v>
      </c>
      <c r="B2" s="179"/>
      <c r="C2" s="179"/>
      <c r="D2" s="179"/>
      <c r="E2" s="179"/>
      <c r="F2" s="179"/>
    </row>
    <row r="3" spans="1:6" s="29" customFormat="1" ht="19.5" customHeight="1" thickBot="1">
      <c r="A3" s="27"/>
      <c r="B3" s="27"/>
      <c r="C3" s="30"/>
      <c r="D3" s="181" t="s">
        <v>288</v>
      </c>
      <c r="E3" s="181"/>
      <c r="F3" s="181"/>
    </row>
    <row r="4" spans="1:6" s="33" customFormat="1" ht="82.5" customHeight="1">
      <c r="A4" s="31" t="s">
        <v>80</v>
      </c>
      <c r="B4" s="32" t="s">
        <v>81</v>
      </c>
      <c r="C4" s="160" t="s">
        <v>82</v>
      </c>
      <c r="D4" s="160" t="s">
        <v>289</v>
      </c>
      <c r="E4" s="184" t="s">
        <v>95</v>
      </c>
      <c r="F4" s="186" t="s">
        <v>86</v>
      </c>
    </row>
    <row r="5" spans="1:6" s="33" customFormat="1" ht="75.75" customHeight="1" thickBot="1">
      <c r="A5" s="50" t="s">
        <v>87</v>
      </c>
      <c r="B5" s="49" t="s">
        <v>88</v>
      </c>
      <c r="C5" s="187"/>
      <c r="D5" s="187"/>
      <c r="E5" s="185"/>
      <c r="F5" s="159"/>
    </row>
    <row r="6" spans="1:6" s="33" customFormat="1" ht="18" customHeight="1" thickBot="1">
      <c r="A6" s="59">
        <v>1</v>
      </c>
      <c r="B6" s="60">
        <v>2</v>
      </c>
      <c r="C6" s="60">
        <v>3</v>
      </c>
      <c r="D6" s="60">
        <v>4</v>
      </c>
      <c r="E6" s="61">
        <v>5</v>
      </c>
      <c r="F6" s="62">
        <v>6</v>
      </c>
    </row>
    <row r="7" spans="1:7" s="33" customFormat="1" ht="21.75" customHeight="1">
      <c r="A7" s="58"/>
      <c r="B7" s="65" t="s">
        <v>102</v>
      </c>
      <c r="C7" s="32"/>
      <c r="D7" s="66">
        <f>SUM(D8+D11+D20+D26+D31+D33+D35+D41+D43+D45+D48+D50+D52+D54+D56+D61+D64+D67+D69+D58+D72)</f>
        <v>60107.284999999996</v>
      </c>
      <c r="E7" s="66">
        <f>SUM(E8+E11+E20+E26+E31+E33+E35+E41+E43+E45+E48+E50+E52+E54+E56+E61+E64+E67+E69+E58+E72)</f>
        <v>27505.67382</v>
      </c>
      <c r="F7" s="67"/>
      <c r="G7" s="28"/>
    </row>
    <row r="8" spans="1:15" ht="25.5" customHeight="1">
      <c r="A8" s="35" t="s">
        <v>263</v>
      </c>
      <c r="B8" s="36" t="s">
        <v>264</v>
      </c>
      <c r="C8" s="36"/>
      <c r="D8" s="64">
        <f>SUM(D9:D10)</f>
        <v>859.2360000000001</v>
      </c>
      <c r="E8" s="64">
        <f>SUM(E9:E10)</f>
        <v>627.08052</v>
      </c>
      <c r="F8" s="68"/>
      <c r="G8" s="37"/>
      <c r="H8" s="39"/>
      <c r="I8" s="39"/>
      <c r="J8" s="39"/>
      <c r="K8" s="39"/>
      <c r="L8" s="39"/>
      <c r="M8" s="39"/>
      <c r="N8" s="29"/>
      <c r="O8" s="40"/>
    </row>
    <row r="9" spans="1:15" ht="155.25" customHeight="1">
      <c r="A9" s="42" t="s">
        <v>290</v>
      </c>
      <c r="B9" s="22" t="s">
        <v>291</v>
      </c>
      <c r="C9" s="43" t="s">
        <v>292</v>
      </c>
      <c r="D9" s="51">
        <v>715.58</v>
      </c>
      <c r="E9" s="51">
        <v>484.31003</v>
      </c>
      <c r="F9" s="125" t="s">
        <v>18</v>
      </c>
      <c r="G9" s="44"/>
      <c r="H9" s="39"/>
      <c r="I9" s="39"/>
      <c r="J9" s="39"/>
      <c r="K9" s="39"/>
      <c r="L9" s="39"/>
      <c r="M9" s="39"/>
      <c r="N9" s="29"/>
      <c r="O9" s="40"/>
    </row>
    <row r="10" spans="1:15" ht="43.5" customHeight="1">
      <c r="A10" s="45">
        <v>250404</v>
      </c>
      <c r="B10" s="43" t="s">
        <v>293</v>
      </c>
      <c r="C10" s="43" t="s">
        <v>292</v>
      </c>
      <c r="D10" s="51">
        <v>143.656</v>
      </c>
      <c r="E10" s="51">
        <v>142.77049</v>
      </c>
      <c r="F10" s="69" t="s">
        <v>390</v>
      </c>
      <c r="G10" s="44"/>
      <c r="H10" s="39"/>
      <c r="I10" s="39"/>
      <c r="J10" s="39"/>
      <c r="K10" s="39"/>
      <c r="L10" s="39"/>
      <c r="M10" s="39"/>
      <c r="N10" s="29"/>
      <c r="O10" s="40"/>
    </row>
    <row r="11" spans="1:15" ht="39" customHeight="1">
      <c r="A11" s="35">
        <v>10</v>
      </c>
      <c r="B11" s="36" t="s">
        <v>222</v>
      </c>
      <c r="C11" s="36"/>
      <c r="D11" s="64">
        <f>SUM(D12:D19)</f>
        <v>5570.882</v>
      </c>
      <c r="E11" s="64">
        <f>SUM(E12:E19)</f>
        <v>3531.2705899999996</v>
      </c>
      <c r="F11" s="68"/>
      <c r="G11" s="37"/>
      <c r="H11" s="39"/>
      <c r="I11" s="39"/>
      <c r="J11" s="39"/>
      <c r="K11" s="39"/>
      <c r="L11" s="39"/>
      <c r="M11" s="39"/>
      <c r="N11" s="29"/>
      <c r="O11" s="40"/>
    </row>
    <row r="12" spans="1:15" ht="134.25" customHeight="1">
      <c r="A12" s="42" t="s">
        <v>294</v>
      </c>
      <c r="B12" s="22" t="s">
        <v>295</v>
      </c>
      <c r="C12" s="43" t="s">
        <v>292</v>
      </c>
      <c r="D12" s="51">
        <v>899.758</v>
      </c>
      <c r="E12" s="51">
        <v>423.10304</v>
      </c>
      <c r="F12" s="125" t="s">
        <v>46</v>
      </c>
      <c r="G12" s="44"/>
      <c r="H12" s="39"/>
      <c r="I12" s="39"/>
      <c r="J12" s="39"/>
      <c r="K12" s="39"/>
      <c r="L12" s="39"/>
      <c r="M12" s="39"/>
      <c r="N12" s="29"/>
      <c r="O12" s="40"/>
    </row>
    <row r="13" spans="1:15" ht="211.5" customHeight="1">
      <c r="A13" s="42" t="s">
        <v>100</v>
      </c>
      <c r="B13" s="18" t="s">
        <v>97</v>
      </c>
      <c r="C13" s="43" t="s">
        <v>292</v>
      </c>
      <c r="D13" s="51">
        <v>3834.743</v>
      </c>
      <c r="E13" s="51">
        <v>2422.96622</v>
      </c>
      <c r="F13" s="69" t="s">
        <v>47</v>
      </c>
      <c r="G13" s="44"/>
      <c r="H13" s="39"/>
      <c r="I13" s="39"/>
      <c r="J13" s="39"/>
      <c r="K13" s="39"/>
      <c r="L13" s="39"/>
      <c r="M13" s="39"/>
      <c r="N13" s="29"/>
      <c r="O13" s="40"/>
    </row>
    <row r="14" spans="1:16" ht="87" customHeight="1">
      <c r="A14" s="42" t="s">
        <v>296</v>
      </c>
      <c r="B14" s="43" t="s">
        <v>297</v>
      </c>
      <c r="C14" s="43" t="s">
        <v>292</v>
      </c>
      <c r="D14" s="51">
        <v>9.2</v>
      </c>
      <c r="E14" s="51">
        <v>9.2</v>
      </c>
      <c r="F14" s="126" t="s">
        <v>22</v>
      </c>
      <c r="G14" s="44"/>
      <c r="H14" s="39"/>
      <c r="I14" s="39"/>
      <c r="J14" s="39"/>
      <c r="K14" s="39"/>
      <c r="L14" s="39"/>
      <c r="M14" s="39"/>
      <c r="N14" s="29"/>
      <c r="O14" s="40"/>
      <c r="P14" s="29"/>
    </row>
    <row r="15" spans="1:16" ht="39.75" customHeight="1">
      <c r="A15" s="42" t="s">
        <v>298</v>
      </c>
      <c r="B15" s="18" t="s">
        <v>299</v>
      </c>
      <c r="C15" s="43" t="s">
        <v>292</v>
      </c>
      <c r="D15" s="51">
        <v>517.901</v>
      </c>
      <c r="E15" s="51">
        <v>463.31133</v>
      </c>
      <c r="F15" s="126" t="s">
        <v>19</v>
      </c>
      <c r="G15" s="44"/>
      <c r="H15" s="39"/>
      <c r="I15" s="39"/>
      <c r="J15" s="39"/>
      <c r="K15" s="39"/>
      <c r="L15" s="39"/>
      <c r="M15" s="39"/>
      <c r="N15" s="29"/>
      <c r="O15" s="40"/>
      <c r="P15" s="29"/>
    </row>
    <row r="16" spans="1:16" ht="37.5">
      <c r="A16" s="42" t="s">
        <v>300</v>
      </c>
      <c r="B16" s="18" t="s">
        <v>301</v>
      </c>
      <c r="C16" s="43" t="s">
        <v>292</v>
      </c>
      <c r="D16" s="51">
        <v>24.5</v>
      </c>
      <c r="E16" s="51">
        <v>24.5</v>
      </c>
      <c r="F16" s="127" t="s">
        <v>48</v>
      </c>
      <c r="G16" s="44"/>
      <c r="H16" s="39"/>
      <c r="I16" s="39"/>
      <c r="J16" s="39"/>
      <c r="K16" s="39"/>
      <c r="L16" s="39"/>
      <c r="M16" s="39"/>
      <c r="N16" s="29"/>
      <c r="O16" s="40"/>
      <c r="P16" s="29"/>
    </row>
    <row r="17" spans="1:16" ht="42.75" customHeight="1">
      <c r="A17" s="42" t="s">
        <v>302</v>
      </c>
      <c r="B17" s="18" t="s">
        <v>303</v>
      </c>
      <c r="C17" s="43" t="s">
        <v>292</v>
      </c>
      <c r="D17" s="51">
        <v>73.5</v>
      </c>
      <c r="E17" s="51">
        <v>73.5</v>
      </c>
      <c r="F17" s="127" t="s">
        <v>49</v>
      </c>
      <c r="G17" s="44"/>
      <c r="H17" s="39"/>
      <c r="I17" s="39"/>
      <c r="J17" s="39"/>
      <c r="K17" s="39"/>
      <c r="L17" s="39"/>
      <c r="M17" s="39"/>
      <c r="N17" s="29"/>
      <c r="O17" s="40"/>
      <c r="P17" s="29"/>
    </row>
    <row r="18" spans="1:16" ht="44.25" customHeight="1">
      <c r="A18" s="42" t="s">
        <v>304</v>
      </c>
      <c r="B18" s="18" t="s">
        <v>305</v>
      </c>
      <c r="C18" s="43" t="s">
        <v>292</v>
      </c>
      <c r="D18" s="51">
        <v>189.28</v>
      </c>
      <c r="E18" s="51">
        <v>92.69</v>
      </c>
      <c r="F18" s="127" t="s">
        <v>50</v>
      </c>
      <c r="G18" s="44"/>
      <c r="H18" s="39"/>
      <c r="I18" s="39"/>
      <c r="J18" s="39"/>
      <c r="K18" s="39"/>
      <c r="L18" s="39"/>
      <c r="M18" s="39"/>
      <c r="N18" s="29"/>
      <c r="O18" s="40"/>
      <c r="P18" s="29"/>
    </row>
    <row r="19" spans="1:16" ht="55.5" customHeight="1">
      <c r="A19" s="42" t="s">
        <v>306</v>
      </c>
      <c r="B19" s="18" t="s">
        <v>307</v>
      </c>
      <c r="C19" s="43" t="s">
        <v>292</v>
      </c>
      <c r="D19" s="51">
        <v>22</v>
      </c>
      <c r="E19" s="51">
        <v>22</v>
      </c>
      <c r="F19" s="127" t="s">
        <v>20</v>
      </c>
      <c r="G19" s="44"/>
      <c r="H19" s="39"/>
      <c r="I19" s="39"/>
      <c r="J19" s="39"/>
      <c r="K19" s="39"/>
      <c r="L19" s="39"/>
      <c r="M19" s="39"/>
      <c r="N19" s="29"/>
      <c r="O19" s="40"/>
      <c r="P19" s="29"/>
    </row>
    <row r="20" spans="1:16" ht="39.75" customHeight="1">
      <c r="A20" s="35">
        <v>14</v>
      </c>
      <c r="B20" s="36" t="s">
        <v>308</v>
      </c>
      <c r="C20" s="36"/>
      <c r="D20" s="64">
        <f>SUM(D21:D25)</f>
        <v>6895.879000000001</v>
      </c>
      <c r="E20" s="64">
        <f>SUM(E21:E25)</f>
        <v>2696.15848</v>
      </c>
      <c r="F20" s="68"/>
      <c r="G20" s="37"/>
      <c r="H20" s="39"/>
      <c r="I20" s="39"/>
      <c r="J20" s="39"/>
      <c r="K20" s="39"/>
      <c r="L20" s="39"/>
      <c r="M20" s="39"/>
      <c r="N20" s="29"/>
      <c r="O20" s="40"/>
      <c r="P20" s="29"/>
    </row>
    <row r="21" spans="1:16" ht="135" customHeight="1">
      <c r="A21" s="42" t="s">
        <v>311</v>
      </c>
      <c r="B21" s="18" t="s">
        <v>312</v>
      </c>
      <c r="C21" s="43" t="s">
        <v>292</v>
      </c>
      <c r="D21" s="51">
        <v>199.561</v>
      </c>
      <c r="E21" s="51">
        <v>180.28335</v>
      </c>
      <c r="F21" s="128" t="s">
        <v>23</v>
      </c>
      <c r="G21" s="44"/>
      <c r="H21" s="39"/>
      <c r="I21" s="39"/>
      <c r="J21" s="39"/>
      <c r="K21" s="39"/>
      <c r="L21" s="39"/>
      <c r="M21" s="39"/>
      <c r="N21" s="29"/>
      <c r="O21" s="40"/>
      <c r="P21" s="29"/>
    </row>
    <row r="22" spans="1:16" ht="299.25" customHeight="1">
      <c r="A22" s="42" t="s">
        <v>309</v>
      </c>
      <c r="B22" s="22" t="s">
        <v>310</v>
      </c>
      <c r="C22" s="43" t="s">
        <v>292</v>
      </c>
      <c r="D22" s="51">
        <v>6069.22</v>
      </c>
      <c r="E22" s="51">
        <v>2126.30189</v>
      </c>
      <c r="F22" s="128" t="s">
        <v>24</v>
      </c>
      <c r="G22" s="44"/>
      <c r="H22" s="39"/>
      <c r="I22" s="39"/>
      <c r="J22" s="39"/>
      <c r="K22" s="39"/>
      <c r="L22" s="39"/>
      <c r="M22" s="39"/>
      <c r="N22" s="29"/>
      <c r="O22" s="40"/>
      <c r="P22" s="29"/>
    </row>
    <row r="23" spans="1:16" ht="155.25" customHeight="1">
      <c r="A23" s="42" t="s">
        <v>313</v>
      </c>
      <c r="B23" s="18" t="s">
        <v>314</v>
      </c>
      <c r="C23" s="43" t="s">
        <v>292</v>
      </c>
      <c r="D23" s="51">
        <v>605.76</v>
      </c>
      <c r="E23" s="51">
        <v>368.23575</v>
      </c>
      <c r="F23" s="128" t="s">
        <v>51</v>
      </c>
      <c r="G23" s="44"/>
      <c r="H23" s="39"/>
      <c r="I23" s="39"/>
      <c r="J23" s="39"/>
      <c r="K23" s="39"/>
      <c r="L23" s="39"/>
      <c r="M23" s="39"/>
      <c r="N23" s="29"/>
      <c r="O23" s="40"/>
      <c r="P23" s="29"/>
    </row>
    <row r="24" spans="1:16" ht="38.25" customHeight="1">
      <c r="A24" s="42" t="s">
        <v>315</v>
      </c>
      <c r="B24" s="18" t="s">
        <v>316</v>
      </c>
      <c r="C24" s="43" t="s">
        <v>292</v>
      </c>
      <c r="D24" s="51">
        <v>1.43</v>
      </c>
      <c r="E24" s="51">
        <v>1.43</v>
      </c>
      <c r="F24" s="129" t="s">
        <v>355</v>
      </c>
      <c r="G24" s="44"/>
      <c r="H24" s="39"/>
      <c r="I24" s="39"/>
      <c r="J24" s="39"/>
      <c r="K24" s="39"/>
      <c r="L24" s="39"/>
      <c r="M24" s="39"/>
      <c r="N24" s="29"/>
      <c r="O24" s="40"/>
      <c r="P24" s="29"/>
    </row>
    <row r="25" spans="1:16" ht="48.75" customHeight="1">
      <c r="A25" s="42" t="s">
        <v>317</v>
      </c>
      <c r="B25" s="18" t="s">
        <v>318</v>
      </c>
      <c r="C25" s="43" t="s">
        <v>292</v>
      </c>
      <c r="D25" s="51">
        <v>19.908</v>
      </c>
      <c r="E25" s="51">
        <v>19.90749</v>
      </c>
      <c r="F25" s="129" t="s">
        <v>52</v>
      </c>
      <c r="G25" s="44"/>
      <c r="H25" s="39"/>
      <c r="I25" s="39"/>
      <c r="J25" s="39"/>
      <c r="K25" s="39"/>
      <c r="L25" s="39"/>
      <c r="M25" s="39"/>
      <c r="N25" s="29"/>
      <c r="O25" s="40"/>
      <c r="P25" s="29"/>
    </row>
    <row r="26" spans="1:16" ht="48.75" customHeight="1">
      <c r="A26" s="35">
        <v>15</v>
      </c>
      <c r="B26" s="36" t="s">
        <v>257</v>
      </c>
      <c r="C26" s="36"/>
      <c r="D26" s="64">
        <f>SUM(D27:D29)</f>
        <v>1065.2600000000002</v>
      </c>
      <c r="E26" s="64">
        <f>SUM(E27:E29)</f>
        <v>731.76487</v>
      </c>
      <c r="F26" s="68"/>
      <c r="G26" s="37"/>
      <c r="H26" s="39"/>
      <c r="I26" s="39"/>
      <c r="J26" s="39"/>
      <c r="K26" s="39"/>
      <c r="L26" s="39"/>
      <c r="M26" s="39"/>
      <c r="N26" s="29"/>
      <c r="O26" s="40"/>
      <c r="P26" s="29"/>
    </row>
    <row r="27" spans="1:16" ht="45.75" customHeight="1">
      <c r="A27" s="42" t="s">
        <v>290</v>
      </c>
      <c r="B27" s="22" t="s">
        <v>291</v>
      </c>
      <c r="C27" s="43" t="s">
        <v>292</v>
      </c>
      <c r="D27" s="51">
        <v>607.642</v>
      </c>
      <c r="E27" s="51">
        <f>450.967+79.6412</f>
        <v>530.6082</v>
      </c>
      <c r="F27" s="69" t="s">
        <v>358</v>
      </c>
      <c r="G27" s="44"/>
      <c r="H27" s="39"/>
      <c r="I27" s="39"/>
      <c r="J27" s="39"/>
      <c r="K27" s="39"/>
      <c r="L27" s="39"/>
      <c r="M27" s="39"/>
      <c r="N27" s="29"/>
      <c r="O27" s="40"/>
      <c r="P27" s="29"/>
    </row>
    <row r="28" spans="1:16" ht="249.75" customHeight="1">
      <c r="A28" s="42" t="s">
        <v>319</v>
      </c>
      <c r="B28" s="18" t="s">
        <v>320</v>
      </c>
      <c r="C28" s="43" t="s">
        <v>292</v>
      </c>
      <c r="D28" s="51">
        <v>432.391</v>
      </c>
      <c r="E28" s="51">
        <f>174.94+0.99</f>
        <v>175.93</v>
      </c>
      <c r="F28" s="69" t="s">
        <v>360</v>
      </c>
      <c r="G28" s="44"/>
      <c r="H28" s="39"/>
      <c r="I28" s="39"/>
      <c r="J28" s="39"/>
      <c r="K28" s="39"/>
      <c r="L28" s="39"/>
      <c r="M28" s="39"/>
      <c r="N28" s="29"/>
      <c r="O28" s="40"/>
      <c r="P28" s="29"/>
    </row>
    <row r="29" spans="1:16" ht="198.75" customHeight="1">
      <c r="A29" s="42" t="s">
        <v>321</v>
      </c>
      <c r="B29" s="130" t="s">
        <v>322</v>
      </c>
      <c r="C29" s="43" t="s">
        <v>292</v>
      </c>
      <c r="D29" s="51">
        <v>25.227</v>
      </c>
      <c r="E29" s="51">
        <v>25.22667</v>
      </c>
      <c r="F29" s="178" t="s">
        <v>359</v>
      </c>
      <c r="G29" s="44"/>
      <c r="H29" s="39"/>
      <c r="I29" s="39"/>
      <c r="J29" s="39"/>
      <c r="K29" s="39"/>
      <c r="L29" s="39"/>
      <c r="M29" s="39"/>
      <c r="N29" s="29"/>
      <c r="O29" s="40"/>
      <c r="P29" s="29"/>
    </row>
    <row r="30" spans="1:16" ht="238.5" customHeight="1">
      <c r="A30" s="42"/>
      <c r="B30" s="131" t="s">
        <v>323</v>
      </c>
      <c r="C30" s="43"/>
      <c r="D30" s="51">
        <v>25.227</v>
      </c>
      <c r="E30" s="132">
        <v>25.22667</v>
      </c>
      <c r="F30" s="178"/>
      <c r="G30" s="44"/>
      <c r="H30" s="39"/>
      <c r="I30" s="39"/>
      <c r="J30" s="39"/>
      <c r="K30" s="39"/>
      <c r="L30" s="39"/>
      <c r="M30" s="39"/>
      <c r="N30" s="29"/>
      <c r="O30" s="40"/>
      <c r="P30" s="29"/>
    </row>
    <row r="31" spans="1:16" ht="42" customHeight="1">
      <c r="A31" s="35">
        <v>20</v>
      </c>
      <c r="B31" s="36" t="s">
        <v>324</v>
      </c>
      <c r="C31" s="36"/>
      <c r="D31" s="64">
        <f>SUM(D32)</f>
        <v>16.17</v>
      </c>
      <c r="E31" s="64">
        <f>SUM(E32)</f>
        <v>16.17</v>
      </c>
      <c r="F31" s="68"/>
      <c r="G31" s="37"/>
      <c r="H31" s="34"/>
      <c r="I31" s="34"/>
      <c r="J31" s="34"/>
      <c r="K31" s="34"/>
      <c r="L31" s="34"/>
      <c r="M31" s="34"/>
      <c r="N31" s="33"/>
      <c r="O31" s="133"/>
      <c r="P31" s="33"/>
    </row>
    <row r="32" spans="1:16" ht="41.25" customHeight="1">
      <c r="A32" s="42" t="s">
        <v>290</v>
      </c>
      <c r="B32" s="22" t="s">
        <v>291</v>
      </c>
      <c r="C32" s="43" t="s">
        <v>292</v>
      </c>
      <c r="D32" s="51">
        <v>16.17</v>
      </c>
      <c r="E32" s="51">
        <v>16.17</v>
      </c>
      <c r="F32" s="69" t="s">
        <v>53</v>
      </c>
      <c r="G32" s="44"/>
      <c r="H32" s="34"/>
      <c r="I32" s="34"/>
      <c r="J32" s="34"/>
      <c r="K32" s="34"/>
      <c r="L32" s="34"/>
      <c r="M32" s="34"/>
      <c r="N32" s="33"/>
      <c r="O32" s="133"/>
      <c r="P32" s="33"/>
    </row>
    <row r="33" spans="1:16" ht="75" customHeight="1">
      <c r="A33" s="35">
        <v>23</v>
      </c>
      <c r="B33" s="36" t="s">
        <v>325</v>
      </c>
      <c r="C33" s="36"/>
      <c r="D33" s="64">
        <f>SUM(D34)</f>
        <v>5.254</v>
      </c>
      <c r="E33" s="64">
        <f>SUM(E34)</f>
        <v>5.254</v>
      </c>
      <c r="F33" s="68"/>
      <c r="G33" s="37"/>
      <c r="H33" s="34"/>
      <c r="I33" s="34"/>
      <c r="J33" s="34"/>
      <c r="K33" s="34"/>
      <c r="L33" s="34"/>
      <c r="M33" s="34"/>
      <c r="N33" s="33"/>
      <c r="O33" s="133"/>
      <c r="P33" s="33"/>
    </row>
    <row r="34" spans="1:16" ht="34.5" customHeight="1">
      <c r="A34" s="42" t="s">
        <v>290</v>
      </c>
      <c r="B34" s="22" t="s">
        <v>291</v>
      </c>
      <c r="C34" s="43" t="s">
        <v>292</v>
      </c>
      <c r="D34" s="51">
        <v>5.254</v>
      </c>
      <c r="E34" s="51">
        <v>5.254</v>
      </c>
      <c r="F34" s="69" t="s">
        <v>1</v>
      </c>
      <c r="G34" s="44"/>
      <c r="H34" s="34"/>
      <c r="I34" s="34"/>
      <c r="J34" s="34"/>
      <c r="K34" s="34"/>
      <c r="L34" s="34"/>
      <c r="M34" s="34"/>
      <c r="N34" s="33"/>
      <c r="O34" s="133"/>
      <c r="P34" s="33"/>
    </row>
    <row r="35" spans="1:16" ht="36" customHeight="1">
      <c r="A35" s="35">
        <v>24</v>
      </c>
      <c r="B35" s="36" t="s">
        <v>261</v>
      </c>
      <c r="C35" s="36"/>
      <c r="D35" s="64">
        <f>SUM(D36:D40)</f>
        <v>2345.667</v>
      </c>
      <c r="E35" s="64">
        <f>SUM(E36:E40)</f>
        <v>503.0224</v>
      </c>
      <c r="F35" s="68"/>
      <c r="G35" s="37"/>
      <c r="H35" s="39"/>
      <c r="I35" s="39"/>
      <c r="J35" s="39"/>
      <c r="K35" s="39"/>
      <c r="L35" s="39"/>
      <c r="M35" s="39"/>
      <c r="N35" s="29"/>
      <c r="O35" s="40"/>
      <c r="P35" s="29"/>
    </row>
    <row r="36" spans="1:15" ht="116.25" customHeight="1">
      <c r="A36" s="42" t="s">
        <v>326</v>
      </c>
      <c r="B36" s="22" t="s">
        <v>327</v>
      </c>
      <c r="C36" s="43" t="s">
        <v>292</v>
      </c>
      <c r="D36" s="51">
        <v>686.157</v>
      </c>
      <c r="E36" s="51">
        <v>197.15106</v>
      </c>
      <c r="F36" s="69" t="s">
        <v>54</v>
      </c>
      <c r="G36" s="44"/>
      <c r="H36" s="39"/>
      <c r="I36" s="39"/>
      <c r="J36" s="39"/>
      <c r="K36" s="39"/>
      <c r="L36" s="39"/>
      <c r="M36" s="39"/>
      <c r="N36" s="29"/>
      <c r="O36" s="40"/>
    </row>
    <row r="37" spans="1:15" ht="114.75" customHeight="1">
      <c r="A37" s="42" t="s">
        <v>328</v>
      </c>
      <c r="B37" s="22" t="s">
        <v>329</v>
      </c>
      <c r="C37" s="43" t="s">
        <v>292</v>
      </c>
      <c r="D37" s="51">
        <v>1115.408</v>
      </c>
      <c r="E37" s="51">
        <v>107.7488</v>
      </c>
      <c r="F37" s="69" t="s">
        <v>55</v>
      </c>
      <c r="G37" s="44"/>
      <c r="H37" s="39"/>
      <c r="I37" s="39"/>
      <c r="J37" s="39"/>
      <c r="K37" s="39"/>
      <c r="L37" s="39"/>
      <c r="M37" s="39"/>
      <c r="N37" s="29"/>
      <c r="O37" s="40"/>
    </row>
    <row r="38" spans="1:15" ht="132.75" customHeight="1">
      <c r="A38" s="42" t="s">
        <v>330</v>
      </c>
      <c r="B38" s="22" t="s">
        <v>331</v>
      </c>
      <c r="C38" s="43" t="s">
        <v>292</v>
      </c>
      <c r="D38" s="51">
        <v>193.768</v>
      </c>
      <c r="E38" s="51">
        <v>82.84302</v>
      </c>
      <c r="F38" s="69" t="s">
        <v>56</v>
      </c>
      <c r="G38" s="44"/>
      <c r="H38" s="39"/>
      <c r="I38" s="39"/>
      <c r="J38" s="39"/>
      <c r="K38" s="39"/>
      <c r="L38" s="39"/>
      <c r="M38" s="39"/>
      <c r="N38" s="29"/>
      <c r="O38" s="40"/>
    </row>
    <row r="39" spans="1:15" ht="61.5" customHeight="1">
      <c r="A39" s="42" t="s">
        <v>332</v>
      </c>
      <c r="B39" s="43" t="s">
        <v>333</v>
      </c>
      <c r="C39" s="43" t="s">
        <v>292</v>
      </c>
      <c r="D39" s="51">
        <v>262.138</v>
      </c>
      <c r="E39" s="51">
        <v>86.87952</v>
      </c>
      <c r="F39" s="69" t="s">
        <v>57</v>
      </c>
      <c r="G39" s="44"/>
      <c r="H39" s="39"/>
      <c r="I39" s="39"/>
      <c r="J39" s="39"/>
      <c r="K39" s="39"/>
      <c r="L39" s="39"/>
      <c r="M39" s="39"/>
      <c r="N39" s="29"/>
      <c r="O39" s="40"/>
    </row>
    <row r="40" spans="1:15" ht="34.5" customHeight="1">
      <c r="A40" s="42" t="s">
        <v>334</v>
      </c>
      <c r="B40" s="43" t="s">
        <v>335</v>
      </c>
      <c r="C40" s="43" t="s">
        <v>292</v>
      </c>
      <c r="D40" s="51">
        <v>88.196</v>
      </c>
      <c r="E40" s="51">
        <v>28.4</v>
      </c>
      <c r="F40" s="69" t="s">
        <v>58</v>
      </c>
      <c r="G40" s="44"/>
      <c r="H40" s="39"/>
      <c r="I40" s="39"/>
      <c r="J40" s="39"/>
      <c r="K40" s="39"/>
      <c r="L40" s="39"/>
      <c r="M40" s="39"/>
      <c r="N40" s="29"/>
      <c r="O40" s="40"/>
    </row>
    <row r="41" spans="1:15" ht="58.5" customHeight="1">
      <c r="A41" s="35">
        <v>32</v>
      </c>
      <c r="B41" s="36" t="s">
        <v>336</v>
      </c>
      <c r="C41" s="36"/>
      <c r="D41" s="64">
        <f>SUM(D42)</f>
        <v>8.24</v>
      </c>
      <c r="E41" s="64">
        <f>SUM(E42)</f>
        <v>8.233</v>
      </c>
      <c r="F41" s="68"/>
      <c r="G41" s="37"/>
      <c r="H41" s="39"/>
      <c r="I41" s="39"/>
      <c r="J41" s="39"/>
      <c r="K41" s="39"/>
      <c r="L41" s="39"/>
      <c r="M41" s="39"/>
      <c r="N41" s="29"/>
      <c r="O41" s="40"/>
    </row>
    <row r="42" spans="1:15" ht="38.25" customHeight="1">
      <c r="A42" s="42" t="s">
        <v>290</v>
      </c>
      <c r="B42" s="22" t="s">
        <v>291</v>
      </c>
      <c r="C42" s="43" t="s">
        <v>292</v>
      </c>
      <c r="D42" s="51">
        <v>8.24</v>
      </c>
      <c r="E42" s="51">
        <v>8.233</v>
      </c>
      <c r="F42" s="69" t="s">
        <v>59</v>
      </c>
      <c r="G42" s="44"/>
      <c r="H42" s="39"/>
      <c r="I42" s="39"/>
      <c r="J42" s="39"/>
      <c r="K42" s="39"/>
      <c r="L42" s="39"/>
      <c r="M42" s="39"/>
      <c r="N42" s="29"/>
      <c r="O42" s="40"/>
    </row>
    <row r="43" spans="1:15" ht="40.5" customHeight="1">
      <c r="A43" s="35">
        <v>33</v>
      </c>
      <c r="B43" s="36" t="s">
        <v>337</v>
      </c>
      <c r="C43" s="36"/>
      <c r="D43" s="64">
        <f>SUM(D44)</f>
        <v>43.05</v>
      </c>
      <c r="E43" s="64">
        <f>SUM(E44)</f>
        <v>0</v>
      </c>
      <c r="F43" s="68"/>
      <c r="G43" s="37"/>
      <c r="H43" s="39"/>
      <c r="I43" s="39"/>
      <c r="J43" s="39"/>
      <c r="K43" s="39"/>
      <c r="L43" s="39"/>
      <c r="M43" s="39"/>
      <c r="N43" s="29"/>
      <c r="O43" s="40"/>
    </row>
    <row r="44" spans="1:15" ht="36.75" customHeight="1">
      <c r="A44" s="42" t="s">
        <v>290</v>
      </c>
      <c r="B44" s="22" t="s">
        <v>291</v>
      </c>
      <c r="C44" s="43" t="s">
        <v>292</v>
      </c>
      <c r="D44" s="51">
        <v>43.05</v>
      </c>
      <c r="E44" s="51">
        <v>0</v>
      </c>
      <c r="F44" s="69" t="s">
        <v>354</v>
      </c>
      <c r="G44" s="44"/>
      <c r="H44" s="39"/>
      <c r="I44" s="39"/>
      <c r="J44" s="39"/>
      <c r="K44" s="39"/>
      <c r="L44" s="39"/>
      <c r="M44" s="39"/>
      <c r="N44" s="29"/>
      <c r="O44" s="40"/>
    </row>
    <row r="45" spans="1:15" ht="52.5" customHeight="1">
      <c r="A45" s="35">
        <v>40</v>
      </c>
      <c r="B45" s="36" t="s">
        <v>184</v>
      </c>
      <c r="C45" s="36"/>
      <c r="D45" s="64">
        <f>SUM(D46:D47)</f>
        <v>38087.933</v>
      </c>
      <c r="E45" s="64">
        <f>SUM(E46:E47)</f>
        <v>17446.74488</v>
      </c>
      <c r="F45" s="68"/>
      <c r="G45" s="37"/>
      <c r="H45" s="39"/>
      <c r="I45" s="39"/>
      <c r="J45" s="39"/>
      <c r="K45" s="39"/>
      <c r="L45" s="39"/>
      <c r="M45" s="39"/>
      <c r="N45" s="29"/>
      <c r="O45" s="40"/>
    </row>
    <row r="46" spans="1:15" ht="168" customHeight="1">
      <c r="A46" s="42" t="s">
        <v>338</v>
      </c>
      <c r="B46" s="22" t="s">
        <v>339</v>
      </c>
      <c r="C46" s="43" t="s">
        <v>292</v>
      </c>
      <c r="D46" s="51">
        <v>35984.09</v>
      </c>
      <c r="E46" s="51">
        <v>16813.13557</v>
      </c>
      <c r="F46" s="125" t="s">
        <v>371</v>
      </c>
      <c r="G46" s="44"/>
      <c r="H46" s="39"/>
      <c r="I46" s="39"/>
      <c r="J46" s="39"/>
      <c r="K46" s="39"/>
      <c r="L46" s="39"/>
      <c r="M46" s="39"/>
      <c r="N46" s="29"/>
      <c r="O46" s="40"/>
    </row>
    <row r="47" spans="1:15" ht="298.5" customHeight="1">
      <c r="A47" s="42" t="s">
        <v>340</v>
      </c>
      <c r="B47" s="22" t="s">
        <v>293</v>
      </c>
      <c r="C47" s="43" t="s">
        <v>292</v>
      </c>
      <c r="D47" s="51">
        <v>2103.843</v>
      </c>
      <c r="E47" s="51">
        <v>633.60931</v>
      </c>
      <c r="F47" s="125" t="s">
        <v>60</v>
      </c>
      <c r="G47" s="44"/>
      <c r="H47" s="39"/>
      <c r="I47" s="39"/>
      <c r="J47" s="39"/>
      <c r="K47" s="39"/>
      <c r="L47" s="39"/>
      <c r="M47" s="39"/>
      <c r="N47" s="29"/>
      <c r="O47" s="40"/>
    </row>
    <row r="48" spans="1:15" ht="71.25" customHeight="1">
      <c r="A48" s="35">
        <v>41</v>
      </c>
      <c r="B48" s="36" t="s">
        <v>117</v>
      </c>
      <c r="C48" s="36" t="s">
        <v>118</v>
      </c>
      <c r="D48" s="64">
        <f>SUM(D49)</f>
        <v>4392.072</v>
      </c>
      <c r="E48" s="64">
        <f>SUM(E49)</f>
        <v>1437.43072</v>
      </c>
      <c r="F48" s="68"/>
      <c r="G48" s="37"/>
      <c r="H48" s="39"/>
      <c r="I48" s="39"/>
      <c r="J48" s="39"/>
      <c r="K48" s="39"/>
      <c r="L48" s="39"/>
      <c r="M48" s="39"/>
      <c r="N48" s="134"/>
      <c r="O48" s="40"/>
    </row>
    <row r="49" spans="1:15" ht="91.5" customHeight="1">
      <c r="A49" s="42" t="s">
        <v>341</v>
      </c>
      <c r="B49" s="18" t="s">
        <v>342</v>
      </c>
      <c r="C49" s="43" t="s">
        <v>292</v>
      </c>
      <c r="D49" s="51">
        <v>4392.072</v>
      </c>
      <c r="E49" s="51">
        <v>1437.43072</v>
      </c>
      <c r="F49" s="135" t="s">
        <v>61</v>
      </c>
      <c r="G49" s="44"/>
      <c r="H49" s="39"/>
      <c r="I49" s="39"/>
      <c r="J49" s="39"/>
      <c r="K49" s="39"/>
      <c r="L49" s="39"/>
      <c r="M49" s="39"/>
      <c r="N49" s="134"/>
      <c r="O49" s="40"/>
    </row>
    <row r="50" spans="1:15" ht="54" customHeight="1">
      <c r="A50" s="35">
        <v>45</v>
      </c>
      <c r="B50" s="36" t="s">
        <v>343</v>
      </c>
      <c r="C50" s="36" t="s">
        <v>118</v>
      </c>
      <c r="D50" s="64">
        <f>SUM(D51)</f>
        <v>10.423</v>
      </c>
      <c r="E50" s="64">
        <f>SUM(E51)</f>
        <v>0</v>
      </c>
      <c r="F50" s="68"/>
      <c r="G50" s="37"/>
      <c r="H50" s="39"/>
      <c r="I50" s="39"/>
      <c r="J50" s="39"/>
      <c r="K50" s="39"/>
      <c r="L50" s="39"/>
      <c r="M50" s="39"/>
      <c r="N50" s="134"/>
      <c r="O50" s="40"/>
    </row>
    <row r="51" spans="1:15" ht="38.25" customHeight="1">
      <c r="A51" s="42" t="s">
        <v>290</v>
      </c>
      <c r="B51" s="22" t="s">
        <v>291</v>
      </c>
      <c r="C51" s="43" t="s">
        <v>292</v>
      </c>
      <c r="D51" s="51">
        <v>10.423</v>
      </c>
      <c r="E51" s="51">
        <v>0</v>
      </c>
      <c r="F51" s="69" t="s">
        <v>354</v>
      </c>
      <c r="G51" s="44"/>
      <c r="H51" s="39"/>
      <c r="I51" s="39"/>
      <c r="J51" s="39"/>
      <c r="K51" s="39"/>
      <c r="L51" s="39"/>
      <c r="M51" s="39"/>
      <c r="N51" s="134"/>
      <c r="O51" s="40"/>
    </row>
    <row r="52" spans="1:15" ht="57" customHeight="1">
      <c r="A52" s="35">
        <v>65</v>
      </c>
      <c r="B52" s="36" t="s">
        <v>284</v>
      </c>
      <c r="C52" s="36"/>
      <c r="D52" s="64">
        <f>SUM(D53)</f>
        <v>261.218</v>
      </c>
      <c r="E52" s="64">
        <f>SUM(E53)</f>
        <v>211.3256</v>
      </c>
      <c r="F52" s="68"/>
      <c r="G52" s="37"/>
      <c r="H52" s="39"/>
      <c r="I52" s="39"/>
      <c r="J52" s="39"/>
      <c r="K52" s="29"/>
      <c r="L52" s="29"/>
      <c r="M52" s="29"/>
      <c r="N52" s="29"/>
      <c r="O52" s="29"/>
    </row>
    <row r="53" spans="1:15" ht="35.25" customHeight="1">
      <c r="A53" s="45">
        <v>120100</v>
      </c>
      <c r="B53" s="43" t="s">
        <v>344</v>
      </c>
      <c r="C53" s="43" t="s">
        <v>292</v>
      </c>
      <c r="D53" s="51">
        <v>261.218</v>
      </c>
      <c r="E53" s="51">
        <v>211.3256</v>
      </c>
      <c r="F53" s="69" t="s">
        <v>25</v>
      </c>
      <c r="G53" s="44"/>
      <c r="H53" s="39"/>
      <c r="I53" s="39"/>
      <c r="J53" s="39"/>
      <c r="K53" s="29"/>
      <c r="L53" s="29"/>
      <c r="M53" s="29"/>
      <c r="N53" s="29"/>
      <c r="O53" s="29"/>
    </row>
    <row r="54" spans="1:15" ht="37.5" customHeight="1">
      <c r="A54" s="136">
        <v>73</v>
      </c>
      <c r="B54" s="36" t="s">
        <v>103</v>
      </c>
      <c r="C54" s="36"/>
      <c r="D54" s="64">
        <f>SUM(D55)</f>
        <v>13.5</v>
      </c>
      <c r="E54" s="64">
        <f>SUM(E55)</f>
        <v>13.48976</v>
      </c>
      <c r="F54" s="68"/>
      <c r="G54" s="37"/>
      <c r="H54" s="39"/>
      <c r="I54" s="39"/>
      <c r="J54" s="39"/>
      <c r="K54" s="39"/>
      <c r="L54" s="39"/>
      <c r="M54" s="39"/>
      <c r="N54" s="29"/>
      <c r="O54" s="40"/>
    </row>
    <row r="55" spans="1:15" ht="44.25" customHeight="1">
      <c r="A55" s="42" t="s">
        <v>290</v>
      </c>
      <c r="B55" s="22" t="s">
        <v>291</v>
      </c>
      <c r="C55" s="43" t="s">
        <v>292</v>
      </c>
      <c r="D55" s="51">
        <v>13.5</v>
      </c>
      <c r="E55" s="51">
        <v>13.48976</v>
      </c>
      <c r="F55" s="69" t="s">
        <v>62</v>
      </c>
      <c r="G55" s="44"/>
      <c r="H55" s="39"/>
      <c r="I55" s="39"/>
      <c r="J55" s="39"/>
      <c r="K55" s="39"/>
      <c r="L55" s="39"/>
      <c r="M55" s="39"/>
      <c r="N55" s="29"/>
      <c r="O55" s="40"/>
    </row>
    <row r="56" spans="1:15" ht="57" customHeight="1">
      <c r="A56" s="136" t="s">
        <v>345</v>
      </c>
      <c r="B56" s="36" t="s">
        <v>346</v>
      </c>
      <c r="C56" s="36"/>
      <c r="D56" s="64">
        <f>SUM(D57)</f>
        <v>7.5</v>
      </c>
      <c r="E56" s="64">
        <f>SUM(E57)</f>
        <v>7.5</v>
      </c>
      <c r="F56" s="68"/>
      <c r="G56" s="37"/>
      <c r="H56" s="39"/>
      <c r="I56" s="39"/>
      <c r="J56" s="39"/>
      <c r="K56" s="39"/>
      <c r="L56" s="39"/>
      <c r="M56" s="39"/>
      <c r="N56" s="29"/>
      <c r="O56" s="40"/>
    </row>
    <row r="57" spans="1:15" ht="33" customHeight="1">
      <c r="A57" s="42" t="s">
        <v>290</v>
      </c>
      <c r="B57" s="22" t="s">
        <v>291</v>
      </c>
      <c r="C57" s="43" t="s">
        <v>292</v>
      </c>
      <c r="D57" s="51">
        <v>7.5</v>
      </c>
      <c r="E57" s="51">
        <v>7.5</v>
      </c>
      <c r="F57" s="69" t="s">
        <v>2</v>
      </c>
      <c r="G57" s="44"/>
      <c r="H57" s="39"/>
      <c r="I57" s="39"/>
      <c r="J57" s="39"/>
      <c r="K57" s="39"/>
      <c r="L57" s="39"/>
      <c r="M57" s="39"/>
      <c r="N57" s="29"/>
      <c r="O57" s="40"/>
    </row>
    <row r="58" spans="1:16" ht="40.5" customHeight="1">
      <c r="A58" s="35">
        <v>90</v>
      </c>
      <c r="B58" s="36" t="s">
        <v>347</v>
      </c>
      <c r="C58" s="36"/>
      <c r="D58" s="64">
        <f>SUM(D59:D60)</f>
        <v>113.253</v>
      </c>
      <c r="E58" s="64">
        <f>SUM(E59:E60)</f>
        <v>113.251</v>
      </c>
      <c r="F58" s="68"/>
      <c r="G58" s="37"/>
      <c r="H58" s="39"/>
      <c r="I58" s="29"/>
      <c r="J58" s="29"/>
      <c r="K58" s="29"/>
      <c r="L58" s="29"/>
      <c r="M58" s="29"/>
      <c r="N58" s="29"/>
      <c r="O58" s="29"/>
      <c r="P58" s="29"/>
    </row>
    <row r="59" spans="1:15" ht="58.5" customHeight="1">
      <c r="A59" s="42" t="s">
        <v>290</v>
      </c>
      <c r="B59" s="22" t="s">
        <v>291</v>
      </c>
      <c r="C59" s="43" t="s">
        <v>292</v>
      </c>
      <c r="D59" s="51">
        <v>53.253</v>
      </c>
      <c r="E59" s="51">
        <f>28.515+6.738+17.998</f>
        <v>53.251000000000005</v>
      </c>
      <c r="F59" s="69" t="s">
        <v>63</v>
      </c>
      <c r="G59" s="44"/>
      <c r="H59" s="39"/>
      <c r="I59" s="39"/>
      <c r="J59" s="39"/>
      <c r="K59" s="39"/>
      <c r="L59" s="39"/>
      <c r="M59" s="39"/>
      <c r="N59" s="29"/>
      <c r="O59" s="40"/>
    </row>
    <row r="60" spans="1:16" ht="42.75" customHeight="1">
      <c r="A60" s="42" t="s">
        <v>341</v>
      </c>
      <c r="B60" s="18" t="s">
        <v>342</v>
      </c>
      <c r="C60" s="46" t="s">
        <v>292</v>
      </c>
      <c r="D60" s="51">
        <v>60</v>
      </c>
      <c r="E60" s="51">
        <v>60</v>
      </c>
      <c r="F60" s="70" t="s">
        <v>356</v>
      </c>
      <c r="G60" s="44"/>
      <c r="H60" s="39"/>
      <c r="I60" s="29"/>
      <c r="J60" s="29"/>
      <c r="K60" s="29"/>
      <c r="L60" s="29"/>
      <c r="M60" s="29"/>
      <c r="N60" s="29"/>
      <c r="O60" s="29"/>
      <c r="P60" s="29"/>
    </row>
    <row r="61" spans="1:16" ht="53.25" customHeight="1">
      <c r="A61" s="35">
        <v>92</v>
      </c>
      <c r="B61" s="36" t="s">
        <v>274</v>
      </c>
      <c r="C61" s="36"/>
      <c r="D61" s="64">
        <f>SUM(D62:D63)</f>
        <v>84.75</v>
      </c>
      <c r="E61" s="64">
        <f>SUM(E62:E63)</f>
        <v>39.69</v>
      </c>
      <c r="F61" s="68"/>
      <c r="G61" s="37"/>
      <c r="H61" s="39"/>
      <c r="I61" s="29"/>
      <c r="J61" s="29"/>
      <c r="K61" s="29"/>
      <c r="L61" s="29"/>
      <c r="M61" s="29"/>
      <c r="N61" s="29"/>
      <c r="O61" s="29"/>
      <c r="P61" s="29"/>
    </row>
    <row r="62" spans="1:15" ht="40.5" customHeight="1">
      <c r="A62" s="42" t="s">
        <v>290</v>
      </c>
      <c r="B62" s="22" t="s">
        <v>291</v>
      </c>
      <c r="C62" s="43" t="s">
        <v>292</v>
      </c>
      <c r="D62" s="51">
        <v>45.75</v>
      </c>
      <c r="E62" s="51">
        <v>39.69</v>
      </c>
      <c r="F62" s="69" t="s">
        <v>65</v>
      </c>
      <c r="G62" s="44"/>
      <c r="H62" s="39"/>
      <c r="I62" s="39"/>
      <c r="J62" s="39"/>
      <c r="K62" s="39"/>
      <c r="L62" s="39"/>
      <c r="M62" s="39"/>
      <c r="N62" s="29"/>
      <c r="O62" s="40"/>
    </row>
    <row r="63" spans="1:16" ht="35.25" customHeight="1">
      <c r="A63" s="42" t="s">
        <v>341</v>
      </c>
      <c r="B63" s="18" t="s">
        <v>342</v>
      </c>
      <c r="C63" s="46" t="s">
        <v>292</v>
      </c>
      <c r="D63" s="51">
        <v>39</v>
      </c>
      <c r="E63" s="51">
        <v>0</v>
      </c>
      <c r="F63" s="69" t="s">
        <v>354</v>
      </c>
      <c r="G63" s="44"/>
      <c r="H63" s="39"/>
      <c r="I63" s="29"/>
      <c r="J63" s="29"/>
      <c r="K63" s="29"/>
      <c r="L63" s="29"/>
      <c r="M63" s="29"/>
      <c r="N63" s="29"/>
      <c r="O63" s="29"/>
      <c r="P63" s="29"/>
    </row>
    <row r="64" spans="1:16" ht="40.5" customHeight="1">
      <c r="A64" s="35">
        <v>93</v>
      </c>
      <c r="B64" s="36" t="s">
        <v>269</v>
      </c>
      <c r="C64" s="36"/>
      <c r="D64" s="64">
        <f>SUM(D65:D66)</f>
        <v>22</v>
      </c>
      <c r="E64" s="64">
        <f>SUM(E65:E66)</f>
        <v>22</v>
      </c>
      <c r="F64" s="68"/>
      <c r="G64" s="37"/>
      <c r="H64" s="39"/>
      <c r="I64" s="29"/>
      <c r="J64" s="29"/>
      <c r="K64" s="29"/>
      <c r="L64" s="29"/>
      <c r="M64" s="29"/>
      <c r="N64" s="29"/>
      <c r="O64" s="29"/>
      <c r="P64" s="29"/>
    </row>
    <row r="65" spans="1:15" ht="42.75" customHeight="1">
      <c r="A65" s="42" t="s">
        <v>290</v>
      </c>
      <c r="B65" s="22" t="s">
        <v>291</v>
      </c>
      <c r="C65" s="43" t="s">
        <v>292</v>
      </c>
      <c r="D65" s="51">
        <v>9</v>
      </c>
      <c r="E65" s="51">
        <v>9</v>
      </c>
      <c r="F65" s="69" t="s">
        <v>66</v>
      </c>
      <c r="G65" s="44"/>
      <c r="H65" s="39"/>
      <c r="I65" s="39"/>
      <c r="J65" s="39"/>
      <c r="K65" s="39"/>
      <c r="L65" s="39"/>
      <c r="M65" s="39"/>
      <c r="N65" s="29"/>
      <c r="O65" s="40"/>
    </row>
    <row r="66" spans="1:16" ht="42.75" customHeight="1">
      <c r="A66" s="42" t="s">
        <v>341</v>
      </c>
      <c r="B66" s="18" t="s">
        <v>342</v>
      </c>
      <c r="C66" s="46" t="s">
        <v>292</v>
      </c>
      <c r="D66" s="51">
        <v>13</v>
      </c>
      <c r="E66" s="51">
        <v>13</v>
      </c>
      <c r="F66" s="70" t="s">
        <v>67</v>
      </c>
      <c r="G66" s="44"/>
      <c r="H66" s="39"/>
      <c r="I66" s="29"/>
      <c r="J66" s="29"/>
      <c r="K66" s="29"/>
      <c r="L66" s="29"/>
      <c r="M66" s="29"/>
      <c r="N66" s="29"/>
      <c r="O66" s="29"/>
      <c r="P66" s="29"/>
    </row>
    <row r="67" spans="1:16" ht="57.75" customHeight="1">
      <c r="A67" s="35">
        <v>94</v>
      </c>
      <c r="B67" s="36" t="s">
        <v>348</v>
      </c>
      <c r="C67" s="36"/>
      <c r="D67" s="64">
        <f>SUM(D68:D68)</f>
        <v>30.915</v>
      </c>
      <c r="E67" s="64">
        <f>SUM(E68)</f>
        <v>30.915</v>
      </c>
      <c r="F67" s="68"/>
      <c r="G67" s="37"/>
      <c r="H67" s="39"/>
      <c r="I67" s="29"/>
      <c r="J67" s="29"/>
      <c r="K67" s="29"/>
      <c r="L67" s="29"/>
      <c r="M67" s="29"/>
      <c r="N67" s="29"/>
      <c r="O67" s="29"/>
      <c r="P67" s="29"/>
    </row>
    <row r="68" spans="1:15" ht="41.25" customHeight="1">
      <c r="A68" s="42" t="s">
        <v>290</v>
      </c>
      <c r="B68" s="22" t="s">
        <v>291</v>
      </c>
      <c r="C68" s="43" t="s">
        <v>292</v>
      </c>
      <c r="D68" s="51">
        <v>30.915</v>
      </c>
      <c r="E68" s="51">
        <f>2.4+28.515</f>
        <v>30.915</v>
      </c>
      <c r="F68" s="69" t="s">
        <v>357</v>
      </c>
      <c r="G68" s="44"/>
      <c r="H68" s="39"/>
      <c r="I68" s="39"/>
      <c r="J68" s="39"/>
      <c r="K68" s="39"/>
      <c r="L68" s="39"/>
      <c r="M68" s="39"/>
      <c r="N68" s="29"/>
      <c r="O68" s="40"/>
    </row>
    <row r="69" spans="1:16" ht="41.25" customHeight="1">
      <c r="A69" s="35">
        <v>95</v>
      </c>
      <c r="B69" s="36" t="s">
        <v>280</v>
      </c>
      <c r="C69" s="36"/>
      <c r="D69" s="64">
        <f>SUM(D70:D71)</f>
        <v>50.896</v>
      </c>
      <c r="E69" s="64">
        <f>SUM(E70:E71)</f>
        <v>28</v>
      </c>
      <c r="F69" s="68"/>
      <c r="G69" s="37"/>
      <c r="H69" s="34"/>
      <c r="I69" s="34"/>
      <c r="J69" s="33"/>
      <c r="K69" s="33"/>
      <c r="L69" s="33"/>
      <c r="M69" s="33"/>
      <c r="N69" s="33"/>
      <c r="O69" s="33"/>
      <c r="P69" s="33"/>
    </row>
    <row r="70" spans="1:15" ht="38.25" customHeight="1">
      <c r="A70" s="42" t="s">
        <v>290</v>
      </c>
      <c r="B70" s="22" t="s">
        <v>291</v>
      </c>
      <c r="C70" s="43" t="s">
        <v>292</v>
      </c>
      <c r="D70" s="51">
        <v>7.896</v>
      </c>
      <c r="E70" s="51">
        <v>5</v>
      </c>
      <c r="F70" s="69" t="s">
        <v>64</v>
      </c>
      <c r="G70" s="44"/>
      <c r="H70" s="39"/>
      <c r="I70" s="39"/>
      <c r="J70" s="39"/>
      <c r="K70" s="39"/>
      <c r="L70" s="39"/>
      <c r="M70" s="39"/>
      <c r="N70" s="29"/>
      <c r="O70" s="40"/>
    </row>
    <row r="71" spans="1:16" ht="42" customHeight="1">
      <c r="A71" s="42" t="s">
        <v>341</v>
      </c>
      <c r="B71" s="18" t="s">
        <v>342</v>
      </c>
      <c r="C71" s="46" t="s">
        <v>292</v>
      </c>
      <c r="D71" s="51">
        <v>43</v>
      </c>
      <c r="E71" s="51">
        <v>23</v>
      </c>
      <c r="F71" s="70" t="s">
        <v>3</v>
      </c>
      <c r="G71" s="44"/>
      <c r="H71" s="34"/>
      <c r="I71" s="34"/>
      <c r="J71" s="33"/>
      <c r="K71" s="33"/>
      <c r="L71" s="33"/>
      <c r="M71" s="33"/>
      <c r="N71" s="33"/>
      <c r="O71" s="33"/>
      <c r="P71" s="33"/>
    </row>
    <row r="72" spans="1:16" ht="54" customHeight="1">
      <c r="A72" s="35">
        <v>96</v>
      </c>
      <c r="B72" s="36" t="s">
        <v>349</v>
      </c>
      <c r="C72" s="36"/>
      <c r="D72" s="64">
        <f>SUM(D73:D74)</f>
        <v>223.187</v>
      </c>
      <c r="E72" s="64">
        <f>SUM(E73:E74)</f>
        <v>36.373</v>
      </c>
      <c r="F72" s="68"/>
      <c r="G72" s="37"/>
      <c r="H72" s="34"/>
      <c r="I72" s="34"/>
      <c r="J72" s="33"/>
      <c r="K72" s="33"/>
      <c r="L72" s="33"/>
      <c r="M72" s="33"/>
      <c r="N72" s="33"/>
      <c r="O72" s="33"/>
      <c r="P72" s="33"/>
    </row>
    <row r="73" spans="1:15" ht="40.5" customHeight="1">
      <c r="A73" s="42" t="s">
        <v>290</v>
      </c>
      <c r="B73" s="22" t="s">
        <v>291</v>
      </c>
      <c r="C73" s="43" t="s">
        <v>292</v>
      </c>
      <c r="D73" s="51">
        <v>183.187</v>
      </c>
      <c r="E73" s="51">
        <v>36.373</v>
      </c>
      <c r="F73" s="69" t="s">
        <v>355</v>
      </c>
      <c r="G73" s="44"/>
      <c r="H73" s="39"/>
      <c r="I73" s="39"/>
      <c r="J73" s="39"/>
      <c r="K73" s="39"/>
      <c r="L73" s="39"/>
      <c r="M73" s="39"/>
      <c r="N73" s="29"/>
      <c r="O73" s="40"/>
    </row>
    <row r="74" spans="1:16" ht="43.5" customHeight="1" thickBot="1">
      <c r="A74" s="120" t="s">
        <v>340</v>
      </c>
      <c r="B74" s="121" t="s">
        <v>293</v>
      </c>
      <c r="C74" s="122" t="s">
        <v>292</v>
      </c>
      <c r="D74" s="123">
        <v>40</v>
      </c>
      <c r="E74" s="123">
        <v>0</v>
      </c>
      <c r="F74" s="124" t="s">
        <v>354</v>
      </c>
      <c r="G74" s="44"/>
      <c r="H74" s="34"/>
      <c r="I74" s="34"/>
      <c r="J74" s="33"/>
      <c r="K74" s="33"/>
      <c r="L74" s="33"/>
      <c r="M74" s="33"/>
      <c r="N74" s="33"/>
      <c r="O74" s="33"/>
      <c r="P74" s="33"/>
    </row>
    <row r="75" spans="1:4" ht="33" customHeight="1">
      <c r="A75" s="188"/>
      <c r="B75" s="188"/>
      <c r="C75" s="188"/>
      <c r="D75" s="188"/>
    </row>
    <row r="76" spans="1:9" s="72" customFormat="1" ht="40.5" customHeight="1">
      <c r="A76" s="183" t="s">
        <v>350</v>
      </c>
      <c r="B76" s="183"/>
      <c r="C76" s="182" t="s">
        <v>351</v>
      </c>
      <c r="D76" s="182"/>
      <c r="E76" s="182"/>
      <c r="F76" s="182"/>
      <c r="G76" s="71"/>
      <c r="H76" s="71"/>
      <c r="I76" s="71"/>
    </row>
    <row r="77" ht="45" customHeight="1"/>
  </sheetData>
  <sheetProtection/>
  <mergeCells count="11">
    <mergeCell ref="C76:F76"/>
    <mergeCell ref="A76:B76"/>
    <mergeCell ref="E4:E5"/>
    <mergeCell ref="F4:F5"/>
    <mergeCell ref="C4:C5"/>
    <mergeCell ref="D4:D5"/>
    <mergeCell ref="A75:D75"/>
    <mergeCell ref="F29:F30"/>
    <mergeCell ref="A2:F2"/>
    <mergeCell ref="D1:F1"/>
    <mergeCell ref="D3:F3"/>
  </mergeCells>
  <printOptions/>
  <pageMargins left="0.31496062992125984" right="0.31496062992125984" top="0.7874015748031497" bottom="0.1968503937007874" header="0.31496062992125984" footer="0.31496062992125984"/>
  <pageSetup firstPageNumber="67" useFirstPageNumber="1" horizontalDpi="600" verticalDpi="600" orientation="landscape" paperSize="9" scale="76" r:id="rId1"/>
  <headerFooter alignWithMargins="0">
    <oddHeader>&amp;C&amp;P</oddHeader>
  </headerFooter>
  <colBreaks count="1" manualBreakCount="1">
    <brk id="6" max="75" man="1"/>
  </colBreaks>
</worksheet>
</file>

<file path=xl/worksheets/sheet3.xml><?xml version="1.0" encoding="utf-8"?>
<worksheet xmlns="http://schemas.openxmlformats.org/spreadsheetml/2006/main" xmlns:r="http://schemas.openxmlformats.org/officeDocument/2006/relationships">
  <dimension ref="A1:I9"/>
  <sheetViews>
    <sheetView zoomScale="80" zoomScaleNormal="80" zoomScalePageLayoutView="0" workbookViewId="0" topLeftCell="A1">
      <selection activeCell="E9" sqref="E9"/>
    </sheetView>
  </sheetViews>
  <sheetFormatPr defaultColWidth="9.140625" defaultRowHeight="15"/>
  <cols>
    <col min="1" max="1" width="19.140625" style="14" customWidth="1"/>
    <col min="2" max="2" width="22.8515625" style="14" customWidth="1"/>
    <col min="3" max="3" width="24.140625" style="14" customWidth="1"/>
    <col min="4" max="4" width="19.00390625" style="14" customWidth="1"/>
    <col min="5" max="5" width="17.421875" style="14" customWidth="1"/>
    <col min="6" max="6" width="17.28125" style="14" customWidth="1"/>
    <col min="7" max="7" width="20.57421875" style="14" customWidth="1"/>
    <col min="8" max="8" width="21.00390625" style="14" customWidth="1"/>
    <col min="9" max="9" width="24.8515625" style="14" customWidth="1"/>
    <col min="10" max="16384" width="9.140625" style="14" customWidth="1"/>
  </cols>
  <sheetData>
    <row r="1" spans="1:9" ht="18.75">
      <c r="A1" s="189" t="s">
        <v>93</v>
      </c>
      <c r="B1" s="189"/>
      <c r="C1" s="189"/>
      <c r="D1" s="189"/>
      <c r="E1" s="189"/>
      <c r="F1" s="189"/>
      <c r="G1" s="189"/>
      <c r="H1" s="189"/>
      <c r="I1" s="189"/>
    </row>
    <row r="2" ht="18.75">
      <c r="I2" s="14" t="s">
        <v>99</v>
      </c>
    </row>
    <row r="3" spans="1:9" ht="87" customHeight="1">
      <c r="A3" s="1" t="s">
        <v>80</v>
      </c>
      <c r="B3" s="1" t="s">
        <v>81</v>
      </c>
      <c r="C3" s="190" t="s">
        <v>82</v>
      </c>
      <c r="D3" s="191" t="s">
        <v>83</v>
      </c>
      <c r="E3" s="190" t="s">
        <v>84</v>
      </c>
      <c r="F3" s="191" t="s">
        <v>85</v>
      </c>
      <c r="G3" s="190" t="s">
        <v>94</v>
      </c>
      <c r="H3" s="192" t="s">
        <v>95</v>
      </c>
      <c r="I3" s="190" t="s">
        <v>86</v>
      </c>
    </row>
    <row r="4" spans="1:9" ht="126.75" customHeight="1">
      <c r="A4" s="1" t="s">
        <v>87</v>
      </c>
      <c r="B4" s="1" t="s">
        <v>88</v>
      </c>
      <c r="C4" s="190"/>
      <c r="D4" s="191"/>
      <c r="E4" s="190"/>
      <c r="F4" s="191"/>
      <c r="G4" s="190"/>
      <c r="H4" s="192"/>
      <c r="I4" s="190"/>
    </row>
    <row r="5" spans="1:9" ht="18.75">
      <c r="A5" s="1">
        <v>1</v>
      </c>
      <c r="B5" s="1">
        <v>2</v>
      </c>
      <c r="C5" s="1">
        <v>3</v>
      </c>
      <c r="D5" s="1">
        <v>4</v>
      </c>
      <c r="E5" s="1">
        <v>5</v>
      </c>
      <c r="F5" s="1">
        <v>6</v>
      </c>
      <c r="G5" s="1">
        <v>7</v>
      </c>
      <c r="H5" s="1">
        <v>8</v>
      </c>
      <c r="I5" s="1">
        <v>9</v>
      </c>
    </row>
    <row r="6" spans="1:9" ht="28.5" customHeight="1">
      <c r="A6" s="1"/>
      <c r="B6" s="15" t="s">
        <v>92</v>
      </c>
      <c r="C6" s="1"/>
      <c r="D6" s="1"/>
      <c r="E6" s="1"/>
      <c r="F6" s="1"/>
      <c r="G6" s="1"/>
      <c r="H6" s="1"/>
      <c r="I6" s="1"/>
    </row>
    <row r="7" spans="1:9" ht="34.5" customHeight="1">
      <c r="A7" s="1"/>
      <c r="B7" s="15" t="s">
        <v>101</v>
      </c>
      <c r="C7" s="1"/>
      <c r="D7" s="2">
        <f>SUM(D8:D9)</f>
        <v>8469431</v>
      </c>
      <c r="E7" s="2"/>
      <c r="F7" s="2">
        <f>SUM(F8:F9)</f>
        <v>4936376.7</v>
      </c>
      <c r="G7" s="2">
        <f>SUM(G8:G9)</f>
        <v>8726779</v>
      </c>
      <c r="H7" s="2">
        <f>SUM(H8:H9)</f>
        <v>7322500.13</v>
      </c>
      <c r="I7" s="1"/>
    </row>
    <row r="8" spans="1:9" ht="96.75" customHeight="1">
      <c r="A8" s="13">
        <v>150101</v>
      </c>
      <c r="B8" s="7" t="s">
        <v>89</v>
      </c>
      <c r="C8" s="8" t="s">
        <v>90</v>
      </c>
      <c r="D8" s="3">
        <v>8469431</v>
      </c>
      <c r="E8" s="5">
        <v>41.71536789189262</v>
      </c>
      <c r="F8" s="9">
        <v>4936376.7</v>
      </c>
      <c r="G8" s="4">
        <v>3576779</v>
      </c>
      <c r="H8" s="6">
        <v>3259534.92</v>
      </c>
      <c r="I8" s="11" t="s">
        <v>91</v>
      </c>
    </row>
    <row r="9" spans="1:9" ht="153.75" customHeight="1">
      <c r="A9" s="17" t="s">
        <v>100</v>
      </c>
      <c r="B9" s="8" t="s">
        <v>97</v>
      </c>
      <c r="C9" s="8" t="s">
        <v>98</v>
      </c>
      <c r="D9" s="16"/>
      <c r="E9" s="16"/>
      <c r="F9" s="16"/>
      <c r="G9" s="9">
        <v>5150000</v>
      </c>
      <c r="H9" s="10">
        <v>4062965.21</v>
      </c>
      <c r="I9" s="12" t="s">
        <v>96</v>
      </c>
    </row>
  </sheetData>
  <sheetProtection/>
  <mergeCells count="8">
    <mergeCell ref="A1:I1"/>
    <mergeCell ref="C3:C4"/>
    <mergeCell ref="D3:D4"/>
    <mergeCell ref="E3:E4"/>
    <mergeCell ref="F3:F4"/>
    <mergeCell ref="G3:G4"/>
    <mergeCell ref="H3:H4"/>
    <mergeCell ref="I3: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cp:lastModifiedBy>
  <cp:lastPrinted>2013-02-20T09:20:06Z</cp:lastPrinted>
  <dcterms:created xsi:type="dcterms:W3CDTF">2013-01-03T09:50:49Z</dcterms:created>
  <dcterms:modified xsi:type="dcterms:W3CDTF">2013-03-20T13:08:11Z</dcterms:modified>
  <cp:category/>
  <cp:version/>
  <cp:contentType/>
  <cp:contentStatus/>
</cp:coreProperties>
</file>