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</externalReferences>
  <definedNames>
    <definedName name="_xlnm.Print_Area" localSheetId="0">'лист'!$A$1:$G$271</definedName>
  </definedNames>
  <calcPr fullCalcOnLoad="1"/>
</workbook>
</file>

<file path=xl/sharedStrings.xml><?xml version="1.0" encoding="utf-8"?>
<sst xmlns="http://schemas.openxmlformats.org/spreadsheetml/2006/main" count="585" uniqueCount="281">
  <si>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</si>
  <si>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</si>
  <si>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</si>
  <si>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</si>
  <si>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</si>
  <si>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</si>
  <si>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</si>
  <si>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</si>
  <si>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</si>
  <si>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</si>
  <si>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</si>
  <si>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</si>
  <si>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</si>
  <si>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</si>
  <si>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</si>
  <si>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</si>
  <si>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</si>
  <si>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</si>
  <si>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</si>
  <si>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</si>
  <si>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</si>
  <si>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</si>
  <si>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</si>
  <si>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</si>
  <si>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</si>
  <si>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</si>
  <si>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</si>
  <si>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</si>
  <si>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</si>
  <si>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</si>
  <si>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</si>
  <si>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</si>
  <si>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</si>
  <si>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</si>
  <si>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</si>
  <si>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</si>
  <si>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</si>
  <si>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</si>
  <si>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</si>
  <si>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</si>
  <si>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</si>
  <si>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</si>
  <si>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</si>
  <si>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</si>
  <si>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</si>
  <si>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</si>
  <si>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</si>
  <si>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</si>
  <si>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</si>
  <si>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</si>
  <si>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</si>
  <si>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</si>
  <si>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</si>
  <si>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</si>
  <si>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</si>
  <si>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</si>
  <si>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</si>
  <si>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</si>
  <si>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</si>
  <si>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</si>
  <si>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</si>
  <si>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</si>
  <si>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</si>
  <si>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</si>
  <si>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</si>
  <si>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</si>
  <si>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</si>
  <si>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</si>
  <si>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</si>
  <si>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</si>
  <si>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</si>
  <si>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</si>
  <si>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</si>
  <si>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</si>
  <si>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</si>
  <si>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</si>
  <si>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</si>
  <si>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</si>
  <si>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</si>
  <si>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</si>
  <si>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</si>
  <si>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</si>
  <si>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</si>
  <si>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</si>
  <si>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</si>
  <si>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</si>
  <si>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</si>
  <si>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</si>
  <si>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</si>
  <si>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</si>
  <si>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</si>
  <si>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</si>
  <si>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</si>
  <si>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</si>
  <si>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</si>
  <si>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</si>
  <si>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</si>
  <si>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</si>
  <si>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</si>
  <si>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</si>
  <si>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</si>
  <si>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</si>
  <si>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</si>
  <si>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</si>
  <si>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</si>
  <si>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</si>
  <si>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</si>
  <si>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</si>
  <si>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</si>
  <si>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</si>
  <si>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</si>
  <si>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</si>
  <si>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</si>
  <si>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</si>
  <si>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</si>
  <si>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</si>
  <si>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</si>
  <si>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</si>
  <si>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</si>
  <si>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</si>
  <si>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</si>
  <si>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</si>
  <si>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</si>
  <si>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</si>
  <si>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</si>
  <si>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</si>
  <si>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</si>
  <si>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</si>
  <si>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</si>
  <si>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</si>
  <si>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</si>
  <si>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</si>
  <si>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</si>
  <si>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</si>
  <si>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</si>
  <si>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</si>
  <si>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</si>
  <si>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</si>
  <si>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</si>
  <si>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</si>
  <si>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</si>
  <si>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</si>
  <si>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</si>
  <si>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</si>
  <si>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</si>
  <si>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</si>
  <si>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</si>
  <si>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</si>
  <si>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</si>
  <si>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</si>
  <si>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</si>
  <si>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</si>
  <si>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</si>
  <si>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</si>
  <si>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</si>
  <si>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</si>
  <si>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</si>
  <si>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</si>
  <si>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</si>
  <si>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</si>
  <si>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</si>
  <si>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</si>
  <si>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</si>
  <si>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</si>
  <si>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</si>
  <si>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</si>
  <si>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</si>
  <si>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</si>
  <si>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</si>
  <si>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</si>
  <si>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</si>
  <si>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</si>
  <si>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</si>
  <si>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</si>
  <si>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</si>
  <si>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</si>
  <si>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</si>
  <si>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</si>
  <si>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</si>
  <si>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</si>
  <si>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</si>
  <si>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</si>
  <si>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</si>
  <si>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</si>
  <si>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</si>
  <si>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</si>
  <si>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</si>
  <si>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</si>
  <si>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</si>
  <si>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</si>
  <si>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</si>
  <si>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</si>
  <si>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</si>
  <si>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</si>
  <si>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</si>
  <si>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</si>
  <si>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</si>
  <si>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</si>
  <si>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</si>
  <si>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</si>
  <si>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</si>
  <si>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</si>
  <si>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</si>
  <si>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</si>
  <si>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</si>
  <si>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</si>
  <si>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</si>
  <si>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</si>
  <si>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</si>
  <si>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</si>
  <si>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</si>
  <si>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</si>
  <si>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</si>
  <si>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</si>
  <si>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</si>
  <si>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</si>
  <si>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</si>
  <si>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</si>
  <si>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</si>
  <si>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 14</t>
  </si>
  <si>
    <t>Програма "Освіта", затверджена рішенням міської ради від 25.02.2013 № 25</t>
  </si>
  <si>
    <t>Програма "Оздоровлення", затверджена рішенням міської ради від 25.02.2013 № 25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</si>
  <si>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</si>
  <si>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</si>
  <si>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Програма "Позашкільна освіта", затверджена рішенням міської ради від 25.02.2013 № 25</t>
  </si>
  <si>
    <t>Програма "Розвитку ендопротезування великих суглобів в місті Запоріжжі на 2013-2017 роки"затверджена рішенням міської ради від 30.01.2013 № 21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</si>
  <si>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</si>
  <si>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</si>
  <si>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</si>
  <si>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</si>
  <si>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</si>
  <si>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</si>
  <si>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</si>
  <si>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</si>
  <si>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</si>
  <si>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"Загальноміські святкові заходи та акції на 2013 рік"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</si>
  <si>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</si>
  <si>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</si>
  <si>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</si>
  <si>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</si>
  <si>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Програма забезпечення проведення аукціонів з продажу права оренди та у власність земельних ділянок на території м.Запоріжжя у 2013-2015 роки, затверджена рішенням міської ради від 25.02.2013 № 29</t>
  </si>
  <si>
    <t>Програма створення та ведення містобудівного кадастру міста Запоріжжя на 2013-2015 роки, затверджена рішенням міської ради від 25.02.2013 № 28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</si>
  <si>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</si>
  <si>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</si>
  <si>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</si>
  <si>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</si>
  <si>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</si>
  <si>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Програма  використання коштів цільового фонду міської ради на 2013 рік, затверджена рішенням міської ради від 24.12.2012 № 12</t>
  </si>
  <si>
    <t>Програма зайнятості населення міста Запоріжжя на 2012-2014 роки, затверджена рішенням міської ради від 27.12.2011 № 27</t>
  </si>
  <si>
    <t>Програма реконструкції ринку Соцміста КП "Запоріжринок" по вул.Рекордна, 2 м.Запоріжжя на 2013 рік, затверджена рішенням міської ради від 25.02.2013 № 20</t>
  </si>
  <si>
    <t>Програма розвитку земельних відносин у місті Запоріжжі на 2013 рік, затверджена рішенням міської ради від 25.02.2013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</si>
  <si>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</si>
  <si>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 xml:space="preserve">Програма "Про забезпечення екологічної безпеки міста на 2013-2015 роки", затверджена рішенням міської ради від 24.12.2012 № 23 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</si>
  <si>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</si>
  <si>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Програма "Інвентаризація та державна реєстрація об'єктів права комунальної власності територіальної громади м. Запоріжжя на 2012-2014 роки", затверджена рішенням міської ради від 24.12.2012 № 86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</si>
  <si>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</si>
  <si>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</si>
  <si>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</si>
  <si>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</si>
  <si>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</si>
  <si>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</si>
  <si>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 xml:space="preserve">Міська цільова програма роботи й розвитку газети Запорізької міської ради "Запорозька Січ", затверджена рішенням міської ради від 30.01.2013 № 14 </t>
  </si>
  <si>
    <t>100106</t>
  </si>
  <si>
    <t>Капітальний ремонт житлового фонду об'єднань співвласників багатоквартирних будинків</t>
  </si>
  <si>
    <t>Фінансова підтримка КНВП "Екоцентр" на погашення податкового боргу на 2013 рік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</si>
  <si>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</si>
  <si>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</si>
  <si>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</si>
  <si>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</si>
  <si>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</si>
  <si>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"Програма розвитку охорони здоров'я міста Запоріжжя" на період 2013-2017 років, затверджена рішенням міської ради від 30.01.2013 № 21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</si>
  <si>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</si>
  <si>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</si>
  <si>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</si>
  <si>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</si>
  <si>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</si>
  <si>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</si>
  <si>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Деп.фонд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</si>
  <si>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</si>
  <si>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 xml:space="preserve">Програма  використання коштів цільового фонду міської ради на 2013 рік, затверджена рішенням міської ради від 24.12.2012 № 12  </t>
  </si>
  <si>
    <r>
      <t xml:space="preserve">                                    </t>
    </r>
    <r>
      <rPr>
        <b/>
        <u val="single"/>
        <sz val="22"/>
        <rFont val="Times New Roman"/>
        <family val="1"/>
      </rPr>
      <t>27.03.2013 №10</t>
    </r>
    <r>
      <rPr>
        <sz val="2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</si>
</sst>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88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1" fillId="0" borderId="13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32" fillId="0" borderId="10" xfId="0" applyNumberFormat="1" applyFont="1" applyBorder="1" applyAlignment="1">
      <alignment wrapText="1"/>
    </xf>
    <xf numFmtId="0" fontId="3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73;&#1077;&#1088;&#1077;&#1079;&#1077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6">
          <cell r="C16">
            <v>543041</v>
          </cell>
          <cell r="F16">
            <v>55800</v>
          </cell>
        </row>
        <row r="19">
          <cell r="F19">
            <v>2493637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220841</v>
          </cell>
        </row>
        <row r="32">
          <cell r="F32">
            <v>0</v>
          </cell>
        </row>
        <row r="33">
          <cell r="C33">
            <v>533153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909283</v>
          </cell>
        </row>
        <row r="38">
          <cell r="C38">
            <v>5151</v>
          </cell>
        </row>
        <row r="43">
          <cell r="J43">
            <v>2170801</v>
          </cell>
        </row>
        <row r="49">
          <cell r="C49">
            <v>29408967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C61">
            <v>0</v>
          </cell>
        </row>
        <row r="62">
          <cell r="C62">
            <v>576138</v>
          </cell>
        </row>
        <row r="63">
          <cell r="C63">
            <v>3483300</v>
          </cell>
        </row>
        <row r="65">
          <cell r="C65">
            <v>284901</v>
          </cell>
        </row>
        <row r="66">
          <cell r="C66">
            <v>81595</v>
          </cell>
        </row>
        <row r="69">
          <cell r="C69">
            <v>439800</v>
          </cell>
          <cell r="F69">
            <v>42080</v>
          </cell>
        </row>
        <row r="77">
          <cell r="F77">
            <v>372095</v>
          </cell>
        </row>
        <row r="83">
          <cell r="J83">
            <v>8472535</v>
          </cell>
        </row>
        <row r="85">
          <cell r="J85">
            <v>802520</v>
          </cell>
        </row>
        <row r="86">
          <cell r="J86">
            <v>2336107</v>
          </cell>
        </row>
        <row r="88">
          <cell r="J88">
            <v>177616</v>
          </cell>
        </row>
        <row r="92">
          <cell r="F92">
            <v>0</v>
          </cell>
        </row>
        <row r="93">
          <cell r="C93">
            <v>3161291</v>
          </cell>
        </row>
        <row r="95">
          <cell r="F95">
            <v>9650512</v>
          </cell>
        </row>
        <row r="102">
          <cell r="K102">
            <v>2285484</v>
          </cell>
        </row>
        <row r="151">
          <cell r="C151">
            <v>9243019</v>
          </cell>
        </row>
        <row r="155">
          <cell r="F155">
            <v>196550</v>
          </cell>
        </row>
        <row r="156">
          <cell r="C156">
            <v>204630</v>
          </cell>
        </row>
        <row r="158">
          <cell r="C158">
            <v>0</v>
          </cell>
        </row>
        <row r="159">
          <cell r="K159">
            <v>965123</v>
          </cell>
        </row>
        <row r="161">
          <cell r="C161">
            <v>749258</v>
          </cell>
        </row>
        <row r="165">
          <cell r="F165">
            <v>7381983</v>
          </cell>
        </row>
        <row r="167">
          <cell r="C167">
            <v>4980557</v>
          </cell>
        </row>
        <row r="168">
          <cell r="C168">
            <v>4822607</v>
          </cell>
        </row>
        <row r="169">
          <cell r="C169">
            <v>1127594</v>
          </cell>
        </row>
        <row r="170">
          <cell r="C170">
            <v>627594</v>
          </cell>
        </row>
        <row r="173">
          <cell r="C173">
            <v>55948078</v>
          </cell>
        </row>
        <row r="174">
          <cell r="C174">
            <v>39285410</v>
          </cell>
        </row>
        <row r="205">
          <cell r="C205">
            <v>1047685</v>
          </cell>
        </row>
        <row r="206">
          <cell r="K206">
            <v>182336</v>
          </cell>
        </row>
        <row r="208">
          <cell r="F208">
            <v>194934</v>
          </cell>
        </row>
        <row r="216">
          <cell r="F216">
            <v>37000</v>
          </cell>
        </row>
        <row r="218">
          <cell r="F218">
            <v>1071200</v>
          </cell>
        </row>
        <row r="220">
          <cell r="C220">
            <v>608000</v>
          </cell>
        </row>
        <row r="226">
          <cell r="C226">
            <v>351915</v>
          </cell>
        </row>
        <row r="232">
          <cell r="F232">
            <v>60000</v>
          </cell>
        </row>
        <row r="234">
          <cell r="C234">
            <v>113947</v>
          </cell>
        </row>
        <row r="236">
          <cell r="C236">
            <v>9010247</v>
          </cell>
        </row>
        <row r="241">
          <cell r="F241">
            <v>57364941</v>
          </cell>
        </row>
        <row r="242">
          <cell r="C242">
            <v>0</v>
          </cell>
        </row>
        <row r="243">
          <cell r="F243">
            <v>483781</v>
          </cell>
        </row>
        <row r="244">
          <cell r="C244">
            <v>81970901</v>
          </cell>
          <cell r="F244">
            <v>3669094</v>
          </cell>
        </row>
        <row r="246">
          <cell r="F246">
            <v>47560458</v>
          </cell>
        </row>
        <row r="249">
          <cell r="F249">
            <v>44254981</v>
          </cell>
        </row>
        <row r="252">
          <cell r="F252">
            <v>11641498</v>
          </cell>
        </row>
        <row r="254">
          <cell r="F254">
            <v>3157736</v>
          </cell>
        </row>
        <row r="257">
          <cell r="C257">
            <v>6702137</v>
          </cell>
        </row>
        <row r="258">
          <cell r="C258">
            <v>45761</v>
          </cell>
        </row>
        <row r="259">
          <cell r="C259">
            <v>298597</v>
          </cell>
        </row>
        <row r="261">
          <cell r="F261">
            <v>1713632</v>
          </cell>
        </row>
        <row r="274">
          <cell r="F274">
            <v>0</v>
          </cell>
        </row>
        <row r="277">
          <cell r="F277">
            <v>0</v>
          </cell>
        </row>
        <row r="300">
          <cell r="C300">
            <v>0</v>
          </cell>
        </row>
        <row r="303">
          <cell r="C303">
            <v>0</v>
          </cell>
        </row>
        <row r="325">
          <cell r="F325">
            <v>46423</v>
          </cell>
        </row>
        <row r="332">
          <cell r="C332">
            <v>2456180</v>
          </cell>
        </row>
        <row r="340">
          <cell r="C340">
            <v>120000</v>
          </cell>
        </row>
        <row r="341">
          <cell r="C341">
            <v>1268500</v>
          </cell>
        </row>
        <row r="342">
          <cell r="C342">
            <v>1023117</v>
          </cell>
        </row>
        <row r="348">
          <cell r="F348">
            <v>29000</v>
          </cell>
        </row>
        <row r="350">
          <cell r="F350">
            <v>1707056</v>
          </cell>
        </row>
        <row r="355">
          <cell r="F355">
            <v>41395595</v>
          </cell>
        </row>
        <row r="359">
          <cell r="C359">
            <v>16733</v>
          </cell>
        </row>
        <row r="364">
          <cell r="C364">
            <v>2200000</v>
          </cell>
          <cell r="F364">
            <v>0</v>
          </cell>
        </row>
        <row r="368">
          <cell r="C368">
            <v>217929</v>
          </cell>
          <cell r="F368">
            <v>0</v>
          </cell>
        </row>
        <row r="371">
          <cell r="F371">
            <v>4823756</v>
          </cell>
        </row>
        <row r="374">
          <cell r="C374">
            <v>2765058</v>
          </cell>
        </row>
        <row r="380">
          <cell r="C380">
            <v>3263537</v>
          </cell>
          <cell r="F380">
            <v>6932583</v>
          </cell>
        </row>
        <row r="383">
          <cell r="C383">
            <v>2927452</v>
          </cell>
          <cell r="F383">
            <v>122441</v>
          </cell>
        </row>
        <row r="386">
          <cell r="F386">
            <v>30000</v>
          </cell>
        </row>
        <row r="391">
          <cell r="F391">
            <v>9696276</v>
          </cell>
        </row>
        <row r="396">
          <cell r="F396">
            <v>11010154</v>
          </cell>
        </row>
        <row r="398">
          <cell r="F398">
            <v>20000000</v>
          </cell>
        </row>
        <row r="405">
          <cell r="C405">
            <v>13874400</v>
          </cell>
        </row>
        <row r="410">
          <cell r="F410">
            <v>0</v>
          </cell>
        </row>
        <row r="412">
          <cell r="C412">
            <v>52253</v>
          </cell>
        </row>
        <row r="417">
          <cell r="F417">
            <v>0</v>
          </cell>
        </row>
        <row r="422">
          <cell r="C422">
            <v>604590</v>
          </cell>
          <cell r="F422">
            <v>0</v>
          </cell>
        </row>
        <row r="424">
          <cell r="K424">
            <v>0</v>
          </cell>
        </row>
        <row r="426">
          <cell r="F426">
            <v>7257</v>
          </cell>
        </row>
        <row r="429">
          <cell r="C429">
            <v>132118</v>
          </cell>
        </row>
        <row r="430">
          <cell r="C430">
            <v>99900</v>
          </cell>
        </row>
        <row r="431">
          <cell r="C431">
            <v>238824</v>
          </cell>
        </row>
        <row r="432">
          <cell r="C432">
            <v>8337</v>
          </cell>
        </row>
        <row r="433">
          <cell r="C433">
            <v>20000</v>
          </cell>
        </row>
        <row r="438">
          <cell r="C438">
            <v>503411</v>
          </cell>
          <cell r="F438">
            <v>15901</v>
          </cell>
        </row>
        <row r="442">
          <cell r="F442">
            <v>34248</v>
          </cell>
        </row>
        <row r="445">
          <cell r="C445">
            <v>5735</v>
          </cell>
        </row>
        <row r="446">
          <cell r="C446">
            <v>31950</v>
          </cell>
        </row>
        <row r="447">
          <cell r="C447">
            <v>8337</v>
          </cell>
        </row>
        <row r="448">
          <cell r="C448">
            <v>20000</v>
          </cell>
        </row>
        <row r="453">
          <cell r="C453">
            <v>734709</v>
          </cell>
          <cell r="F453">
            <v>147972</v>
          </cell>
        </row>
        <row r="455">
          <cell r="F455">
            <v>5949949</v>
          </cell>
        </row>
        <row r="457">
          <cell r="F457">
            <v>22683</v>
          </cell>
        </row>
        <row r="460">
          <cell r="C460">
            <v>86135</v>
          </cell>
        </row>
        <row r="461">
          <cell r="C461">
            <v>99900</v>
          </cell>
        </row>
        <row r="462">
          <cell r="C462">
            <v>38505</v>
          </cell>
        </row>
        <row r="463">
          <cell r="C463">
            <v>7527</v>
          </cell>
        </row>
        <row r="464">
          <cell r="C464">
            <v>20000</v>
          </cell>
        </row>
        <row r="469">
          <cell r="C469">
            <v>482173</v>
          </cell>
          <cell r="F469">
            <v>9330</v>
          </cell>
        </row>
        <row r="471">
          <cell r="F471">
            <v>998692</v>
          </cell>
        </row>
        <row r="476">
          <cell r="C476">
            <v>86135</v>
          </cell>
        </row>
        <row r="477">
          <cell r="C477">
            <v>99900</v>
          </cell>
        </row>
        <row r="478">
          <cell r="C478">
            <v>20991</v>
          </cell>
        </row>
        <row r="479">
          <cell r="C479">
            <v>8336</v>
          </cell>
        </row>
        <row r="480">
          <cell r="C480">
            <v>20000</v>
          </cell>
        </row>
        <row r="485">
          <cell r="C485">
            <v>818449</v>
          </cell>
        </row>
        <row r="487">
          <cell r="C487">
            <v>246500</v>
          </cell>
        </row>
        <row r="489">
          <cell r="F489">
            <v>128410</v>
          </cell>
        </row>
        <row r="492">
          <cell r="C492">
            <v>195238</v>
          </cell>
        </row>
        <row r="493">
          <cell r="C493">
            <v>1000</v>
          </cell>
        </row>
        <row r="494">
          <cell r="C494">
            <v>63468</v>
          </cell>
        </row>
        <row r="495">
          <cell r="C495">
            <v>12424</v>
          </cell>
        </row>
        <row r="496">
          <cell r="C496">
            <v>20000</v>
          </cell>
        </row>
        <row r="501">
          <cell r="C501">
            <v>713893</v>
          </cell>
          <cell r="F501">
            <v>20000</v>
          </cell>
        </row>
        <row r="503">
          <cell r="F503">
            <v>1145573</v>
          </cell>
        </row>
        <row r="505">
          <cell r="F505">
            <v>50162</v>
          </cell>
        </row>
        <row r="508">
          <cell r="C508">
            <v>57447</v>
          </cell>
        </row>
        <row r="510">
          <cell r="C510">
            <v>22955</v>
          </cell>
        </row>
        <row r="511">
          <cell r="C511">
            <v>8336</v>
          </cell>
        </row>
        <row r="512">
          <cell r="C512">
            <v>20000</v>
          </cell>
        </row>
        <row r="517">
          <cell r="C517">
            <v>586283</v>
          </cell>
        </row>
        <row r="522">
          <cell r="C522">
            <v>80392</v>
          </cell>
        </row>
        <row r="523">
          <cell r="C523">
            <v>60000</v>
          </cell>
        </row>
        <row r="524">
          <cell r="C524">
            <v>8500</v>
          </cell>
          <cell r="F524">
            <v>0</v>
          </cell>
        </row>
        <row r="525">
          <cell r="C525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</sheetNames>
    <sheetDataSet>
      <sheetData sheetId="0">
        <row r="111">
          <cell r="D111">
            <v>202851.642</v>
          </cell>
        </row>
        <row r="123">
          <cell r="D123">
            <v>402886.52799999993</v>
          </cell>
        </row>
        <row r="128">
          <cell r="D128">
            <v>92054.474</v>
          </cell>
        </row>
        <row r="132">
          <cell r="D132">
            <v>16465.254</v>
          </cell>
        </row>
        <row r="133">
          <cell r="D133">
            <v>3744.201</v>
          </cell>
        </row>
        <row r="135">
          <cell r="D135">
            <v>57341.941</v>
          </cell>
        </row>
        <row r="138">
          <cell r="D138">
            <v>2986.274</v>
          </cell>
        </row>
        <row r="139">
          <cell r="D139">
            <v>7031.369</v>
          </cell>
        </row>
        <row r="141">
          <cell r="D141">
            <v>42.5</v>
          </cell>
        </row>
        <row r="143">
          <cell r="D143">
            <v>11134.867</v>
          </cell>
        </row>
        <row r="145">
          <cell r="D145">
            <v>963.139</v>
          </cell>
        </row>
        <row r="147">
          <cell r="D147">
            <v>42.5</v>
          </cell>
        </row>
        <row r="149">
          <cell r="D149">
            <v>96.59</v>
          </cell>
        </row>
        <row r="150">
          <cell r="D150">
            <v>4487.674</v>
          </cell>
        </row>
        <row r="152">
          <cell r="D152">
            <v>55.8</v>
          </cell>
        </row>
        <row r="154">
          <cell r="D154">
            <v>6922.539</v>
          </cell>
        </row>
        <row r="155">
          <cell r="D155">
            <v>13.632</v>
          </cell>
        </row>
        <row r="165">
          <cell r="D165">
            <v>23</v>
          </cell>
        </row>
        <row r="168">
          <cell r="D168">
            <v>0</v>
          </cell>
        </row>
        <row r="171">
          <cell r="D171">
            <v>0</v>
          </cell>
        </row>
        <row r="172">
          <cell r="D172">
            <v>162.44</v>
          </cell>
        </row>
        <row r="175">
          <cell r="D175">
            <v>112.34</v>
          </cell>
        </row>
        <row r="178">
          <cell r="D178">
            <v>101.944</v>
          </cell>
        </row>
        <row r="180">
          <cell r="D180">
            <v>4</v>
          </cell>
        </row>
        <row r="182">
          <cell r="D182">
            <v>0</v>
          </cell>
        </row>
        <row r="184">
          <cell r="D184">
            <v>2</v>
          </cell>
        </row>
        <row r="186">
          <cell r="D186">
            <v>29643.627</v>
          </cell>
        </row>
        <row r="189">
          <cell r="D189">
            <v>20000</v>
          </cell>
        </row>
        <row r="191">
          <cell r="D191">
            <v>1700</v>
          </cell>
        </row>
        <row r="197">
          <cell r="D197">
            <v>156</v>
          </cell>
        </row>
        <row r="198">
          <cell r="D198">
            <v>44254.981</v>
          </cell>
        </row>
        <row r="200">
          <cell r="D200">
            <v>44925.426</v>
          </cell>
        </row>
        <row r="202">
          <cell r="D202">
            <v>1707.056</v>
          </cell>
        </row>
        <row r="203">
          <cell r="D203">
            <v>55763.578</v>
          </cell>
        </row>
        <row r="204">
          <cell r="D204">
            <v>463.601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6"/>
  <sheetViews>
    <sheetView tabSelected="1" view="pageBreakPreview" zoomScale="75" zoomScaleSheetLayoutView="75" zoomScalePageLayoutView="0" workbookViewId="0" topLeftCell="C1">
      <selection activeCell="E9" sqref="E9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4.57421875" style="2" customWidth="1"/>
    <col min="6" max="6" width="21.140625" style="2" customWidth="1"/>
    <col min="7" max="7" width="19.8515625" style="2" customWidth="1"/>
    <col min="8" max="8" width="11.57421875" style="2" bestFit="1" customWidth="1"/>
    <col min="9" max="9" width="10.00390625" style="2" bestFit="1" customWidth="1"/>
    <col min="10" max="10" width="11.57421875" style="2" customWidth="1"/>
    <col min="11" max="16384" width="9.140625" style="2" customWidth="1"/>
  </cols>
  <sheetData>
    <row r="1" spans="5:7" ht="55.5" customHeight="1">
      <c r="E1" s="22" t="s">
        <v>178</v>
      </c>
      <c r="G1" s="21"/>
    </row>
    <row r="2" spans="5:7" ht="28.5" customHeight="1">
      <c r="E2" s="22" t="s">
        <v>179</v>
      </c>
      <c r="G2" s="21"/>
    </row>
    <row r="3" spans="3:7" ht="40.5" customHeight="1">
      <c r="C3" s="12"/>
      <c r="E3" s="22" t="s">
        <v>280</v>
      </c>
      <c r="G3" s="21"/>
    </row>
    <row r="5" spans="1:7" s="10" customFormat="1" ht="28.5" customHeight="1">
      <c r="A5" s="79" t="s">
        <v>201</v>
      </c>
      <c r="B5" s="79"/>
      <c r="C5" s="79"/>
      <c r="D5" s="79"/>
      <c r="E5" s="79"/>
      <c r="F5" s="79"/>
      <c r="G5" s="79"/>
    </row>
    <row r="6" ht="5.25" customHeight="1"/>
    <row r="7" ht="16.5" customHeight="1">
      <c r="G7" s="11" t="s">
        <v>49</v>
      </c>
    </row>
    <row r="8" spans="1:7" s="4" customFormat="1" ht="48" customHeight="1">
      <c r="A8" s="15" t="s">
        <v>18</v>
      </c>
      <c r="B8" s="81" t="s">
        <v>20</v>
      </c>
      <c r="C8" s="80" t="s">
        <v>44</v>
      </c>
      <c r="D8" s="80"/>
      <c r="E8" s="80" t="s">
        <v>47</v>
      </c>
      <c r="F8" s="80"/>
      <c r="G8" s="20" t="s">
        <v>48</v>
      </c>
    </row>
    <row r="9" spans="1:7" s="4" customFormat="1" ht="55.5" customHeight="1">
      <c r="A9" s="15" t="s">
        <v>19</v>
      </c>
      <c r="B9" s="82"/>
      <c r="C9" s="3" t="s">
        <v>45</v>
      </c>
      <c r="D9" s="3" t="s">
        <v>46</v>
      </c>
      <c r="E9" s="3" t="s">
        <v>45</v>
      </c>
      <c r="F9" s="3" t="s">
        <v>46</v>
      </c>
      <c r="G9" s="3" t="s">
        <v>46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s="4" customFormat="1" ht="15.75">
      <c r="A11" s="6" t="s">
        <v>110</v>
      </c>
      <c r="B11" s="7" t="s">
        <v>22</v>
      </c>
      <c r="C11" s="3"/>
      <c r="D11" s="18">
        <f>SUM(D12:D28)</f>
        <v>5525523</v>
      </c>
      <c r="E11" s="3"/>
      <c r="F11" s="17">
        <f>SUM(F12:F28)</f>
        <v>3055075</v>
      </c>
      <c r="G11" s="17">
        <f>SUM(G12:G28)</f>
        <v>8580598</v>
      </c>
    </row>
    <row r="12" spans="1:7" s="35" customFormat="1" ht="47.25">
      <c r="A12" s="33" t="s">
        <v>142</v>
      </c>
      <c r="B12" s="8" t="s">
        <v>143</v>
      </c>
      <c r="C12" s="8"/>
      <c r="D12" s="28"/>
      <c r="E12" s="8" t="s">
        <v>268</v>
      </c>
      <c r="F12" s="34">
        <v>231245</v>
      </c>
      <c r="G12" s="13">
        <f aca="true" t="shared" si="0" ref="G12:G24">D12+F12</f>
        <v>231245</v>
      </c>
    </row>
    <row r="13" spans="1:7" s="35" customFormat="1" ht="47.25">
      <c r="A13" s="69" t="s">
        <v>62</v>
      </c>
      <c r="B13" s="71" t="s">
        <v>88</v>
      </c>
      <c r="C13" s="8" t="s">
        <v>261</v>
      </c>
      <c r="D13" s="28">
        <f>'[1]Місто'!C16</f>
        <v>543041</v>
      </c>
      <c r="E13" s="8"/>
      <c r="F13" s="13"/>
      <c r="G13" s="13">
        <f t="shared" si="0"/>
        <v>543041</v>
      </c>
    </row>
    <row r="14" spans="1:7" s="35" customFormat="1" ht="47.25">
      <c r="A14" s="70"/>
      <c r="B14" s="72"/>
      <c r="C14" s="37"/>
      <c r="D14" s="28"/>
      <c r="E14" s="59" t="s">
        <v>267</v>
      </c>
      <c r="F14" s="60">
        <f>'[1]Місто'!$F$16</f>
        <v>55800</v>
      </c>
      <c r="G14" s="61">
        <f t="shared" si="0"/>
        <v>55800</v>
      </c>
    </row>
    <row r="15" spans="1:7" s="35" customFormat="1" ht="63">
      <c r="A15" s="69" t="s">
        <v>68</v>
      </c>
      <c r="B15" s="71" t="s">
        <v>69</v>
      </c>
      <c r="C15" s="71"/>
      <c r="D15" s="28"/>
      <c r="E15" s="8" t="s">
        <v>269</v>
      </c>
      <c r="F15" s="34">
        <f>'[1]Місто'!$F$19-F18</f>
        <v>2493637</v>
      </c>
      <c r="G15" s="13">
        <f t="shared" si="0"/>
        <v>2493637</v>
      </c>
    </row>
    <row r="16" spans="1:7" s="35" customFormat="1" ht="44.25" customHeight="1" hidden="1">
      <c r="A16" s="77"/>
      <c r="B16" s="76"/>
      <c r="C16" s="76"/>
      <c r="D16" s="9"/>
      <c r="E16" s="8" t="s">
        <v>104</v>
      </c>
      <c r="F16" s="13"/>
      <c r="G16" s="13">
        <f t="shared" si="0"/>
        <v>0</v>
      </c>
    </row>
    <row r="17" spans="1:7" s="35" customFormat="1" ht="47.25" customHeight="1" hidden="1">
      <c r="A17" s="77"/>
      <c r="B17" s="76"/>
      <c r="C17" s="76"/>
      <c r="D17" s="9"/>
      <c r="E17" s="8" t="s">
        <v>103</v>
      </c>
      <c r="F17" s="34">
        <f>'[1]Місто'!$F$25</f>
        <v>0</v>
      </c>
      <c r="G17" s="13">
        <f t="shared" si="0"/>
        <v>0</v>
      </c>
    </row>
    <row r="18" spans="1:7" s="35" customFormat="1" ht="15.75" hidden="1">
      <c r="A18" s="70"/>
      <c r="B18" s="72"/>
      <c r="C18" s="72"/>
      <c r="D18" s="9"/>
      <c r="E18" s="8"/>
      <c r="F18" s="34">
        <f>'[1]Місто'!$F$20</f>
        <v>0</v>
      </c>
      <c r="G18" s="13">
        <f t="shared" si="0"/>
        <v>0</v>
      </c>
    </row>
    <row r="19" spans="1:7" s="35" customFormat="1" ht="188.25" customHeight="1">
      <c r="A19" s="29" t="s">
        <v>188</v>
      </c>
      <c r="B19" s="65" t="s">
        <v>189</v>
      </c>
      <c r="C19" s="8"/>
      <c r="D19" s="9"/>
      <c r="E19" s="8" t="s">
        <v>251</v>
      </c>
      <c r="F19" s="34">
        <f>'[1]Місто'!$F$21</f>
        <v>53552</v>
      </c>
      <c r="G19" s="13">
        <f t="shared" si="0"/>
        <v>53552</v>
      </c>
    </row>
    <row r="20" spans="1:7" s="35" customFormat="1" ht="47.25">
      <c r="A20" s="38">
        <v>240900</v>
      </c>
      <c r="B20" s="37" t="s">
        <v>89</v>
      </c>
      <c r="C20" s="27"/>
      <c r="D20" s="26"/>
      <c r="E20" s="8" t="s">
        <v>247</v>
      </c>
      <c r="F20" s="34">
        <f>'[1]Місто'!$F$27</f>
        <v>220841</v>
      </c>
      <c r="G20" s="13">
        <f t="shared" si="0"/>
        <v>220841</v>
      </c>
    </row>
    <row r="21" spans="1:7" s="35" customFormat="1" ht="75" customHeight="1" hidden="1">
      <c r="A21" s="38">
        <v>250203</v>
      </c>
      <c r="B21" s="37" t="s">
        <v>173</v>
      </c>
      <c r="C21" s="8"/>
      <c r="D21" s="39">
        <f>'[1]Місто'!$C$29</f>
        <v>0</v>
      </c>
      <c r="E21" s="8"/>
      <c r="F21" s="13"/>
      <c r="G21" s="13">
        <f t="shared" si="0"/>
        <v>0</v>
      </c>
    </row>
    <row r="22" spans="1:7" s="35" customFormat="1" ht="94.5">
      <c r="A22" s="73">
        <v>250404</v>
      </c>
      <c r="B22" s="71" t="s">
        <v>76</v>
      </c>
      <c r="C22" s="8" t="s">
        <v>219</v>
      </c>
      <c r="D22" s="39">
        <f>'[1]Місто'!C34</f>
        <v>304457</v>
      </c>
      <c r="E22" s="13"/>
      <c r="F22" s="19"/>
      <c r="G22" s="13">
        <f t="shared" si="0"/>
        <v>304457</v>
      </c>
    </row>
    <row r="23" spans="1:7" s="35" customFormat="1" ht="63">
      <c r="A23" s="74"/>
      <c r="B23" s="76"/>
      <c r="C23" s="8" t="s">
        <v>259</v>
      </c>
      <c r="D23" s="28">
        <f>'[1]Місто'!$C$33</f>
        <v>533153</v>
      </c>
      <c r="E23" s="8"/>
      <c r="F23" s="34">
        <f>'[1]Місто'!$F$33</f>
        <v>0</v>
      </c>
      <c r="G23" s="13">
        <f t="shared" si="0"/>
        <v>533153</v>
      </c>
    </row>
    <row r="24" spans="1:7" s="35" customFormat="1" ht="32.25" customHeight="1" hidden="1">
      <c r="A24" s="74"/>
      <c r="B24" s="76"/>
      <c r="C24" s="8" t="s">
        <v>105</v>
      </c>
      <c r="D24" s="28">
        <f>'[1]Місто'!$C$32</f>
        <v>0</v>
      </c>
      <c r="E24" s="8" t="s">
        <v>105</v>
      </c>
      <c r="F24" s="34">
        <f>'[1]Місто'!$F$32</f>
        <v>0</v>
      </c>
      <c r="G24" s="13">
        <f t="shared" si="0"/>
        <v>0</v>
      </c>
    </row>
    <row r="25" spans="1:7" s="35" customFormat="1" ht="65.25" customHeight="1">
      <c r="A25" s="74"/>
      <c r="B25" s="76"/>
      <c r="C25" s="8" t="s">
        <v>218</v>
      </c>
      <c r="D25" s="28">
        <f>'[1]Місто'!$C$35</f>
        <v>3230438</v>
      </c>
      <c r="E25" s="8"/>
      <c r="F25" s="34">
        <f>'[1]Місто'!$K$35</f>
        <v>0</v>
      </c>
      <c r="G25" s="34">
        <f>D25+F25</f>
        <v>3230438</v>
      </c>
    </row>
    <row r="26" spans="1:7" s="35" customFormat="1" ht="46.5" customHeight="1" hidden="1">
      <c r="A26" s="74"/>
      <c r="B26" s="76"/>
      <c r="C26" s="8" t="s">
        <v>177</v>
      </c>
      <c r="D26" s="28">
        <f>'[1]Місто'!$C$36</f>
        <v>0</v>
      </c>
      <c r="E26" s="8"/>
      <c r="F26" s="34"/>
      <c r="G26" s="34">
        <f>D26+F26</f>
        <v>0</v>
      </c>
    </row>
    <row r="27" spans="1:7" s="35" customFormat="1" ht="46.5" customHeight="1">
      <c r="A27" s="74"/>
      <c r="B27" s="76"/>
      <c r="C27" s="59" t="s">
        <v>267</v>
      </c>
      <c r="D27" s="62">
        <f>'[1]Місто'!$C$37</f>
        <v>909283</v>
      </c>
      <c r="E27" s="59"/>
      <c r="F27" s="60"/>
      <c r="G27" s="60">
        <f>D27+F27</f>
        <v>909283</v>
      </c>
    </row>
    <row r="28" spans="1:7" s="35" customFormat="1" ht="63">
      <c r="A28" s="75"/>
      <c r="B28" s="72"/>
      <c r="C28" s="8" t="s">
        <v>251</v>
      </c>
      <c r="D28" s="28">
        <f>'[1]Місто'!$C$38</f>
        <v>5151</v>
      </c>
      <c r="E28" s="8"/>
      <c r="F28" s="34"/>
      <c r="G28" s="34">
        <f>D28+F28</f>
        <v>5151</v>
      </c>
    </row>
    <row r="29" spans="1:7" s="35" customFormat="1" ht="31.5">
      <c r="A29" s="41" t="s">
        <v>118</v>
      </c>
      <c r="B29" s="42" t="s">
        <v>33</v>
      </c>
      <c r="C29" s="8"/>
      <c r="D29" s="43">
        <f>SUM(D30:D63)</f>
        <v>38416657</v>
      </c>
      <c r="E29" s="9"/>
      <c r="F29" s="43">
        <f>SUM(F30:F63)</f>
        <v>33143374</v>
      </c>
      <c r="G29" s="43">
        <f>SUM(G30:G63)</f>
        <v>71560031</v>
      </c>
    </row>
    <row r="30" spans="1:7" s="35" customFormat="1" ht="31.5" hidden="1">
      <c r="A30" s="33" t="s">
        <v>142</v>
      </c>
      <c r="B30" s="8" t="s">
        <v>143</v>
      </c>
      <c r="C30" s="8" t="s">
        <v>171</v>
      </c>
      <c r="D30" s="28"/>
      <c r="E30" s="8"/>
      <c r="F30" s="34"/>
      <c r="G30" s="13">
        <f aca="true" t="shared" si="1" ref="G30:G62">F30+D30</f>
        <v>0</v>
      </c>
    </row>
    <row r="31" spans="1:7" s="35" customFormat="1" ht="33" customHeight="1">
      <c r="A31" s="69" t="s">
        <v>51</v>
      </c>
      <c r="B31" s="71" t="s">
        <v>91</v>
      </c>
      <c r="C31" s="8" t="s">
        <v>220</v>
      </c>
      <c r="D31" s="28">
        <v>133851</v>
      </c>
      <c r="E31" s="8" t="s">
        <v>220</v>
      </c>
      <c r="F31" s="34">
        <f>'[1]Місто'!$J$43-F32</f>
        <v>1780301</v>
      </c>
      <c r="G31" s="13">
        <f t="shared" si="1"/>
        <v>1914152</v>
      </c>
    </row>
    <row r="32" spans="1:7" s="35" customFormat="1" ht="47.25">
      <c r="A32" s="70"/>
      <c r="B32" s="72"/>
      <c r="C32" s="59" t="s">
        <v>267</v>
      </c>
      <c r="D32" s="62">
        <f>72367+5000+20000+23000</f>
        <v>120367</v>
      </c>
      <c r="E32" s="59" t="s">
        <v>267</v>
      </c>
      <c r="F32" s="60">
        <f>242500+22000+38000+83000+5000</f>
        <v>390500</v>
      </c>
      <c r="G32" s="61">
        <f t="shared" si="1"/>
        <v>510867</v>
      </c>
    </row>
    <row r="33" spans="1:7" s="35" customFormat="1" ht="31.5">
      <c r="A33" s="69" t="s">
        <v>52</v>
      </c>
      <c r="B33" s="69" t="s">
        <v>92</v>
      </c>
      <c r="C33" s="8" t="s">
        <v>220</v>
      </c>
      <c r="D33" s="28">
        <v>342934</v>
      </c>
      <c r="E33" s="8" t="s">
        <v>220</v>
      </c>
      <c r="F33" s="34">
        <v>3302181</v>
      </c>
      <c r="G33" s="13">
        <f t="shared" si="1"/>
        <v>3645115</v>
      </c>
    </row>
    <row r="34" spans="1:7" s="35" customFormat="1" ht="32.25" customHeight="1" hidden="1">
      <c r="A34" s="77"/>
      <c r="B34" s="77"/>
      <c r="C34" s="8" t="s">
        <v>205</v>
      </c>
      <c r="D34" s="28"/>
      <c r="E34" s="8" t="s">
        <v>205</v>
      </c>
      <c r="F34" s="34"/>
      <c r="G34" s="13">
        <f t="shared" si="1"/>
        <v>0</v>
      </c>
    </row>
    <row r="35" spans="1:7" s="35" customFormat="1" ht="66" customHeight="1" hidden="1">
      <c r="A35" s="77"/>
      <c r="B35" s="77"/>
      <c r="C35" s="8" t="s">
        <v>205</v>
      </c>
      <c r="D35" s="28"/>
      <c r="E35" s="8" t="s">
        <v>205</v>
      </c>
      <c r="F35" s="34"/>
      <c r="G35" s="13">
        <f t="shared" si="1"/>
        <v>0</v>
      </c>
    </row>
    <row r="36" spans="1:7" s="35" customFormat="1" ht="30" customHeight="1">
      <c r="A36" s="77"/>
      <c r="B36" s="77"/>
      <c r="C36" s="8" t="s">
        <v>221</v>
      </c>
      <c r="D36" s="28">
        <v>215595</v>
      </c>
      <c r="E36" s="8"/>
      <c r="F36" s="34"/>
      <c r="G36" s="13">
        <f t="shared" si="1"/>
        <v>215595</v>
      </c>
    </row>
    <row r="37" spans="1:7" s="35" customFormat="1" ht="47.25">
      <c r="A37" s="70"/>
      <c r="B37" s="70"/>
      <c r="C37" s="59" t="s">
        <v>267</v>
      </c>
      <c r="D37" s="62">
        <f>130400+14000+56100+48600</f>
        <v>249100</v>
      </c>
      <c r="E37" s="59" t="s">
        <v>267</v>
      </c>
      <c r="F37" s="60">
        <f>801000+104100+10000+276550+11500+318578</f>
        <v>1521728</v>
      </c>
      <c r="G37" s="61">
        <f t="shared" si="1"/>
        <v>1770828</v>
      </c>
    </row>
    <row r="38" spans="1:7" s="35" customFormat="1" ht="39" customHeight="1">
      <c r="A38" s="69" t="s">
        <v>53</v>
      </c>
      <c r="B38" s="71" t="s">
        <v>93</v>
      </c>
      <c r="C38" s="8" t="s">
        <v>220</v>
      </c>
      <c r="D38" s="28">
        <v>1636</v>
      </c>
      <c r="E38" s="8"/>
      <c r="F38" s="34"/>
      <c r="G38" s="13">
        <f t="shared" si="1"/>
        <v>1636</v>
      </c>
    </row>
    <row r="39" spans="1:7" s="35" customFormat="1" ht="47.25">
      <c r="A39" s="70"/>
      <c r="B39" s="72"/>
      <c r="C39" s="8"/>
      <c r="D39" s="28"/>
      <c r="E39" s="59" t="s">
        <v>267</v>
      </c>
      <c r="F39" s="60">
        <f>13000+5000</f>
        <v>18000</v>
      </c>
      <c r="G39" s="60">
        <f t="shared" si="1"/>
        <v>18000</v>
      </c>
    </row>
    <row r="40" spans="1:7" s="35" customFormat="1" ht="36" customHeight="1">
      <c r="A40" s="69" t="s">
        <v>10</v>
      </c>
      <c r="B40" s="71" t="s">
        <v>11</v>
      </c>
      <c r="C40" s="8" t="s">
        <v>266</v>
      </c>
      <c r="D40" s="28">
        <f>'[1]Місто'!$C$49-140040-D50</f>
        <v>29252927</v>
      </c>
      <c r="E40" s="8" t="s">
        <v>224</v>
      </c>
      <c r="F40" s="34">
        <f>686049-F41-F50</f>
        <v>494410</v>
      </c>
      <c r="G40" s="13">
        <f t="shared" si="1"/>
        <v>29747337</v>
      </c>
    </row>
    <row r="41" spans="1:7" s="35" customFormat="1" ht="35.25" customHeight="1">
      <c r="A41" s="77"/>
      <c r="B41" s="76"/>
      <c r="C41" s="8" t="s">
        <v>248</v>
      </c>
      <c r="D41" s="28">
        <f>140040</f>
        <v>140040</v>
      </c>
      <c r="E41" s="8" t="s">
        <v>248</v>
      </c>
      <c r="F41" s="34">
        <f>140040</f>
        <v>140040</v>
      </c>
      <c r="G41" s="13">
        <f t="shared" si="1"/>
        <v>280080</v>
      </c>
    </row>
    <row r="42" spans="1:7" s="35" customFormat="1" ht="46.5" customHeight="1" hidden="1">
      <c r="A42" s="77"/>
      <c r="B42" s="76"/>
      <c r="C42" s="8"/>
      <c r="D42" s="28"/>
      <c r="E42" s="8"/>
      <c r="F42" s="34">
        <f>'[1]Місто'!$F$51</f>
        <v>0</v>
      </c>
      <c r="G42" s="13">
        <f t="shared" si="1"/>
        <v>0</v>
      </c>
    </row>
    <row r="43" spans="1:7" s="35" customFormat="1" ht="33" customHeight="1" hidden="1">
      <c r="A43" s="77"/>
      <c r="B43" s="76"/>
      <c r="C43" s="8"/>
      <c r="D43" s="28"/>
      <c r="E43" s="8"/>
      <c r="F43" s="34"/>
      <c r="G43" s="13">
        <f t="shared" si="1"/>
        <v>0</v>
      </c>
    </row>
    <row r="44" spans="1:7" s="35" customFormat="1" ht="31.5" customHeight="1" hidden="1">
      <c r="A44" s="77"/>
      <c r="B44" s="76"/>
      <c r="C44" s="8"/>
      <c r="D44" s="28"/>
      <c r="E44" s="8"/>
      <c r="F44" s="34">
        <f>'[1]Місто'!$F$53</f>
        <v>0</v>
      </c>
      <c r="G44" s="13">
        <f t="shared" si="1"/>
        <v>0</v>
      </c>
    </row>
    <row r="45" spans="1:7" s="35" customFormat="1" ht="30" customHeight="1" hidden="1">
      <c r="A45" s="77"/>
      <c r="B45" s="76"/>
      <c r="C45" s="8"/>
      <c r="D45" s="28"/>
      <c r="E45" s="8"/>
      <c r="F45" s="34"/>
      <c r="G45" s="13">
        <f t="shared" si="1"/>
        <v>0</v>
      </c>
    </row>
    <row r="46" spans="1:7" s="35" customFormat="1" ht="66.75" customHeight="1" hidden="1">
      <c r="A46" s="77"/>
      <c r="B46" s="76"/>
      <c r="C46" s="8"/>
      <c r="D46" s="28"/>
      <c r="E46" s="8"/>
      <c r="F46" s="34">
        <f>'[1]Місто'!$F$55</f>
        <v>0</v>
      </c>
      <c r="G46" s="13">
        <f t="shared" si="1"/>
        <v>0</v>
      </c>
    </row>
    <row r="47" spans="1:7" s="35" customFormat="1" ht="47.25" customHeight="1" hidden="1">
      <c r="A47" s="77"/>
      <c r="B47" s="76"/>
      <c r="C47" s="8"/>
      <c r="D47" s="28"/>
      <c r="E47" s="8"/>
      <c r="F47" s="13"/>
      <c r="G47" s="13">
        <f t="shared" si="1"/>
        <v>0</v>
      </c>
    </row>
    <row r="48" spans="1:7" s="35" customFormat="1" ht="51.75" customHeight="1" hidden="1">
      <c r="A48" s="77"/>
      <c r="B48" s="76"/>
      <c r="C48" s="8"/>
      <c r="D48" s="39"/>
      <c r="E48" s="8"/>
      <c r="F48" s="19">
        <f>'[1]Місто'!$F$60</f>
        <v>0</v>
      </c>
      <c r="G48" s="13">
        <f t="shared" si="1"/>
        <v>0</v>
      </c>
    </row>
    <row r="49" spans="1:7" s="35" customFormat="1" ht="51.75" customHeight="1" hidden="1">
      <c r="A49" s="77"/>
      <c r="B49" s="76"/>
      <c r="C49" s="8"/>
      <c r="D49" s="39">
        <f>'[1]Місто'!$C$61</f>
        <v>0</v>
      </c>
      <c r="E49" s="45"/>
      <c r="F49" s="27"/>
      <c r="G49" s="13">
        <f t="shared" si="1"/>
        <v>0</v>
      </c>
    </row>
    <row r="50" spans="1:7" s="35" customFormat="1" ht="47.25">
      <c r="A50" s="70"/>
      <c r="B50" s="72"/>
      <c r="C50" s="59" t="s">
        <v>267</v>
      </c>
      <c r="D50" s="60">
        <f>10000+6000</f>
        <v>16000</v>
      </c>
      <c r="E50" s="59" t="s">
        <v>267</v>
      </c>
      <c r="F50" s="60">
        <f>32000+10599+9000</f>
        <v>51599</v>
      </c>
      <c r="G50" s="13">
        <f t="shared" si="1"/>
        <v>67599</v>
      </c>
    </row>
    <row r="51" spans="1:7" s="35" customFormat="1" ht="31.5">
      <c r="A51" s="44" t="s">
        <v>65</v>
      </c>
      <c r="B51" s="8" t="s">
        <v>12</v>
      </c>
      <c r="C51" s="8" t="s">
        <v>222</v>
      </c>
      <c r="D51" s="39">
        <f>'[1]Місто'!$C$62</f>
        <v>576138</v>
      </c>
      <c r="E51" s="8"/>
      <c r="F51" s="27"/>
      <c r="G51" s="27">
        <f>D51+F51</f>
        <v>576138</v>
      </c>
    </row>
    <row r="52" spans="1:7" s="35" customFormat="1" ht="95.25" customHeight="1">
      <c r="A52" s="33" t="s">
        <v>54</v>
      </c>
      <c r="B52" s="8" t="s">
        <v>87</v>
      </c>
      <c r="C52" s="8" t="s">
        <v>221</v>
      </c>
      <c r="D52" s="28">
        <f>'[1]Місто'!$C$63</f>
        <v>3483300</v>
      </c>
      <c r="E52" s="8"/>
      <c r="F52" s="13"/>
      <c r="G52" s="13">
        <f t="shared" si="1"/>
        <v>3483300</v>
      </c>
    </row>
    <row r="53" spans="1:7" s="35" customFormat="1" ht="31.5">
      <c r="A53" s="33" t="s">
        <v>134</v>
      </c>
      <c r="B53" s="8" t="s">
        <v>135</v>
      </c>
      <c r="C53" s="8" t="s">
        <v>223</v>
      </c>
      <c r="D53" s="28">
        <f>'[1]Місто'!C65</f>
        <v>284901</v>
      </c>
      <c r="E53" s="8"/>
      <c r="F53" s="13"/>
      <c r="G53" s="27">
        <f aca="true" t="shared" si="2" ref="G53:G58">D53+F53</f>
        <v>284901</v>
      </c>
    </row>
    <row r="54" spans="1:7" s="35" customFormat="1" ht="47.25">
      <c r="A54" s="33" t="s">
        <v>216</v>
      </c>
      <c r="B54" s="8" t="s">
        <v>217</v>
      </c>
      <c r="C54" s="8" t="s">
        <v>223</v>
      </c>
      <c r="D54" s="28">
        <f>'[1]Місто'!$C$66</f>
        <v>81595</v>
      </c>
      <c r="E54" s="8"/>
      <c r="F54" s="34"/>
      <c r="G54" s="27">
        <f t="shared" si="2"/>
        <v>81595</v>
      </c>
    </row>
    <row r="55" spans="1:7" s="35" customFormat="1" ht="31.5">
      <c r="A55" s="69" t="s">
        <v>94</v>
      </c>
      <c r="B55" s="71" t="s">
        <v>172</v>
      </c>
      <c r="C55" s="8" t="s">
        <v>223</v>
      </c>
      <c r="D55" s="28">
        <v>258358</v>
      </c>
      <c r="E55" s="8"/>
      <c r="F55" s="34"/>
      <c r="G55" s="27">
        <f t="shared" si="2"/>
        <v>258358</v>
      </c>
    </row>
    <row r="56" spans="1:7" s="35" customFormat="1" ht="47.25">
      <c r="A56" s="70"/>
      <c r="B56" s="72"/>
      <c r="C56" s="59" t="s">
        <v>267</v>
      </c>
      <c r="D56" s="60">
        <f>1000+5000+3000</f>
        <v>9000</v>
      </c>
      <c r="E56" s="59" t="s">
        <v>267</v>
      </c>
      <c r="F56" s="60">
        <f>32000+10500+1000+1000</f>
        <v>44500</v>
      </c>
      <c r="G56" s="60">
        <f t="shared" si="2"/>
        <v>53500</v>
      </c>
    </row>
    <row r="57" spans="1:7" s="35" customFormat="1" ht="47.25">
      <c r="A57" s="33" t="s">
        <v>132</v>
      </c>
      <c r="B57" s="8" t="s">
        <v>133</v>
      </c>
      <c r="C57" s="8" t="s">
        <v>253</v>
      </c>
      <c r="D57" s="28">
        <v>880020</v>
      </c>
      <c r="E57" s="8"/>
      <c r="F57" s="34"/>
      <c r="G57" s="27">
        <f t="shared" si="2"/>
        <v>880020</v>
      </c>
    </row>
    <row r="58" spans="1:7" s="35" customFormat="1" ht="47.25" customHeight="1">
      <c r="A58" s="45">
        <v>130112</v>
      </c>
      <c r="B58" s="8" t="s">
        <v>76</v>
      </c>
      <c r="C58" s="8" t="s">
        <v>223</v>
      </c>
      <c r="D58" s="39">
        <f>'[1]Місто'!$C$69</f>
        <v>439800</v>
      </c>
      <c r="E58" s="8" t="s">
        <v>223</v>
      </c>
      <c r="F58" s="19">
        <f>'[1]Місто'!$F$69</f>
        <v>42080</v>
      </c>
      <c r="G58" s="27">
        <f t="shared" si="2"/>
        <v>481880</v>
      </c>
    </row>
    <row r="59" spans="1:7" s="35" customFormat="1" ht="31.5">
      <c r="A59" s="69" t="s">
        <v>68</v>
      </c>
      <c r="B59" s="71" t="s">
        <v>69</v>
      </c>
      <c r="C59" s="8"/>
      <c r="D59" s="9"/>
      <c r="E59" s="8" t="s">
        <v>220</v>
      </c>
      <c r="F59" s="19">
        <f>9617518+12697493</f>
        <v>22315011</v>
      </c>
      <c r="G59" s="13">
        <f t="shared" si="1"/>
        <v>22315011</v>
      </c>
    </row>
    <row r="60" spans="1:7" s="35" customFormat="1" ht="31.5">
      <c r="A60" s="77"/>
      <c r="B60" s="76"/>
      <c r="C60" s="8"/>
      <c r="D60" s="9"/>
      <c r="E60" s="8" t="s">
        <v>224</v>
      </c>
      <c r="F60" s="19">
        <v>583996</v>
      </c>
      <c r="G60" s="13">
        <f t="shared" si="1"/>
        <v>583996</v>
      </c>
    </row>
    <row r="61" spans="1:7" s="35" customFormat="1" ht="31.5">
      <c r="A61" s="70"/>
      <c r="B61" s="72"/>
      <c r="C61" s="8"/>
      <c r="D61" s="9"/>
      <c r="E61" s="8" t="s">
        <v>223</v>
      </c>
      <c r="F61" s="19">
        <f>474681+1117493</f>
        <v>1592174</v>
      </c>
      <c r="G61" s="13">
        <f t="shared" si="1"/>
        <v>1592174</v>
      </c>
    </row>
    <row r="62" spans="1:7" s="35" customFormat="1" ht="63.75" customHeight="1">
      <c r="A62" s="8">
        <v>240601</v>
      </c>
      <c r="B62" s="8" t="s">
        <v>90</v>
      </c>
      <c r="C62" s="8"/>
      <c r="D62" s="9"/>
      <c r="E62" s="8" t="s">
        <v>252</v>
      </c>
      <c r="F62" s="34">
        <f>'[1]Місто'!$F$77</f>
        <v>372095</v>
      </c>
      <c r="G62" s="13">
        <f t="shared" si="1"/>
        <v>372095</v>
      </c>
    </row>
    <row r="63" spans="1:7" s="35" customFormat="1" ht="53.25" customHeight="1">
      <c r="A63" s="44" t="s">
        <v>8</v>
      </c>
      <c r="B63" s="8" t="s">
        <v>9</v>
      </c>
      <c r="C63" s="8" t="s">
        <v>222</v>
      </c>
      <c r="D63" s="26">
        <v>1931095</v>
      </c>
      <c r="E63" s="8" t="s">
        <v>222</v>
      </c>
      <c r="F63" s="27">
        <f>68905+425854</f>
        <v>494759</v>
      </c>
      <c r="G63" s="27">
        <f>D63+F63</f>
        <v>2425854</v>
      </c>
    </row>
    <row r="64" spans="1:7" s="35" customFormat="1" ht="33" customHeight="1">
      <c r="A64" s="41" t="s">
        <v>119</v>
      </c>
      <c r="B64" s="42" t="s">
        <v>34</v>
      </c>
      <c r="C64" s="8"/>
      <c r="D64" s="43">
        <f>SUM(D65:D81)</f>
        <v>26504016</v>
      </c>
      <c r="E64" s="9"/>
      <c r="F64" s="43">
        <f>SUM(F65:F81)</f>
        <v>21439290</v>
      </c>
      <c r="G64" s="46">
        <f>SUM(G65:G81)</f>
        <v>47943306</v>
      </c>
    </row>
    <row r="65" spans="1:7" s="35" customFormat="1" ht="34.5" customHeight="1" hidden="1">
      <c r="A65" s="36" t="s">
        <v>142</v>
      </c>
      <c r="B65" s="8" t="s">
        <v>143</v>
      </c>
      <c r="C65" s="8" t="s">
        <v>155</v>
      </c>
      <c r="D65" s="28"/>
      <c r="E65" s="8"/>
      <c r="F65" s="34"/>
      <c r="G65" s="34">
        <f>F65+D65</f>
        <v>0</v>
      </c>
    </row>
    <row r="66" spans="1:7" s="35" customFormat="1" ht="47.25">
      <c r="A66" s="69" t="s">
        <v>56</v>
      </c>
      <c r="B66" s="71" t="s">
        <v>2</v>
      </c>
      <c r="C66" s="8" t="s">
        <v>270</v>
      </c>
      <c r="D66" s="28">
        <f>6800504</f>
        <v>6800504</v>
      </c>
      <c r="E66" s="8" t="s">
        <v>270</v>
      </c>
      <c r="F66" s="34">
        <f>'[1]Місто'!$J$83-F69-F67</f>
        <v>7860727</v>
      </c>
      <c r="G66" s="34">
        <f aca="true" t="shared" si="3" ref="G66:G79">F66+D66</f>
        <v>14661231</v>
      </c>
    </row>
    <row r="67" spans="1:7" s="35" customFormat="1" ht="34.5" customHeight="1">
      <c r="A67" s="77"/>
      <c r="B67" s="76"/>
      <c r="C67" s="8" t="s">
        <v>248</v>
      </c>
      <c r="D67" s="28">
        <f>29300</f>
        <v>29300</v>
      </c>
      <c r="E67" s="8" t="s">
        <v>248</v>
      </c>
      <c r="F67" s="34">
        <f>29300</f>
        <v>29300</v>
      </c>
      <c r="G67" s="34">
        <f t="shared" si="3"/>
        <v>58600</v>
      </c>
    </row>
    <row r="68" spans="1:7" s="35" customFormat="1" ht="47.25">
      <c r="A68" s="77"/>
      <c r="B68" s="76"/>
      <c r="C68" s="8" t="s">
        <v>225</v>
      </c>
      <c r="D68" s="28">
        <v>1000000</v>
      </c>
      <c r="E68" s="8"/>
      <c r="F68" s="34"/>
      <c r="G68" s="34">
        <f t="shared" si="3"/>
        <v>1000000</v>
      </c>
    </row>
    <row r="69" spans="1:7" s="35" customFormat="1" ht="47.25">
      <c r="A69" s="70"/>
      <c r="B69" s="72"/>
      <c r="C69" s="59" t="s">
        <v>267</v>
      </c>
      <c r="D69" s="62">
        <v>32000</v>
      </c>
      <c r="E69" s="59" t="s">
        <v>267</v>
      </c>
      <c r="F69" s="60">
        <f>171500+33000+3000+6000+86000+227788+49220+6000</f>
        <v>582508</v>
      </c>
      <c r="G69" s="60">
        <f t="shared" si="3"/>
        <v>614508</v>
      </c>
    </row>
    <row r="70" spans="1:7" s="35" customFormat="1" ht="47.25">
      <c r="A70" s="69" t="s">
        <v>95</v>
      </c>
      <c r="B70" s="71" t="s">
        <v>207</v>
      </c>
      <c r="C70" s="8" t="s">
        <v>270</v>
      </c>
      <c r="D70" s="28">
        <f>915588</f>
        <v>915588</v>
      </c>
      <c r="E70" s="8" t="s">
        <v>270</v>
      </c>
      <c r="F70" s="34">
        <f>'[1]Місто'!$J$85-F71</f>
        <v>630700</v>
      </c>
      <c r="G70" s="34">
        <f t="shared" si="3"/>
        <v>1546288</v>
      </c>
    </row>
    <row r="71" spans="1:7" s="35" customFormat="1" ht="47.25">
      <c r="A71" s="70"/>
      <c r="B71" s="72"/>
      <c r="C71" s="59" t="s">
        <v>267</v>
      </c>
      <c r="D71" s="60">
        <f>16000+21000</f>
        <v>37000</v>
      </c>
      <c r="E71" s="59" t="s">
        <v>267</v>
      </c>
      <c r="F71" s="60">
        <f>95500+30000+3000+31500+3050+4770+4000</f>
        <v>171820</v>
      </c>
      <c r="G71" s="60">
        <f t="shared" si="3"/>
        <v>208820</v>
      </c>
    </row>
    <row r="72" spans="1:7" s="35" customFormat="1" ht="47.25">
      <c r="A72" s="69" t="s">
        <v>57</v>
      </c>
      <c r="B72" s="71" t="s">
        <v>3</v>
      </c>
      <c r="C72" s="8" t="s">
        <v>270</v>
      </c>
      <c r="D72" s="28">
        <f>2478122</f>
        <v>2478122</v>
      </c>
      <c r="E72" s="8" t="s">
        <v>270</v>
      </c>
      <c r="F72" s="34">
        <f>'[1]Місто'!$J$86-F73</f>
        <v>2114661</v>
      </c>
      <c r="G72" s="34">
        <f t="shared" si="3"/>
        <v>4592783</v>
      </c>
    </row>
    <row r="73" spans="1:7" s="35" customFormat="1" ht="47.25">
      <c r="A73" s="70"/>
      <c r="B73" s="72"/>
      <c r="C73" s="59" t="s">
        <v>267</v>
      </c>
      <c r="D73" s="60">
        <f>10000+18190</f>
        <v>28190</v>
      </c>
      <c r="E73" s="59" t="s">
        <v>267</v>
      </c>
      <c r="F73" s="60">
        <f>113600+14000+2000+2350+49506+39990</f>
        <v>221446</v>
      </c>
      <c r="G73" s="60">
        <f t="shared" si="3"/>
        <v>249636</v>
      </c>
    </row>
    <row r="74" spans="1:7" s="35" customFormat="1" ht="47.25" customHeight="1">
      <c r="A74" s="69" t="s">
        <v>58</v>
      </c>
      <c r="B74" s="71" t="s">
        <v>4</v>
      </c>
      <c r="C74" s="8" t="s">
        <v>270</v>
      </c>
      <c r="D74" s="28">
        <f>2079269</f>
        <v>2079269</v>
      </c>
      <c r="E74" s="8" t="s">
        <v>270</v>
      </c>
      <c r="F74" s="34">
        <f>'[1]Місто'!$J$88-F75</f>
        <v>172616</v>
      </c>
      <c r="G74" s="34">
        <f t="shared" si="3"/>
        <v>2251885</v>
      </c>
    </row>
    <row r="75" spans="1:7" s="35" customFormat="1" ht="47.25">
      <c r="A75" s="70"/>
      <c r="B75" s="72"/>
      <c r="C75" s="8"/>
      <c r="D75" s="28"/>
      <c r="E75" s="59" t="s">
        <v>267</v>
      </c>
      <c r="F75" s="60">
        <v>5000</v>
      </c>
      <c r="G75" s="60">
        <f t="shared" si="3"/>
        <v>5000</v>
      </c>
    </row>
    <row r="76" spans="1:7" s="35" customFormat="1" ht="47.25">
      <c r="A76" s="36" t="s">
        <v>96</v>
      </c>
      <c r="B76" s="37" t="s">
        <v>97</v>
      </c>
      <c r="C76" s="8" t="s">
        <v>226</v>
      </c>
      <c r="D76" s="28">
        <f>9942752</f>
        <v>9942752</v>
      </c>
      <c r="E76" s="8"/>
      <c r="F76" s="13"/>
      <c r="G76" s="34">
        <f t="shared" si="3"/>
        <v>9942752</v>
      </c>
    </row>
    <row r="77" spans="1:7" s="35" customFormat="1" ht="15.75" hidden="1">
      <c r="A77" s="33" t="s">
        <v>59</v>
      </c>
      <c r="B77" s="8" t="s">
        <v>5</v>
      </c>
      <c r="C77" s="8"/>
      <c r="D77" s="28"/>
      <c r="E77" s="8"/>
      <c r="F77" s="34">
        <f>'[1]Місто'!$F$92</f>
        <v>0</v>
      </c>
      <c r="G77" s="34">
        <f t="shared" si="3"/>
        <v>0</v>
      </c>
    </row>
    <row r="78" spans="1:7" s="35" customFormat="1" ht="46.5" customHeight="1">
      <c r="A78" s="33" t="s">
        <v>60</v>
      </c>
      <c r="B78" s="37" t="s">
        <v>208</v>
      </c>
      <c r="C78" s="8" t="s">
        <v>227</v>
      </c>
      <c r="D78" s="28">
        <f>'[1]Місто'!$C$93</f>
        <v>3161291</v>
      </c>
      <c r="E78" s="8"/>
      <c r="F78" s="13"/>
      <c r="G78" s="34">
        <f t="shared" si="3"/>
        <v>3161291</v>
      </c>
    </row>
    <row r="79" spans="1:7" s="35" customFormat="1" ht="47.25">
      <c r="A79" s="33" t="s">
        <v>68</v>
      </c>
      <c r="B79" s="8" t="s">
        <v>69</v>
      </c>
      <c r="C79" s="8"/>
      <c r="D79" s="9"/>
      <c r="E79" s="8" t="s">
        <v>270</v>
      </c>
      <c r="F79" s="34">
        <f>'[1]Місто'!$F$95</f>
        <v>9650512</v>
      </c>
      <c r="G79" s="34">
        <f t="shared" si="3"/>
        <v>9650512</v>
      </c>
    </row>
    <row r="80" spans="1:7" s="35" customFormat="1" ht="36" customHeight="1" hidden="1">
      <c r="A80" s="77" t="s">
        <v>55</v>
      </c>
      <c r="B80" s="76" t="s">
        <v>89</v>
      </c>
      <c r="C80" s="8"/>
      <c r="D80" s="9"/>
      <c r="E80" s="8" t="s">
        <v>106</v>
      </c>
      <c r="F80" s="19"/>
      <c r="G80" s="13">
        <f>F80+D80</f>
        <v>0</v>
      </c>
    </row>
    <row r="81" spans="1:7" s="35" customFormat="1" ht="33" customHeight="1" hidden="1">
      <c r="A81" s="70"/>
      <c r="B81" s="72"/>
      <c r="C81" s="8"/>
      <c r="D81" s="9"/>
      <c r="E81" s="8" t="s">
        <v>107</v>
      </c>
      <c r="F81" s="19"/>
      <c r="G81" s="13">
        <f>F81+D81</f>
        <v>0</v>
      </c>
    </row>
    <row r="82" spans="1:7" s="35" customFormat="1" ht="34.5" customHeight="1">
      <c r="A82" s="41" t="s">
        <v>120</v>
      </c>
      <c r="B82" s="42" t="s">
        <v>35</v>
      </c>
      <c r="C82" s="8"/>
      <c r="D82" s="47">
        <f>SUM(D83:D102)</f>
        <v>33719834</v>
      </c>
      <c r="E82" s="13"/>
      <c r="F82" s="47">
        <f>SUM(F83:F102)</f>
        <v>10871640</v>
      </c>
      <c r="G82" s="47">
        <f>SUM(G83:G102)</f>
        <v>44591474</v>
      </c>
    </row>
    <row r="83" spans="1:7" s="35" customFormat="1" ht="48" customHeight="1">
      <c r="A83" s="36" t="s">
        <v>142</v>
      </c>
      <c r="B83" s="8" t="s">
        <v>143</v>
      </c>
      <c r="C83" s="8"/>
      <c r="D83" s="34"/>
      <c r="E83" s="8" t="s">
        <v>239</v>
      </c>
      <c r="F83" s="34">
        <f>'[1]Місто'!$K$102</f>
        <v>2285484</v>
      </c>
      <c r="G83" s="13">
        <f>F83+D83</f>
        <v>2285484</v>
      </c>
    </row>
    <row r="84" spans="1:7" s="35" customFormat="1" ht="96.75" customHeight="1" hidden="1">
      <c r="A84" s="33" t="s">
        <v>54</v>
      </c>
      <c r="B84" s="8" t="s">
        <v>87</v>
      </c>
      <c r="C84" s="8" t="s">
        <v>206</v>
      </c>
      <c r="D84" s="28">
        <f>'[1]Місто'!$C$158</f>
        <v>0</v>
      </c>
      <c r="E84" s="8"/>
      <c r="F84" s="13"/>
      <c r="G84" s="13">
        <f>F84+D84</f>
        <v>0</v>
      </c>
    </row>
    <row r="85" spans="1:7" s="35" customFormat="1" ht="31.5">
      <c r="A85" s="33" t="s">
        <v>63</v>
      </c>
      <c r="B85" s="8" t="s">
        <v>212</v>
      </c>
      <c r="C85" s="8"/>
      <c r="D85" s="28"/>
      <c r="E85" s="8" t="s">
        <v>239</v>
      </c>
      <c r="F85" s="34">
        <f>'[1]Місто'!$F$155</f>
        <v>196550</v>
      </c>
      <c r="G85" s="13">
        <f>F85+D85</f>
        <v>196550</v>
      </c>
    </row>
    <row r="86" spans="1:7" s="35" customFormat="1" ht="63">
      <c r="A86" s="33" t="s">
        <v>64</v>
      </c>
      <c r="B86" s="8" t="s">
        <v>213</v>
      </c>
      <c r="C86" s="8" t="s">
        <v>228</v>
      </c>
      <c r="D86" s="28">
        <f>'[1]Місто'!$C$156</f>
        <v>204630</v>
      </c>
      <c r="E86" s="8"/>
      <c r="F86" s="13"/>
      <c r="G86" s="13">
        <f>F86+D86</f>
        <v>204630</v>
      </c>
    </row>
    <row r="87" spans="1:7" s="35" customFormat="1" ht="31.5" hidden="1">
      <c r="A87" s="33" t="s">
        <v>65</v>
      </c>
      <c r="B87" s="8" t="s">
        <v>214</v>
      </c>
      <c r="C87" s="8"/>
      <c r="D87" s="28"/>
      <c r="E87" s="8"/>
      <c r="F87" s="13"/>
      <c r="G87" s="13"/>
    </row>
    <row r="88" spans="1:7" s="35" customFormat="1" ht="50.25" customHeight="1">
      <c r="A88" s="69" t="s">
        <v>140</v>
      </c>
      <c r="B88" s="71" t="s">
        <v>141</v>
      </c>
      <c r="C88" s="8" t="s">
        <v>271</v>
      </c>
      <c r="D88" s="28">
        <f>5997500+122966</f>
        <v>6120466</v>
      </c>
      <c r="E88" s="8" t="s">
        <v>271</v>
      </c>
      <c r="F88" s="34">
        <f>'[1]Місто'!$K$159-F91-F89</f>
        <v>828796</v>
      </c>
      <c r="G88" s="13">
        <f aca="true" t="shared" si="4" ref="G88:G104">F88+D88</f>
        <v>6949262</v>
      </c>
    </row>
    <row r="89" spans="1:7" s="35" customFormat="1" ht="50.25" customHeight="1">
      <c r="A89" s="77"/>
      <c r="B89" s="76"/>
      <c r="C89" s="8" t="s">
        <v>248</v>
      </c>
      <c r="D89" s="28">
        <v>70343</v>
      </c>
      <c r="E89" s="8" t="s">
        <v>248</v>
      </c>
      <c r="F89" s="34">
        <v>70343</v>
      </c>
      <c r="G89" s="13">
        <f t="shared" si="4"/>
        <v>140686</v>
      </c>
    </row>
    <row r="90" spans="1:7" s="35" customFormat="1" ht="110.25" customHeight="1" hidden="1">
      <c r="A90" s="77"/>
      <c r="B90" s="76"/>
      <c r="C90" s="8"/>
      <c r="D90" s="28"/>
      <c r="E90" s="8"/>
      <c r="F90" s="13"/>
      <c r="G90" s="13">
        <f t="shared" si="4"/>
        <v>0</v>
      </c>
    </row>
    <row r="91" spans="1:7" s="35" customFormat="1" ht="47.25">
      <c r="A91" s="70"/>
      <c r="B91" s="72"/>
      <c r="C91" s="59" t="s">
        <v>267</v>
      </c>
      <c r="D91" s="61">
        <v>11500</v>
      </c>
      <c r="E91" s="59" t="s">
        <v>267</v>
      </c>
      <c r="F91" s="61">
        <f>27500+18500+1484+500+8000+10000</f>
        <v>65984</v>
      </c>
      <c r="G91" s="61">
        <f t="shared" si="4"/>
        <v>77484</v>
      </c>
    </row>
    <row r="92" spans="1:7" s="35" customFormat="1" ht="49.5" customHeight="1">
      <c r="A92" s="69" t="s">
        <v>6</v>
      </c>
      <c r="B92" s="71" t="s">
        <v>0</v>
      </c>
      <c r="C92" s="8" t="s">
        <v>229</v>
      </c>
      <c r="D92" s="28">
        <f>'[1]Місто'!$C$161-D93</f>
        <v>743258</v>
      </c>
      <c r="E92" s="8"/>
      <c r="F92" s="13"/>
      <c r="G92" s="13">
        <f t="shared" si="4"/>
        <v>743258</v>
      </c>
    </row>
    <row r="93" spans="1:7" s="35" customFormat="1" ht="47.25">
      <c r="A93" s="70"/>
      <c r="B93" s="72"/>
      <c r="C93" s="59" t="s">
        <v>267</v>
      </c>
      <c r="D93" s="61">
        <f>5000+1000</f>
        <v>6000</v>
      </c>
      <c r="E93" s="59" t="s">
        <v>267</v>
      </c>
      <c r="F93" s="61">
        <f>5000+47500-10000</f>
        <v>42500</v>
      </c>
      <c r="G93" s="34">
        <f>F93+D93</f>
        <v>48500</v>
      </c>
    </row>
    <row r="94" spans="1:7" s="35" customFormat="1" ht="44.25" customHeight="1">
      <c r="A94" s="69" t="s">
        <v>70</v>
      </c>
      <c r="B94" s="71" t="s">
        <v>77</v>
      </c>
      <c r="C94" s="8" t="s">
        <v>229</v>
      </c>
      <c r="D94" s="28">
        <f>'[1]Місто'!$C$151-D95</f>
        <v>6758123</v>
      </c>
      <c r="E94" s="8"/>
      <c r="F94" s="13"/>
      <c r="G94" s="13">
        <f t="shared" si="4"/>
        <v>6758123</v>
      </c>
    </row>
    <row r="95" spans="1:7" s="35" customFormat="1" ht="47.25">
      <c r="A95" s="70"/>
      <c r="B95" s="72"/>
      <c r="C95" s="59" t="s">
        <v>267</v>
      </c>
      <c r="D95" s="62">
        <f>1555600+15000+387066+528230-1000</f>
        <v>2484896</v>
      </c>
      <c r="E95" s="59"/>
      <c r="F95" s="61"/>
      <c r="G95" s="61">
        <f t="shared" si="4"/>
        <v>2484896</v>
      </c>
    </row>
    <row r="96" spans="1:7" s="35" customFormat="1" ht="47.25">
      <c r="A96" s="69" t="s">
        <v>68</v>
      </c>
      <c r="B96" s="71" t="s">
        <v>69</v>
      </c>
      <c r="C96" s="8"/>
      <c r="D96" s="28"/>
      <c r="E96" s="8" t="s">
        <v>272</v>
      </c>
      <c r="F96" s="19">
        <v>684413</v>
      </c>
      <c r="G96" s="13">
        <f t="shared" si="4"/>
        <v>684413</v>
      </c>
    </row>
    <row r="97" spans="1:7" s="35" customFormat="1" ht="45.75" customHeight="1">
      <c r="A97" s="70"/>
      <c r="B97" s="72"/>
      <c r="C97" s="8"/>
      <c r="D97" s="9"/>
      <c r="E97" s="8" t="s">
        <v>273</v>
      </c>
      <c r="F97" s="19">
        <f>'[1]Місто'!$F$165-F96</f>
        <v>6697570</v>
      </c>
      <c r="G97" s="13">
        <f t="shared" si="4"/>
        <v>6697570</v>
      </c>
    </row>
    <row r="98" spans="1:7" s="35" customFormat="1" ht="52.5" customHeight="1" hidden="1">
      <c r="A98" s="48" t="s">
        <v>17</v>
      </c>
      <c r="B98" s="71" t="s">
        <v>210</v>
      </c>
      <c r="C98" s="8" t="s">
        <v>108</v>
      </c>
      <c r="D98" s="28"/>
      <c r="E98" s="8"/>
      <c r="F98" s="27"/>
      <c r="G98" s="13">
        <f>F98+D98</f>
        <v>0</v>
      </c>
    </row>
    <row r="99" spans="1:7" s="35" customFormat="1" ht="46.5" customHeight="1">
      <c r="A99" s="77" t="s">
        <v>17</v>
      </c>
      <c r="B99" s="76"/>
      <c r="C99" s="8" t="s">
        <v>230</v>
      </c>
      <c r="D99" s="28">
        <f>'[1]Місто'!$C$167-'[1]Місто'!$C$168</f>
        <v>157950</v>
      </c>
      <c r="E99" s="8"/>
      <c r="F99" s="27"/>
      <c r="G99" s="13">
        <f>F99+D99</f>
        <v>157950</v>
      </c>
    </row>
    <row r="100" spans="1:7" s="35" customFormat="1" ht="62.25" customHeight="1" hidden="1">
      <c r="A100" s="70"/>
      <c r="B100" s="72"/>
      <c r="C100" s="8" t="s">
        <v>206</v>
      </c>
      <c r="D100" s="28"/>
      <c r="E100" s="8"/>
      <c r="F100" s="27"/>
      <c r="G100" s="13">
        <f>F100+D100</f>
        <v>0</v>
      </c>
    </row>
    <row r="101" spans="1:7" s="35" customFormat="1" ht="48" customHeight="1">
      <c r="A101" s="33" t="s">
        <v>71</v>
      </c>
      <c r="B101" s="8" t="s">
        <v>211</v>
      </c>
      <c r="C101" s="8" t="s">
        <v>230</v>
      </c>
      <c r="D101" s="28">
        <f>'[1]Місто'!$C$169-'[1]Місто'!$C$170</f>
        <v>500000</v>
      </c>
      <c r="E101" s="8"/>
      <c r="F101" s="27"/>
      <c r="G101" s="13">
        <f t="shared" si="4"/>
        <v>500000</v>
      </c>
    </row>
    <row r="102" spans="1:7" s="35" customFormat="1" ht="45.75" customHeight="1">
      <c r="A102" s="36" t="s">
        <v>101</v>
      </c>
      <c r="B102" s="37" t="s">
        <v>197</v>
      </c>
      <c r="C102" s="8" t="s">
        <v>230</v>
      </c>
      <c r="D102" s="28">
        <f>'[1]Місто'!$C$173-'[1]Місто'!$C$174</f>
        <v>16662668</v>
      </c>
      <c r="E102" s="8"/>
      <c r="F102" s="27"/>
      <c r="G102" s="13">
        <f t="shared" si="4"/>
        <v>16662668</v>
      </c>
    </row>
    <row r="103" spans="1:7" s="35" customFormat="1" ht="68.25" customHeight="1" hidden="1">
      <c r="A103" s="41" t="s">
        <v>157</v>
      </c>
      <c r="B103" s="42" t="s">
        <v>161</v>
      </c>
      <c r="C103" s="8"/>
      <c r="D103" s="43">
        <f>SUM(D104:D104)</f>
        <v>0</v>
      </c>
      <c r="E103" s="8"/>
      <c r="F103" s="43">
        <f>SUM(F104:F104)</f>
        <v>0</v>
      </c>
      <c r="G103" s="43">
        <f>SUM(G104:G104)</f>
        <v>0</v>
      </c>
    </row>
    <row r="104" spans="1:7" s="35" customFormat="1" ht="31.5" hidden="1">
      <c r="A104" s="33" t="s">
        <v>142</v>
      </c>
      <c r="B104" s="8" t="s">
        <v>143</v>
      </c>
      <c r="C104" s="8" t="s">
        <v>158</v>
      </c>
      <c r="D104" s="28"/>
      <c r="E104" s="8" t="s">
        <v>158</v>
      </c>
      <c r="F104" s="19"/>
      <c r="G104" s="13">
        <f t="shared" si="4"/>
        <v>0</v>
      </c>
    </row>
    <row r="105" spans="1:7" s="35" customFormat="1" ht="63" hidden="1">
      <c r="A105" s="41" t="s">
        <v>168</v>
      </c>
      <c r="B105" s="42" t="s">
        <v>169</v>
      </c>
      <c r="C105" s="8"/>
      <c r="D105" s="43">
        <f>SUM(D106:D106)</f>
        <v>0</v>
      </c>
      <c r="E105" s="8"/>
      <c r="F105" s="43">
        <f>SUM(F106:F106)</f>
        <v>0</v>
      </c>
      <c r="G105" s="43">
        <f>SUM(G106:G106)</f>
        <v>0</v>
      </c>
    </row>
    <row r="106" spans="1:7" s="35" customFormat="1" ht="47.25" hidden="1">
      <c r="A106" s="33" t="s">
        <v>142</v>
      </c>
      <c r="B106" s="8" t="s">
        <v>143</v>
      </c>
      <c r="C106" s="8" t="s">
        <v>170</v>
      </c>
      <c r="D106" s="28"/>
      <c r="E106" s="8" t="s">
        <v>170</v>
      </c>
      <c r="F106" s="19"/>
      <c r="G106" s="13">
        <f>F106+D106</f>
        <v>0</v>
      </c>
    </row>
    <row r="107" spans="1:7" s="35" customFormat="1" ht="35.25" customHeight="1">
      <c r="A107" s="41" t="s">
        <v>125</v>
      </c>
      <c r="B107" s="42" t="s">
        <v>38</v>
      </c>
      <c r="C107" s="8"/>
      <c r="D107" s="43">
        <f>SUM(D108:D122)</f>
        <v>4824237</v>
      </c>
      <c r="E107" s="9"/>
      <c r="F107" s="43">
        <f>SUM(F108:F122)</f>
        <v>5711273</v>
      </c>
      <c r="G107" s="46">
        <f>SUM(G108:G122)</f>
        <v>10535510</v>
      </c>
    </row>
    <row r="108" spans="1:7" s="35" customFormat="1" ht="31.5" hidden="1">
      <c r="A108" s="33" t="s">
        <v>142</v>
      </c>
      <c r="B108" s="8" t="s">
        <v>143</v>
      </c>
      <c r="C108" s="8" t="s">
        <v>160</v>
      </c>
      <c r="D108" s="28"/>
      <c r="E108" s="8"/>
      <c r="F108" s="34"/>
      <c r="G108" s="27">
        <f aca="true" t="shared" si="5" ref="G108:G121">D108+F108</f>
        <v>0</v>
      </c>
    </row>
    <row r="109" spans="1:7" s="35" customFormat="1" ht="44.25" customHeight="1">
      <c r="A109" s="33" t="s">
        <v>136</v>
      </c>
      <c r="B109" s="8" t="s">
        <v>137</v>
      </c>
      <c r="C109" s="8" t="s">
        <v>231</v>
      </c>
      <c r="D109" s="28">
        <v>101408</v>
      </c>
      <c r="E109" s="8" t="s">
        <v>233</v>
      </c>
      <c r="F109" s="34">
        <f>129972+64407</f>
        <v>194379</v>
      </c>
      <c r="G109" s="27">
        <f t="shared" si="5"/>
        <v>295787</v>
      </c>
    </row>
    <row r="110" spans="1:7" s="35" customFormat="1" ht="47.25">
      <c r="A110" s="69" t="s">
        <v>138</v>
      </c>
      <c r="B110" s="71" t="s">
        <v>139</v>
      </c>
      <c r="C110" s="8" t="s">
        <v>232</v>
      </c>
      <c r="D110" s="28">
        <v>949230</v>
      </c>
      <c r="E110" s="8" t="s">
        <v>233</v>
      </c>
      <c r="F110" s="34">
        <f>1055075+150000</f>
        <v>1205075</v>
      </c>
      <c r="G110" s="27">
        <f t="shared" si="5"/>
        <v>2154305</v>
      </c>
    </row>
    <row r="111" spans="1:7" s="35" customFormat="1" ht="47.25">
      <c r="A111" s="70"/>
      <c r="B111" s="72"/>
      <c r="C111" s="59" t="s">
        <v>267</v>
      </c>
      <c r="D111" s="60">
        <f>5000+500</f>
        <v>5500</v>
      </c>
      <c r="E111" s="59" t="s">
        <v>267</v>
      </c>
      <c r="F111" s="60">
        <f>46500+5000+3000+19000</f>
        <v>73500</v>
      </c>
      <c r="G111" s="63">
        <f t="shared" si="5"/>
        <v>79000</v>
      </c>
    </row>
    <row r="112" spans="1:7" s="35" customFormat="1" ht="47.25">
      <c r="A112" s="69" t="s">
        <v>146</v>
      </c>
      <c r="B112" s="71" t="s">
        <v>147</v>
      </c>
      <c r="C112" s="8" t="s">
        <v>232</v>
      </c>
      <c r="D112" s="28">
        <v>374849</v>
      </c>
      <c r="E112" s="8" t="s">
        <v>232</v>
      </c>
      <c r="F112" s="34">
        <f>565442+74400</f>
        <v>639842</v>
      </c>
      <c r="G112" s="27">
        <f t="shared" si="5"/>
        <v>1014691</v>
      </c>
    </row>
    <row r="113" spans="1:7" s="35" customFormat="1" ht="47.25">
      <c r="A113" s="70"/>
      <c r="B113" s="72"/>
      <c r="C113" s="59" t="s">
        <v>267</v>
      </c>
      <c r="D113" s="60">
        <v>12000</v>
      </c>
      <c r="E113" s="8"/>
      <c r="F113" s="60">
        <f>12000+8000</f>
        <v>20000</v>
      </c>
      <c r="G113" s="19">
        <f>F113+D113</f>
        <v>32000</v>
      </c>
    </row>
    <row r="114" spans="1:7" s="35" customFormat="1" ht="47.25">
      <c r="A114" s="69" t="s">
        <v>144</v>
      </c>
      <c r="B114" s="71" t="s">
        <v>145</v>
      </c>
      <c r="C114" s="8" t="s">
        <v>232</v>
      </c>
      <c r="D114" s="28">
        <v>24000</v>
      </c>
      <c r="E114" s="8" t="s">
        <v>233</v>
      </c>
      <c r="F114" s="34">
        <f>2141240+1051467</f>
        <v>3192707</v>
      </c>
      <c r="G114" s="27">
        <f t="shared" si="5"/>
        <v>3216707</v>
      </c>
    </row>
    <row r="115" spans="1:7" s="35" customFormat="1" ht="47.25">
      <c r="A115" s="70"/>
      <c r="B115" s="72"/>
      <c r="C115" s="8"/>
      <c r="D115" s="28"/>
      <c r="E115" s="59" t="s">
        <v>267</v>
      </c>
      <c r="F115" s="60">
        <f>5500+3000</f>
        <v>8500</v>
      </c>
      <c r="G115" s="60">
        <f t="shared" si="5"/>
        <v>8500</v>
      </c>
    </row>
    <row r="116" spans="1:7" s="35" customFormat="1" ht="47.25">
      <c r="A116" s="40">
        <v>110300</v>
      </c>
      <c r="B116" s="31" t="s">
        <v>14</v>
      </c>
      <c r="C116" s="8" t="s">
        <v>234</v>
      </c>
      <c r="D116" s="39">
        <f>'[1]Місто'!$C$205</f>
        <v>1047685</v>
      </c>
      <c r="E116" s="8"/>
      <c r="F116" s="60"/>
      <c r="G116" s="27">
        <f t="shared" si="5"/>
        <v>1047685</v>
      </c>
    </row>
    <row r="117" spans="1:7" s="35" customFormat="1" ht="47.25">
      <c r="A117" s="73">
        <v>110502</v>
      </c>
      <c r="B117" s="71" t="s">
        <v>1</v>
      </c>
      <c r="C117" s="8" t="s">
        <v>235</v>
      </c>
      <c r="D117" s="26">
        <f>1655013+262096</f>
        <v>1917109</v>
      </c>
      <c r="E117" s="8" t="s">
        <v>235</v>
      </c>
      <c r="F117" s="27">
        <v>42040</v>
      </c>
      <c r="G117" s="27">
        <f t="shared" si="5"/>
        <v>1959149</v>
      </c>
    </row>
    <row r="118" spans="1:7" s="35" customFormat="1" ht="47.25">
      <c r="A118" s="74"/>
      <c r="B118" s="76"/>
      <c r="C118" s="8" t="s">
        <v>232</v>
      </c>
      <c r="D118" s="26">
        <v>294456</v>
      </c>
      <c r="E118" s="8" t="s">
        <v>233</v>
      </c>
      <c r="F118" s="19">
        <f>'[1]Місто'!$K$206-F117-F121</f>
        <v>130296</v>
      </c>
      <c r="G118" s="27">
        <f t="shared" si="5"/>
        <v>424752</v>
      </c>
    </row>
    <row r="119" spans="1:7" s="35" customFormat="1" ht="47.25">
      <c r="A119" s="74"/>
      <c r="B119" s="76"/>
      <c r="C119" s="8" t="s">
        <v>236</v>
      </c>
      <c r="D119" s="26">
        <v>98000</v>
      </c>
      <c r="E119" s="45"/>
      <c r="F119" s="27"/>
      <c r="G119" s="27">
        <f t="shared" si="5"/>
        <v>98000</v>
      </c>
    </row>
    <row r="120" spans="1:7" s="35" customFormat="1" ht="15.75" customHeight="1" hidden="1">
      <c r="A120" s="74"/>
      <c r="B120" s="76"/>
      <c r="C120" s="8"/>
      <c r="D120" s="26"/>
      <c r="E120" s="8"/>
      <c r="F120" s="27"/>
      <c r="G120" s="27">
        <f t="shared" si="5"/>
        <v>0</v>
      </c>
    </row>
    <row r="121" spans="1:7" s="35" customFormat="1" ht="47.25">
      <c r="A121" s="75"/>
      <c r="B121" s="72"/>
      <c r="C121" s="8"/>
      <c r="D121" s="26"/>
      <c r="E121" s="59" t="s">
        <v>267</v>
      </c>
      <c r="F121" s="60">
        <v>10000</v>
      </c>
      <c r="G121" s="60">
        <f t="shared" si="5"/>
        <v>10000</v>
      </c>
    </row>
    <row r="122" spans="1:7" s="35" customFormat="1" ht="47.25">
      <c r="A122" s="33" t="s">
        <v>68</v>
      </c>
      <c r="B122" s="8" t="s">
        <v>69</v>
      </c>
      <c r="C122" s="8"/>
      <c r="D122" s="9"/>
      <c r="E122" s="8" t="s">
        <v>233</v>
      </c>
      <c r="F122" s="34">
        <f>'[1]Місто'!$F$208</f>
        <v>194934</v>
      </c>
      <c r="G122" s="13">
        <f>F122+D122</f>
        <v>194934</v>
      </c>
    </row>
    <row r="123" spans="1:7" s="35" customFormat="1" ht="45" customHeight="1">
      <c r="A123" s="41" t="s">
        <v>124</v>
      </c>
      <c r="B123" s="42" t="s">
        <v>154</v>
      </c>
      <c r="C123" s="8"/>
      <c r="D123" s="43">
        <f>SUM(D124:D127)</f>
        <v>959915</v>
      </c>
      <c r="E123" s="9"/>
      <c r="F123" s="47">
        <f>SUM(F124:F127)</f>
        <v>1108200</v>
      </c>
      <c r="G123" s="46">
        <f>SUM(G124:G127)</f>
        <v>2068115</v>
      </c>
    </row>
    <row r="124" spans="1:7" s="35" customFormat="1" ht="31.5">
      <c r="A124" s="33" t="s">
        <v>142</v>
      </c>
      <c r="B124" s="8" t="s">
        <v>143</v>
      </c>
      <c r="C124" s="8"/>
      <c r="D124" s="28"/>
      <c r="E124" s="8" t="s">
        <v>239</v>
      </c>
      <c r="F124" s="34">
        <f>'[1]Місто'!$F$216</f>
        <v>37000</v>
      </c>
      <c r="G124" s="13">
        <f>F124+D124</f>
        <v>37000</v>
      </c>
    </row>
    <row r="125" spans="1:7" s="35" customFormat="1" ht="47.25">
      <c r="A125" s="33" t="s">
        <v>68</v>
      </c>
      <c r="B125" s="8" t="s">
        <v>69</v>
      </c>
      <c r="C125" s="8"/>
      <c r="D125" s="9"/>
      <c r="E125" s="8" t="s">
        <v>249</v>
      </c>
      <c r="F125" s="34">
        <f>'[1]Місто'!$F$218</f>
        <v>1071200</v>
      </c>
      <c r="G125" s="13">
        <f>F125+D125</f>
        <v>1071200</v>
      </c>
    </row>
    <row r="126" spans="1:7" s="35" customFormat="1" ht="31.5" customHeight="1">
      <c r="A126" s="33" t="s">
        <v>61</v>
      </c>
      <c r="B126" s="8" t="s">
        <v>76</v>
      </c>
      <c r="C126" s="8" t="s">
        <v>237</v>
      </c>
      <c r="D126" s="28">
        <f>'[1]Місто'!$C$226</f>
        <v>351915</v>
      </c>
      <c r="E126" s="8"/>
      <c r="F126" s="13"/>
      <c r="G126" s="13">
        <f>F126+D126</f>
        <v>351915</v>
      </c>
    </row>
    <row r="127" spans="1:7" s="35" customFormat="1" ht="47.25">
      <c r="A127" s="33" t="s">
        <v>86</v>
      </c>
      <c r="B127" s="8" t="s">
        <v>195</v>
      </c>
      <c r="C127" s="8" t="s">
        <v>238</v>
      </c>
      <c r="D127" s="28">
        <f>'[1]Місто'!$C$220</f>
        <v>608000</v>
      </c>
      <c r="E127" s="8"/>
      <c r="F127" s="13"/>
      <c r="G127" s="13">
        <f>F127+D127</f>
        <v>608000</v>
      </c>
    </row>
    <row r="128" spans="1:7" s="35" customFormat="1" ht="31.5">
      <c r="A128" s="41" t="s">
        <v>163</v>
      </c>
      <c r="B128" s="42" t="s">
        <v>164</v>
      </c>
      <c r="C128" s="8"/>
      <c r="D128" s="43">
        <f>SUM(D129)</f>
        <v>0</v>
      </c>
      <c r="E128" s="9"/>
      <c r="F128" s="43">
        <f>SUM(F129)</f>
        <v>43050</v>
      </c>
      <c r="G128" s="43">
        <f>SUM(G129)</f>
        <v>43050</v>
      </c>
    </row>
    <row r="129" spans="1:7" s="35" customFormat="1" ht="48.75" customHeight="1">
      <c r="A129" s="33" t="s">
        <v>142</v>
      </c>
      <c r="B129" s="8" t="s">
        <v>143</v>
      </c>
      <c r="C129" s="8"/>
      <c r="D129" s="28"/>
      <c r="E129" s="8" t="s">
        <v>239</v>
      </c>
      <c r="F129" s="34">
        <v>43050</v>
      </c>
      <c r="G129" s="13">
        <f>F129+D129</f>
        <v>43050</v>
      </c>
    </row>
    <row r="130" spans="1:7" s="35" customFormat="1" ht="45.75" customHeight="1">
      <c r="A130" s="41" t="s">
        <v>122</v>
      </c>
      <c r="B130" s="42" t="s">
        <v>203</v>
      </c>
      <c r="C130" s="8"/>
      <c r="D130" s="43">
        <f>SUM(D131:D147)</f>
        <v>98141590</v>
      </c>
      <c r="E130" s="9"/>
      <c r="F130" s="47">
        <f>SUM(F131:F147)</f>
        <v>169906121</v>
      </c>
      <c r="G130" s="46">
        <f>SUM(G131:G147)</f>
        <v>268047711</v>
      </c>
    </row>
    <row r="131" spans="1:7" s="35" customFormat="1" ht="40.5" customHeight="1">
      <c r="A131" s="33" t="s">
        <v>142</v>
      </c>
      <c r="B131" s="8" t="s">
        <v>143</v>
      </c>
      <c r="C131" s="8"/>
      <c r="D131" s="28"/>
      <c r="E131" s="8" t="s">
        <v>239</v>
      </c>
      <c r="F131" s="34">
        <f>'[1]Місто'!$F$232</f>
        <v>60000</v>
      </c>
      <c r="G131" s="13">
        <f aca="true" t="shared" si="6" ref="G131:G147">F131+D131</f>
        <v>60000</v>
      </c>
    </row>
    <row r="132" spans="1:7" s="35" customFormat="1" ht="47.25">
      <c r="A132" s="33" t="s">
        <v>70</v>
      </c>
      <c r="B132" s="8" t="s">
        <v>77</v>
      </c>
      <c r="C132" s="8" t="s">
        <v>274</v>
      </c>
      <c r="D132" s="28">
        <f>'[1]Місто'!$C$234</f>
        <v>113947</v>
      </c>
      <c r="E132" s="8"/>
      <c r="F132" s="13"/>
      <c r="G132" s="13">
        <f t="shared" si="6"/>
        <v>113947</v>
      </c>
    </row>
    <row r="133" spans="1:7" s="35" customFormat="1" ht="47.25">
      <c r="A133" s="69" t="s">
        <v>193</v>
      </c>
      <c r="B133" s="71" t="s">
        <v>194</v>
      </c>
      <c r="C133" s="8" t="s">
        <v>274</v>
      </c>
      <c r="D133" s="28">
        <f>'[1]Місто'!$C$236-D134</f>
        <v>8765847</v>
      </c>
      <c r="E133" s="8"/>
      <c r="F133" s="13"/>
      <c r="G133" s="13">
        <f t="shared" si="6"/>
        <v>8765847</v>
      </c>
    </row>
    <row r="134" spans="1:7" s="35" customFormat="1" ht="47.25">
      <c r="A134" s="70"/>
      <c r="B134" s="72"/>
      <c r="C134" s="59" t="s">
        <v>267</v>
      </c>
      <c r="D134" s="61">
        <f>164900+79500</f>
        <v>244400</v>
      </c>
      <c r="E134" s="8"/>
      <c r="F134" s="13"/>
      <c r="G134" s="61">
        <f t="shared" si="6"/>
        <v>244400</v>
      </c>
    </row>
    <row r="135" spans="1:7" s="35" customFormat="1" ht="47.25">
      <c r="A135" s="69" t="s">
        <v>98</v>
      </c>
      <c r="B135" s="71" t="s">
        <v>99</v>
      </c>
      <c r="C135" s="8"/>
      <c r="D135" s="28"/>
      <c r="E135" s="8" t="s">
        <v>274</v>
      </c>
      <c r="F135" s="34">
        <f>'[1]Місто'!$F$241-F137</f>
        <v>57087941</v>
      </c>
      <c r="G135" s="13">
        <f t="shared" si="6"/>
        <v>57087941</v>
      </c>
    </row>
    <row r="136" spans="1:7" s="35" customFormat="1" ht="47.25" customHeight="1" hidden="1">
      <c r="A136" s="77"/>
      <c r="B136" s="76"/>
      <c r="C136" s="8" t="s">
        <v>204</v>
      </c>
      <c r="D136" s="28">
        <f>'[1]Місто'!$C$242</f>
        <v>0</v>
      </c>
      <c r="E136" s="8" t="s">
        <v>209</v>
      </c>
      <c r="F136" s="13"/>
      <c r="G136" s="13">
        <f t="shared" si="6"/>
        <v>0</v>
      </c>
    </row>
    <row r="137" spans="1:7" s="35" customFormat="1" ht="47.25">
      <c r="A137" s="70"/>
      <c r="B137" s="72"/>
      <c r="C137" s="8"/>
      <c r="D137" s="28"/>
      <c r="E137" s="59" t="s">
        <v>267</v>
      </c>
      <c r="F137" s="61">
        <f>205000+23000+25000+24000</f>
        <v>277000</v>
      </c>
      <c r="G137" s="61">
        <f t="shared" si="6"/>
        <v>277000</v>
      </c>
    </row>
    <row r="138" spans="1:7" s="35" customFormat="1" ht="47.25">
      <c r="A138" s="36" t="s">
        <v>262</v>
      </c>
      <c r="B138" s="37" t="s">
        <v>263</v>
      </c>
      <c r="C138" s="8"/>
      <c r="D138" s="28"/>
      <c r="E138" s="8" t="s">
        <v>274</v>
      </c>
      <c r="F138" s="34">
        <f>'[1]Місто'!$F$243</f>
        <v>483781</v>
      </c>
      <c r="G138" s="13">
        <f t="shared" si="6"/>
        <v>483781</v>
      </c>
    </row>
    <row r="139" spans="1:7" s="35" customFormat="1" ht="51.75" customHeight="1">
      <c r="A139" s="69" t="s">
        <v>78</v>
      </c>
      <c r="B139" s="71" t="s">
        <v>100</v>
      </c>
      <c r="C139" s="8" t="s">
        <v>274</v>
      </c>
      <c r="D139" s="28">
        <f>'[1]Місто'!$C$244-D140</f>
        <v>81941901</v>
      </c>
      <c r="E139" s="8" t="s">
        <v>274</v>
      </c>
      <c r="F139" s="34">
        <f>'[1]Місто'!$F$244-F140</f>
        <v>3627394</v>
      </c>
      <c r="G139" s="13">
        <f t="shared" si="6"/>
        <v>85569295</v>
      </c>
    </row>
    <row r="140" spans="1:7" s="35" customFormat="1" ht="47.25">
      <c r="A140" s="70"/>
      <c r="B140" s="72"/>
      <c r="C140" s="59" t="s">
        <v>267</v>
      </c>
      <c r="D140" s="61">
        <v>29000</v>
      </c>
      <c r="E140" s="59" t="s">
        <v>267</v>
      </c>
      <c r="F140" s="61">
        <f>41700</f>
        <v>41700</v>
      </c>
      <c r="G140" s="61">
        <f t="shared" si="6"/>
        <v>70700</v>
      </c>
    </row>
    <row r="141" spans="1:7" s="35" customFormat="1" ht="51" customHeight="1">
      <c r="A141" s="69" t="s">
        <v>68</v>
      </c>
      <c r="B141" s="71" t="s">
        <v>69</v>
      </c>
      <c r="C141" s="8"/>
      <c r="D141" s="9"/>
      <c r="E141" s="8" t="s">
        <v>274</v>
      </c>
      <c r="F141" s="19">
        <f>'[1]Місто'!$F$246-F142</f>
        <v>47535458</v>
      </c>
      <c r="G141" s="13">
        <f t="shared" si="6"/>
        <v>47535458</v>
      </c>
    </row>
    <row r="142" spans="1:7" s="35" customFormat="1" ht="47.25">
      <c r="A142" s="70"/>
      <c r="B142" s="72"/>
      <c r="C142" s="8"/>
      <c r="D142" s="9"/>
      <c r="E142" s="59" t="s">
        <v>267</v>
      </c>
      <c r="F142" s="61">
        <f>10000+15000</f>
        <v>25000</v>
      </c>
      <c r="G142" s="61">
        <f t="shared" si="6"/>
        <v>25000</v>
      </c>
    </row>
    <row r="143" spans="1:7" s="35" customFormat="1" ht="60.75" customHeight="1">
      <c r="A143" s="33" t="s">
        <v>80</v>
      </c>
      <c r="B143" s="8" t="s">
        <v>81</v>
      </c>
      <c r="C143" s="8"/>
      <c r="D143" s="9"/>
      <c r="E143" s="8" t="s">
        <v>274</v>
      </c>
      <c r="F143" s="34">
        <f>'[1]Місто'!$F$249</f>
        <v>44254981</v>
      </c>
      <c r="G143" s="13">
        <f t="shared" si="6"/>
        <v>44254981</v>
      </c>
    </row>
    <row r="144" spans="1:7" s="35" customFormat="1" ht="27.75" customHeight="1" hidden="1">
      <c r="A144" s="32">
        <v>180107</v>
      </c>
      <c r="B144" s="32" t="s">
        <v>190</v>
      </c>
      <c r="C144" s="8"/>
      <c r="D144" s="28"/>
      <c r="E144" s="8" t="s">
        <v>209</v>
      </c>
      <c r="F144" s="34">
        <f>'[1]Місто'!$F$277</f>
        <v>0</v>
      </c>
      <c r="G144" s="13">
        <f t="shared" si="6"/>
        <v>0</v>
      </c>
    </row>
    <row r="145" spans="1:7" s="35" customFormat="1" ht="63">
      <c r="A145" s="8">
        <v>180409</v>
      </c>
      <c r="B145" s="32" t="s">
        <v>202</v>
      </c>
      <c r="C145" s="8"/>
      <c r="D145" s="28"/>
      <c r="E145" s="8" t="s">
        <v>274</v>
      </c>
      <c r="F145" s="34">
        <f>'[1]Місто'!$F$252</f>
        <v>11641498</v>
      </c>
      <c r="G145" s="13">
        <f t="shared" si="6"/>
        <v>11641498</v>
      </c>
    </row>
    <row r="146" spans="1:7" s="35" customFormat="1" ht="47.25">
      <c r="A146" s="33" t="s">
        <v>13</v>
      </c>
      <c r="B146" s="8" t="s">
        <v>90</v>
      </c>
      <c r="C146" s="8"/>
      <c r="D146" s="9"/>
      <c r="E146" s="8" t="s">
        <v>252</v>
      </c>
      <c r="F146" s="34">
        <f>'[1]Місто'!$F$254</f>
        <v>3157736</v>
      </c>
      <c r="G146" s="13">
        <f t="shared" si="6"/>
        <v>3157736</v>
      </c>
    </row>
    <row r="147" spans="1:7" s="35" customFormat="1" ht="45.75" customHeight="1">
      <c r="A147" s="36" t="s">
        <v>61</v>
      </c>
      <c r="B147" s="37" t="s">
        <v>76</v>
      </c>
      <c r="C147" s="8" t="s">
        <v>274</v>
      </c>
      <c r="D147" s="49">
        <f>'[1]Місто'!$C$257+'[1]Місто'!$C$258+'[1]Місто'!$C$259</f>
        <v>7046495</v>
      </c>
      <c r="E147" s="8" t="s">
        <v>274</v>
      </c>
      <c r="F147" s="58">
        <f>'[1]Місто'!$F$261</f>
        <v>1713632</v>
      </c>
      <c r="G147" s="50">
        <f t="shared" si="6"/>
        <v>8760127</v>
      </c>
    </row>
    <row r="148" spans="1:7" s="35" customFormat="1" ht="31.5" hidden="1">
      <c r="A148" s="33" t="s">
        <v>23</v>
      </c>
      <c r="B148" s="51" t="s">
        <v>185</v>
      </c>
      <c r="C148" s="8"/>
      <c r="D148" s="9"/>
      <c r="E148" s="8" t="s">
        <v>186</v>
      </c>
      <c r="F148" s="19">
        <f>'[1]Місто'!$F$274</f>
        <v>0</v>
      </c>
      <c r="G148" s="13">
        <f>D148+F148</f>
        <v>0</v>
      </c>
    </row>
    <row r="149" spans="1:7" s="35" customFormat="1" ht="70.5" customHeight="1" hidden="1">
      <c r="A149" s="41" t="s">
        <v>200</v>
      </c>
      <c r="B149" s="42" t="s">
        <v>199</v>
      </c>
      <c r="C149" s="42"/>
      <c r="D149" s="43">
        <f>D150+D151</f>
        <v>0</v>
      </c>
      <c r="E149" s="42"/>
      <c r="F149" s="52"/>
      <c r="G149" s="46">
        <f>D149+F149</f>
        <v>0</v>
      </c>
    </row>
    <row r="150" spans="1:7" s="35" customFormat="1" ht="36" customHeight="1" hidden="1">
      <c r="A150" s="33" t="s">
        <v>70</v>
      </c>
      <c r="B150" s="8" t="s">
        <v>77</v>
      </c>
      <c r="C150" s="8" t="s">
        <v>102</v>
      </c>
      <c r="D150" s="28">
        <f>'[1]Місто'!$C$300</f>
        <v>0</v>
      </c>
      <c r="E150" s="8"/>
      <c r="F150" s="19"/>
      <c r="G150" s="13">
        <f>D150+F150</f>
        <v>0</v>
      </c>
    </row>
    <row r="151" spans="1:7" s="35" customFormat="1" ht="47.25" customHeight="1" hidden="1">
      <c r="A151" s="30" t="s">
        <v>78</v>
      </c>
      <c r="B151" s="32" t="s">
        <v>100</v>
      </c>
      <c r="C151" s="8" t="s">
        <v>183</v>
      </c>
      <c r="D151" s="28">
        <f>'[1]Місто'!$C$303</f>
        <v>0</v>
      </c>
      <c r="E151" s="8"/>
      <c r="F151" s="19"/>
      <c r="G151" s="13">
        <f>D151+F151</f>
        <v>0</v>
      </c>
    </row>
    <row r="152" spans="1:7" s="35" customFormat="1" ht="47.25">
      <c r="A152" s="41" t="s">
        <v>123</v>
      </c>
      <c r="B152" s="42" t="s">
        <v>37</v>
      </c>
      <c r="C152" s="8"/>
      <c r="D152" s="43">
        <f>SUM(D153:D154)</f>
        <v>2456180</v>
      </c>
      <c r="E152" s="9"/>
      <c r="F152" s="43">
        <f>SUM(F153:F154)</f>
        <v>46423</v>
      </c>
      <c r="G152" s="47">
        <f>G153+G154</f>
        <v>2502603</v>
      </c>
    </row>
    <row r="153" spans="1:7" s="35" customFormat="1" ht="48" customHeight="1">
      <c r="A153" s="33" t="s">
        <v>142</v>
      </c>
      <c r="B153" s="8" t="s">
        <v>143</v>
      </c>
      <c r="C153" s="8"/>
      <c r="D153" s="28"/>
      <c r="E153" s="8" t="s">
        <v>268</v>
      </c>
      <c r="F153" s="34">
        <f>'[1]Місто'!$F$325</f>
        <v>46423</v>
      </c>
      <c r="G153" s="13">
        <f>F153+D153</f>
        <v>46423</v>
      </c>
    </row>
    <row r="154" spans="1:7" s="35" customFormat="1" ht="63">
      <c r="A154" s="33" t="s">
        <v>61</v>
      </c>
      <c r="B154" s="8" t="s">
        <v>76</v>
      </c>
      <c r="C154" s="8" t="s">
        <v>254</v>
      </c>
      <c r="D154" s="28">
        <f>'[1]Місто'!$C$332</f>
        <v>2456180</v>
      </c>
      <c r="E154" s="8"/>
      <c r="F154" s="13"/>
      <c r="G154" s="13">
        <f>F154+D154</f>
        <v>2456180</v>
      </c>
    </row>
    <row r="155" spans="1:7" s="35" customFormat="1" ht="47.25">
      <c r="A155" s="41" t="s">
        <v>127</v>
      </c>
      <c r="B155" s="42" t="s">
        <v>39</v>
      </c>
      <c r="C155" s="8"/>
      <c r="D155" s="43">
        <f>SUM(D156:D159)</f>
        <v>2411617</v>
      </c>
      <c r="E155" s="9"/>
      <c r="F155" s="46">
        <f>SUM(F156:F157)</f>
        <v>0</v>
      </c>
      <c r="G155" s="46">
        <f>SUM(G156:G159)</f>
        <v>2411617</v>
      </c>
    </row>
    <row r="156" spans="1:7" s="35" customFormat="1" ht="36" customHeight="1" hidden="1">
      <c r="A156" s="33" t="s">
        <v>142</v>
      </c>
      <c r="B156" s="8" t="s">
        <v>143</v>
      </c>
      <c r="C156" s="8" t="s">
        <v>153</v>
      </c>
      <c r="D156" s="28"/>
      <c r="E156" s="8"/>
      <c r="F156" s="13"/>
      <c r="G156" s="13">
        <f>F156+D156</f>
        <v>0</v>
      </c>
    </row>
    <row r="157" spans="1:7" s="35" customFormat="1" ht="63">
      <c r="A157" s="73">
        <v>250404</v>
      </c>
      <c r="B157" s="73" t="s">
        <v>76</v>
      </c>
      <c r="C157" s="8" t="s">
        <v>240</v>
      </c>
      <c r="D157" s="39">
        <f>'[1]Місто'!$C$340</f>
        <v>120000</v>
      </c>
      <c r="E157" s="13"/>
      <c r="F157" s="53"/>
      <c r="G157" s="13">
        <f>F157+D157</f>
        <v>120000</v>
      </c>
    </row>
    <row r="158" spans="1:7" s="35" customFormat="1" ht="51" customHeight="1">
      <c r="A158" s="74"/>
      <c r="B158" s="74"/>
      <c r="C158" s="8" t="s">
        <v>241</v>
      </c>
      <c r="D158" s="39">
        <f>'[1]Місто'!$C$341</f>
        <v>1268500</v>
      </c>
      <c r="E158" s="13"/>
      <c r="F158" s="53"/>
      <c r="G158" s="13">
        <f>F158+D158</f>
        <v>1268500</v>
      </c>
    </row>
    <row r="159" spans="1:7" s="35" customFormat="1" ht="48.75" customHeight="1">
      <c r="A159" s="83"/>
      <c r="B159" s="75"/>
      <c r="C159" s="8" t="s">
        <v>242</v>
      </c>
      <c r="D159" s="39">
        <f>'[1]Місто'!$C$342</f>
        <v>1023117</v>
      </c>
      <c r="E159" s="8"/>
      <c r="F159" s="13"/>
      <c r="G159" s="13">
        <f>F159+D159</f>
        <v>1023117</v>
      </c>
    </row>
    <row r="160" spans="1:7" s="35" customFormat="1" ht="31.5" hidden="1">
      <c r="A160" s="41">
        <v>50</v>
      </c>
      <c r="B160" s="42" t="s">
        <v>167</v>
      </c>
      <c r="C160" s="8"/>
      <c r="D160" s="43">
        <f>D161</f>
        <v>0</v>
      </c>
      <c r="E160" s="9"/>
      <c r="F160" s="46">
        <f>F161</f>
        <v>0</v>
      </c>
      <c r="G160" s="46">
        <f>G161</f>
        <v>0</v>
      </c>
    </row>
    <row r="161" spans="1:7" s="35" customFormat="1" ht="48.75" customHeight="1" hidden="1">
      <c r="A161" s="33" t="s">
        <v>142</v>
      </c>
      <c r="B161" s="32" t="s">
        <v>143</v>
      </c>
      <c r="C161" s="8" t="s">
        <v>159</v>
      </c>
      <c r="D161" s="39"/>
      <c r="E161" s="8"/>
      <c r="F161" s="13"/>
      <c r="G161" s="13">
        <f>F161+D161</f>
        <v>0</v>
      </c>
    </row>
    <row r="162" spans="1:7" s="35" customFormat="1" ht="31.5">
      <c r="A162" s="41" t="s">
        <v>131</v>
      </c>
      <c r="B162" s="42" t="s">
        <v>43</v>
      </c>
      <c r="C162" s="42"/>
      <c r="D162" s="43">
        <f>D164+D163</f>
        <v>0</v>
      </c>
      <c r="E162" s="54"/>
      <c r="F162" s="43">
        <f>F164+F163</f>
        <v>1736056</v>
      </c>
      <c r="G162" s="43">
        <f>G164+G163</f>
        <v>1736056</v>
      </c>
    </row>
    <row r="163" spans="1:7" s="35" customFormat="1" ht="31.5">
      <c r="A163" s="33" t="s">
        <v>142</v>
      </c>
      <c r="B163" s="32" t="s">
        <v>143</v>
      </c>
      <c r="C163" s="8"/>
      <c r="D163" s="28"/>
      <c r="E163" s="8" t="s">
        <v>239</v>
      </c>
      <c r="F163" s="28">
        <f>'[1]Місто'!$F$348</f>
        <v>29000</v>
      </c>
      <c r="G163" s="13">
        <f>F163+D163</f>
        <v>29000</v>
      </c>
    </row>
    <row r="164" spans="1:7" s="35" customFormat="1" ht="47.25">
      <c r="A164" s="33" t="s">
        <v>25</v>
      </c>
      <c r="B164" s="8" t="s">
        <v>26</v>
      </c>
      <c r="C164" s="8"/>
      <c r="D164" s="28"/>
      <c r="E164" s="8" t="s">
        <v>250</v>
      </c>
      <c r="F164" s="34">
        <f>'[1]Місто'!$F$350</f>
        <v>1707056</v>
      </c>
      <c r="G164" s="13">
        <f>F164+D164</f>
        <v>1707056</v>
      </c>
    </row>
    <row r="165" spans="1:7" s="35" customFormat="1" ht="33" customHeight="1">
      <c r="A165" s="41" t="s">
        <v>128</v>
      </c>
      <c r="B165" s="42" t="s">
        <v>40</v>
      </c>
      <c r="C165" s="8"/>
      <c r="D165" s="43">
        <f>SUM(D166:D168)</f>
        <v>16733</v>
      </c>
      <c r="E165" s="9"/>
      <c r="F165" s="43">
        <f>SUM(F166:F168)</f>
        <v>41395595</v>
      </c>
      <c r="G165" s="54">
        <f>SUM(G166:G168)</f>
        <v>41412328</v>
      </c>
    </row>
    <row r="166" spans="1:7" s="35" customFormat="1" ht="33" customHeight="1" hidden="1">
      <c r="A166" s="33" t="s">
        <v>142</v>
      </c>
      <c r="B166" s="32" t="s">
        <v>143</v>
      </c>
      <c r="C166" s="8" t="s">
        <v>162</v>
      </c>
      <c r="D166" s="28"/>
      <c r="E166" s="8"/>
      <c r="F166" s="34"/>
      <c r="G166" s="13">
        <f>F166+D166</f>
        <v>0</v>
      </c>
    </row>
    <row r="167" spans="1:7" s="35" customFormat="1" ht="47.25">
      <c r="A167" s="8">
        <v>240601</v>
      </c>
      <c r="B167" s="8" t="s">
        <v>90</v>
      </c>
      <c r="C167" s="8"/>
      <c r="D167" s="9"/>
      <c r="E167" s="8" t="s">
        <v>252</v>
      </c>
      <c r="F167" s="34">
        <f>'[1]Місто'!$F$355</f>
        <v>41395595</v>
      </c>
      <c r="G167" s="13">
        <f>F167+D167</f>
        <v>41395595</v>
      </c>
    </row>
    <row r="168" spans="1:7" s="35" customFormat="1" ht="33" customHeight="1">
      <c r="A168" s="8">
        <v>250404</v>
      </c>
      <c r="B168" s="8" t="s">
        <v>187</v>
      </c>
      <c r="C168" s="8" t="s">
        <v>264</v>
      </c>
      <c r="D168" s="28">
        <f>'[1]Місто'!$C$359</f>
        <v>16733</v>
      </c>
      <c r="E168" s="8"/>
      <c r="F168" s="34"/>
      <c r="G168" s="13">
        <f>F168+D168</f>
        <v>16733</v>
      </c>
    </row>
    <row r="169" spans="1:7" s="35" customFormat="1" ht="47.25">
      <c r="A169" s="41" t="s">
        <v>126</v>
      </c>
      <c r="B169" s="42" t="s">
        <v>41</v>
      </c>
      <c r="C169" s="8"/>
      <c r="D169" s="43">
        <f>SUM(D170:D176)</f>
        <v>5182987</v>
      </c>
      <c r="E169" s="9"/>
      <c r="F169" s="43">
        <f>SUM(F170:F176)</f>
        <v>4823756</v>
      </c>
      <c r="G169" s="43">
        <f>SUM(G170:G176)</f>
        <v>10006743</v>
      </c>
    </row>
    <row r="170" spans="1:7" s="35" customFormat="1" ht="69" customHeight="1" hidden="1">
      <c r="A170" s="33" t="s">
        <v>142</v>
      </c>
      <c r="B170" s="32" t="s">
        <v>143</v>
      </c>
      <c r="C170" s="8" t="s">
        <v>165</v>
      </c>
      <c r="D170" s="28"/>
      <c r="E170" s="9"/>
      <c r="F170" s="13"/>
      <c r="G170" s="13">
        <f aca="true" t="shared" si="7" ref="G170:G176">F170+D170</f>
        <v>0</v>
      </c>
    </row>
    <row r="171" spans="1:7" s="35" customFormat="1" ht="63">
      <c r="A171" s="33" t="s">
        <v>15</v>
      </c>
      <c r="B171" s="8" t="s">
        <v>16</v>
      </c>
      <c r="C171" s="8" t="s">
        <v>243</v>
      </c>
      <c r="D171" s="28">
        <f>'[1]Місто'!$C$364</f>
        <v>2200000</v>
      </c>
      <c r="E171" s="8"/>
      <c r="F171" s="34">
        <f>'[1]Місто'!$F$364</f>
        <v>0</v>
      </c>
      <c r="G171" s="13">
        <f t="shared" si="7"/>
        <v>2200000</v>
      </c>
    </row>
    <row r="172" spans="1:7" s="35" customFormat="1" ht="41.25" customHeight="1" hidden="1">
      <c r="A172" s="33" t="s">
        <v>66</v>
      </c>
      <c r="B172" s="8" t="s">
        <v>67</v>
      </c>
      <c r="C172" s="8" t="s">
        <v>109</v>
      </c>
      <c r="D172" s="28">
        <f>'[1]Місто'!$C$369</f>
        <v>0</v>
      </c>
      <c r="E172" s="8"/>
      <c r="F172" s="13"/>
      <c r="G172" s="13">
        <f t="shared" si="7"/>
        <v>0</v>
      </c>
    </row>
    <row r="173" spans="1:7" s="35" customFormat="1" ht="62.25" customHeight="1">
      <c r="A173" s="69" t="s">
        <v>82</v>
      </c>
      <c r="B173" s="71" t="s">
        <v>202</v>
      </c>
      <c r="C173" s="8"/>
      <c r="D173" s="28"/>
      <c r="E173" s="55" t="s">
        <v>244</v>
      </c>
      <c r="F173" s="34">
        <f>'[1]Місто'!$F$371-F174</f>
        <v>4188814</v>
      </c>
      <c r="G173" s="13">
        <f t="shared" si="7"/>
        <v>4188814</v>
      </c>
    </row>
    <row r="174" spans="1:7" s="35" customFormat="1" ht="63">
      <c r="A174" s="70"/>
      <c r="B174" s="72"/>
      <c r="C174" s="8"/>
      <c r="D174" s="28"/>
      <c r="E174" s="55" t="s">
        <v>255</v>
      </c>
      <c r="F174" s="34">
        <v>634942</v>
      </c>
      <c r="G174" s="13">
        <f t="shared" si="7"/>
        <v>634942</v>
      </c>
    </row>
    <row r="175" spans="1:7" s="35" customFormat="1" ht="69" customHeight="1">
      <c r="A175" s="33" t="s">
        <v>191</v>
      </c>
      <c r="B175" s="8" t="s">
        <v>192</v>
      </c>
      <c r="C175" s="8" t="s">
        <v>244</v>
      </c>
      <c r="D175" s="28">
        <f>'[1]Місто'!$C$368</f>
        <v>217929</v>
      </c>
      <c r="E175" s="8"/>
      <c r="F175" s="34">
        <f>'[1]Місто'!$F$368</f>
        <v>0</v>
      </c>
      <c r="G175" s="13">
        <f t="shared" si="7"/>
        <v>217929</v>
      </c>
    </row>
    <row r="176" spans="1:7" s="35" customFormat="1" ht="63">
      <c r="A176" s="33" t="s">
        <v>61</v>
      </c>
      <c r="B176" s="8" t="s">
        <v>76</v>
      </c>
      <c r="C176" s="55" t="s">
        <v>255</v>
      </c>
      <c r="D176" s="28">
        <f>'[1]Місто'!$C$374</f>
        <v>2765058</v>
      </c>
      <c r="E176" s="8"/>
      <c r="F176" s="13"/>
      <c r="G176" s="13">
        <f t="shared" si="7"/>
        <v>2765058</v>
      </c>
    </row>
    <row r="177" spans="1:7" s="35" customFormat="1" ht="69" customHeight="1">
      <c r="A177" s="41" t="s">
        <v>121</v>
      </c>
      <c r="B177" s="42" t="s">
        <v>36</v>
      </c>
      <c r="C177" s="8"/>
      <c r="D177" s="43">
        <f>SUM(D178:D180)</f>
        <v>6190989</v>
      </c>
      <c r="E177" s="9"/>
      <c r="F177" s="47">
        <f>SUM(F178:F180)</f>
        <v>7055024</v>
      </c>
      <c r="G177" s="47">
        <f>SUM(G178:G180)</f>
        <v>13246013</v>
      </c>
    </row>
    <row r="178" spans="1:7" s="35" customFormat="1" ht="65.25" customHeight="1" hidden="1">
      <c r="A178" s="33" t="s">
        <v>142</v>
      </c>
      <c r="B178" s="32" t="s">
        <v>143</v>
      </c>
      <c r="C178" s="8" t="s">
        <v>156</v>
      </c>
      <c r="D178" s="28"/>
      <c r="E178" s="8"/>
      <c r="F178" s="19"/>
      <c r="G178" s="13">
        <f>F178+D178</f>
        <v>0</v>
      </c>
    </row>
    <row r="179" spans="1:7" s="35" customFormat="1" ht="66" customHeight="1">
      <c r="A179" s="33" t="s">
        <v>72</v>
      </c>
      <c r="B179" s="8" t="s">
        <v>73</v>
      </c>
      <c r="C179" s="8" t="s">
        <v>275</v>
      </c>
      <c r="D179" s="28">
        <f>'[1]Місто'!$C$380</f>
        <v>3263537</v>
      </c>
      <c r="E179" s="8" t="s">
        <v>275</v>
      </c>
      <c r="F179" s="19">
        <f>'[1]Місто'!$F$380</f>
        <v>6932583</v>
      </c>
      <c r="G179" s="13">
        <f>F179+D179</f>
        <v>10196120</v>
      </c>
    </row>
    <row r="180" spans="1:7" s="35" customFormat="1" ht="78.75">
      <c r="A180" s="33" t="s">
        <v>74</v>
      </c>
      <c r="B180" s="8" t="s">
        <v>75</v>
      </c>
      <c r="C180" s="8" t="s">
        <v>275</v>
      </c>
      <c r="D180" s="28">
        <f>'[1]Місто'!$C$383</f>
        <v>2927452</v>
      </c>
      <c r="E180" s="8" t="s">
        <v>275</v>
      </c>
      <c r="F180" s="19">
        <f>'[1]Місто'!$F$383</f>
        <v>122441</v>
      </c>
      <c r="G180" s="13">
        <f>F180+D180</f>
        <v>3049893</v>
      </c>
    </row>
    <row r="181" spans="1:7" s="35" customFormat="1" ht="31.5">
      <c r="A181" s="41" t="s">
        <v>130</v>
      </c>
      <c r="B181" s="42" t="s">
        <v>42</v>
      </c>
      <c r="C181" s="8"/>
      <c r="D181" s="43">
        <f>SUM(D182:D186)</f>
        <v>34410</v>
      </c>
      <c r="E181" s="9"/>
      <c r="F181" s="43">
        <f>SUM(F182:F186)</f>
        <v>40736430</v>
      </c>
      <c r="G181" s="54">
        <f>SUM(G182:G186)</f>
        <v>40770840</v>
      </c>
    </row>
    <row r="182" spans="1:7" s="35" customFormat="1" ht="31.5">
      <c r="A182" s="33" t="s">
        <v>142</v>
      </c>
      <c r="B182" s="32" t="s">
        <v>143</v>
      </c>
      <c r="C182" s="8"/>
      <c r="D182" s="28"/>
      <c r="E182" s="8" t="s">
        <v>239</v>
      </c>
      <c r="F182" s="28">
        <f>'[1]Місто'!$F$386</f>
        <v>30000</v>
      </c>
      <c r="G182" s="13">
        <f>F182+D182</f>
        <v>30000</v>
      </c>
    </row>
    <row r="183" spans="1:7" s="35" customFormat="1" ht="63">
      <c r="A183" s="33" t="s">
        <v>68</v>
      </c>
      <c r="B183" s="8" t="s">
        <v>69</v>
      </c>
      <c r="C183" s="8"/>
      <c r="D183" s="9"/>
      <c r="E183" s="8" t="s">
        <v>276</v>
      </c>
      <c r="F183" s="19">
        <f>'[1]Місто'!$F$391</f>
        <v>9696276</v>
      </c>
      <c r="G183" s="13">
        <f>F183+D183</f>
        <v>9696276</v>
      </c>
    </row>
    <row r="184" spans="1:7" s="35" customFormat="1" ht="79.5" customHeight="1">
      <c r="A184" s="33" t="s">
        <v>83</v>
      </c>
      <c r="B184" s="8" t="s">
        <v>84</v>
      </c>
      <c r="C184" s="8"/>
      <c r="D184" s="9"/>
      <c r="E184" s="8" t="s">
        <v>276</v>
      </c>
      <c r="F184" s="34">
        <f>'[1]Місто'!$F$396</f>
        <v>11010154</v>
      </c>
      <c r="G184" s="13">
        <f>F184+D184</f>
        <v>11010154</v>
      </c>
    </row>
    <row r="185" spans="1:7" s="35" customFormat="1" ht="63">
      <c r="A185" s="33" t="s">
        <v>72</v>
      </c>
      <c r="B185" s="8" t="s">
        <v>196</v>
      </c>
      <c r="C185" s="8"/>
      <c r="D185" s="28"/>
      <c r="E185" s="8" t="s">
        <v>275</v>
      </c>
      <c r="F185" s="34">
        <f>'[1]Місто'!$F$398</f>
        <v>20000000</v>
      </c>
      <c r="G185" s="13">
        <f>F185+D185</f>
        <v>20000000</v>
      </c>
    </row>
    <row r="186" spans="1:7" s="35" customFormat="1" ht="53.25" customHeight="1">
      <c r="A186" s="33" t="s">
        <v>61</v>
      </c>
      <c r="B186" s="8" t="s">
        <v>76</v>
      </c>
      <c r="C186" s="8" t="s">
        <v>256</v>
      </c>
      <c r="D186" s="28">
        <v>34410</v>
      </c>
      <c r="E186" s="8"/>
      <c r="F186" s="34"/>
      <c r="G186" s="13">
        <f>F186+D186</f>
        <v>34410</v>
      </c>
    </row>
    <row r="187" spans="1:7" s="35" customFormat="1" ht="46.5" customHeight="1">
      <c r="A187" s="41" t="s">
        <v>129</v>
      </c>
      <c r="B187" s="42" t="s">
        <v>21</v>
      </c>
      <c r="C187" s="8"/>
      <c r="D187" s="43">
        <f>SUM(D188:D191)</f>
        <v>13926653</v>
      </c>
      <c r="E187" s="9"/>
      <c r="F187" s="46">
        <f>SUM(F188:F191)</f>
        <v>0</v>
      </c>
      <c r="G187" s="47">
        <f>SUM(G188:G191)</f>
        <v>13926653</v>
      </c>
    </row>
    <row r="188" spans="1:7" s="35" customFormat="1" ht="46.5" customHeight="1" hidden="1">
      <c r="A188" s="45" t="s">
        <v>142</v>
      </c>
      <c r="B188" s="8" t="s">
        <v>143</v>
      </c>
      <c r="C188" s="8" t="s">
        <v>166</v>
      </c>
      <c r="D188" s="39"/>
      <c r="E188" s="9"/>
      <c r="F188" s="34"/>
      <c r="G188" s="34">
        <f>F188+D188</f>
        <v>0</v>
      </c>
    </row>
    <row r="189" spans="1:7" s="35" customFormat="1" ht="15.75">
      <c r="A189" s="45">
        <v>230000</v>
      </c>
      <c r="B189" s="8" t="s">
        <v>175</v>
      </c>
      <c r="C189" s="71" t="s">
        <v>245</v>
      </c>
      <c r="D189" s="39">
        <f>'[1]Місто'!$C$405</f>
        <v>13874400</v>
      </c>
      <c r="E189" s="9"/>
      <c r="F189" s="46"/>
      <c r="G189" s="34">
        <f>F189+D189</f>
        <v>13874400</v>
      </c>
    </row>
    <row r="190" spans="1:7" s="35" customFormat="1" ht="48" customHeight="1" hidden="1">
      <c r="A190" s="45">
        <v>210105</v>
      </c>
      <c r="B190" s="8"/>
      <c r="C190" s="76"/>
      <c r="D190" s="39">
        <f>'[1]Місто'!$C$410</f>
        <v>0</v>
      </c>
      <c r="E190" s="9"/>
      <c r="F190" s="34">
        <f>'[1]Місто'!$F$410</f>
        <v>0</v>
      </c>
      <c r="G190" s="34">
        <f>F190+D190</f>
        <v>0</v>
      </c>
    </row>
    <row r="191" spans="1:7" s="35" customFormat="1" ht="33" customHeight="1">
      <c r="A191" s="36" t="s">
        <v>61</v>
      </c>
      <c r="B191" s="37" t="s">
        <v>76</v>
      </c>
      <c r="C191" s="72"/>
      <c r="D191" s="28">
        <f>'[1]Місто'!$C$412</f>
        <v>52253</v>
      </c>
      <c r="E191" s="8"/>
      <c r="F191" s="13"/>
      <c r="G191" s="34">
        <f>F191+D191</f>
        <v>52253</v>
      </c>
    </row>
    <row r="192" spans="1:7" s="35" customFormat="1" ht="39" customHeight="1" hidden="1">
      <c r="A192" s="41" t="s">
        <v>174</v>
      </c>
      <c r="B192" s="42" t="s">
        <v>21</v>
      </c>
      <c r="C192" s="8"/>
      <c r="D192" s="54">
        <f>SUM(D193:D194)</f>
        <v>0</v>
      </c>
      <c r="E192" s="8"/>
      <c r="F192" s="43">
        <f>SUM(F193:F194)</f>
        <v>0</v>
      </c>
      <c r="G192" s="54">
        <f>SUM(G193:G194)</f>
        <v>0</v>
      </c>
    </row>
    <row r="193" spans="1:7" s="35" customFormat="1" ht="45" customHeight="1" hidden="1">
      <c r="A193" s="36" t="s">
        <v>85</v>
      </c>
      <c r="B193" s="37" t="s">
        <v>176</v>
      </c>
      <c r="C193" s="8"/>
      <c r="D193" s="9"/>
      <c r="E193" s="8" t="s">
        <v>184</v>
      </c>
      <c r="F193" s="19">
        <f>'[1]Місто'!$F$417</f>
        <v>0</v>
      </c>
      <c r="G193" s="13">
        <f>D193+F193</f>
        <v>0</v>
      </c>
    </row>
    <row r="194" spans="1:7" s="35" customFormat="1" ht="51.75" customHeight="1" hidden="1">
      <c r="A194" s="45">
        <v>240900</v>
      </c>
      <c r="B194" s="8" t="s">
        <v>7</v>
      </c>
      <c r="C194" s="8"/>
      <c r="D194" s="9"/>
      <c r="E194" s="8"/>
      <c r="F194" s="13">
        <f>600000-600000</f>
        <v>0</v>
      </c>
      <c r="G194" s="13">
        <f>F194+D194</f>
        <v>0</v>
      </c>
    </row>
    <row r="195" spans="1:7" s="35" customFormat="1" ht="31.5">
      <c r="A195" s="41" t="s">
        <v>111</v>
      </c>
      <c r="B195" s="42" t="s">
        <v>24</v>
      </c>
      <c r="C195" s="8"/>
      <c r="D195" s="43">
        <f>SUM(D197:D206)</f>
        <v>1103769</v>
      </c>
      <c r="E195" s="8"/>
      <c r="F195" s="43">
        <f>SUM(F196:F204)</f>
        <v>7257</v>
      </c>
      <c r="G195" s="54">
        <f>SUM(G196:G204)</f>
        <v>1091026</v>
      </c>
    </row>
    <row r="196" spans="1:7" s="35" customFormat="1" ht="49.5" customHeight="1" hidden="1">
      <c r="A196" s="33" t="s">
        <v>142</v>
      </c>
      <c r="B196" s="32" t="s">
        <v>143</v>
      </c>
      <c r="C196" s="8" t="s">
        <v>148</v>
      </c>
      <c r="D196" s="28"/>
      <c r="E196" s="8" t="s">
        <v>148</v>
      </c>
      <c r="F196" s="34"/>
      <c r="G196" s="13">
        <f aca="true" t="shared" si="8" ref="G196:G201">D196+F196</f>
        <v>0</v>
      </c>
    </row>
    <row r="197" spans="1:7" s="35" customFormat="1" ht="47.25" customHeight="1">
      <c r="A197" s="33" t="s">
        <v>78</v>
      </c>
      <c r="B197" s="32" t="s">
        <v>79</v>
      </c>
      <c r="C197" s="8" t="s">
        <v>274</v>
      </c>
      <c r="D197" s="28">
        <f>'[1]Місто'!$C$422</f>
        <v>604590</v>
      </c>
      <c r="E197" s="8"/>
      <c r="F197" s="34">
        <f>'[1]Місто'!$F$422</f>
        <v>0</v>
      </c>
      <c r="G197" s="13">
        <f t="shared" si="8"/>
        <v>604590</v>
      </c>
    </row>
    <row r="198" spans="1:7" s="35" customFormat="1" ht="42.75" customHeight="1" hidden="1">
      <c r="A198" s="36" t="s">
        <v>68</v>
      </c>
      <c r="B198" s="31" t="s">
        <v>69</v>
      </c>
      <c r="C198" s="8"/>
      <c r="D198" s="28"/>
      <c r="E198" s="8" t="s">
        <v>180</v>
      </c>
      <c r="F198" s="34">
        <f>'[1]Місто'!$K$424</f>
        <v>0</v>
      </c>
      <c r="G198" s="13">
        <f t="shared" si="8"/>
        <v>0</v>
      </c>
    </row>
    <row r="199" spans="1:7" s="35" customFormat="1" ht="62.25" customHeight="1">
      <c r="A199" s="36" t="s">
        <v>55</v>
      </c>
      <c r="B199" s="8" t="s">
        <v>198</v>
      </c>
      <c r="C199" s="8"/>
      <c r="D199" s="28"/>
      <c r="E199" s="8" t="s">
        <v>279</v>
      </c>
      <c r="F199" s="34">
        <f>'[1]Місто'!$F$426</f>
        <v>7257</v>
      </c>
      <c r="G199" s="13">
        <f t="shared" si="8"/>
        <v>7257</v>
      </c>
    </row>
    <row r="200" spans="1:7" s="35" customFormat="1" ht="47.25">
      <c r="A200" s="69" t="s">
        <v>61</v>
      </c>
      <c r="B200" s="71" t="s">
        <v>76</v>
      </c>
      <c r="C200" s="8" t="s">
        <v>246</v>
      </c>
      <c r="D200" s="28">
        <f>'[1]Місто'!$C$429</f>
        <v>132118</v>
      </c>
      <c r="E200" s="8"/>
      <c r="F200" s="13"/>
      <c r="G200" s="13">
        <f t="shared" si="8"/>
        <v>132118</v>
      </c>
    </row>
    <row r="201" spans="1:7" s="35" customFormat="1" ht="47.25">
      <c r="A201" s="77"/>
      <c r="B201" s="76"/>
      <c r="C201" s="8" t="s">
        <v>274</v>
      </c>
      <c r="D201" s="28">
        <f>'[1]Місто'!$C$430</f>
        <v>99900</v>
      </c>
      <c r="E201" s="8"/>
      <c r="F201" s="13"/>
      <c r="G201" s="13">
        <f t="shared" si="8"/>
        <v>99900</v>
      </c>
    </row>
    <row r="202" spans="1:7" s="35" customFormat="1" ht="63">
      <c r="A202" s="77"/>
      <c r="B202" s="76"/>
      <c r="C202" s="8" t="s">
        <v>257</v>
      </c>
      <c r="D202" s="28">
        <f>'[1]Місто'!$C$431</f>
        <v>238824</v>
      </c>
      <c r="E202" s="8"/>
      <c r="F202" s="13"/>
      <c r="G202" s="13">
        <f>D202+F202</f>
        <v>238824</v>
      </c>
    </row>
    <row r="203" spans="1:7" s="35" customFormat="1" ht="47.25">
      <c r="A203" s="77"/>
      <c r="B203" s="76"/>
      <c r="C203" s="8" t="s">
        <v>265</v>
      </c>
      <c r="D203" s="28">
        <f>'[1]Місто'!$C$432</f>
        <v>8337</v>
      </c>
      <c r="E203" s="8"/>
      <c r="F203" s="13"/>
      <c r="G203" s="34">
        <f>D203+F203</f>
        <v>8337</v>
      </c>
    </row>
    <row r="204" spans="1:7" s="35" customFormat="1" ht="45.75" customHeight="1" hidden="1">
      <c r="A204" s="77"/>
      <c r="B204" s="76"/>
      <c r="C204" s="8"/>
      <c r="D204" s="9"/>
      <c r="E204" s="8"/>
      <c r="F204" s="13"/>
      <c r="G204" s="34">
        <f>D204+F204</f>
        <v>0</v>
      </c>
    </row>
    <row r="205" spans="1:7" s="35" customFormat="1" ht="56.25" customHeight="1" hidden="1">
      <c r="A205" s="77"/>
      <c r="B205" s="76"/>
      <c r="C205" s="8"/>
      <c r="D205" s="9"/>
      <c r="E205" s="8"/>
      <c r="F205" s="13"/>
      <c r="G205" s="34">
        <f>D205+F205</f>
        <v>0</v>
      </c>
    </row>
    <row r="206" spans="1:7" s="35" customFormat="1" ht="63">
      <c r="A206" s="70"/>
      <c r="B206" s="72"/>
      <c r="C206" s="8" t="s">
        <v>278</v>
      </c>
      <c r="D206" s="28">
        <f>'[1]Місто'!$C$433</f>
        <v>20000</v>
      </c>
      <c r="E206" s="8"/>
      <c r="F206" s="13"/>
      <c r="G206" s="34">
        <f>D206+F206</f>
        <v>20000</v>
      </c>
    </row>
    <row r="207" spans="1:7" s="35" customFormat="1" ht="47.25">
      <c r="A207" s="41" t="s">
        <v>112</v>
      </c>
      <c r="B207" s="42" t="s">
        <v>27</v>
      </c>
      <c r="C207" s="8"/>
      <c r="D207" s="43">
        <f>SUM(D208:D217)</f>
        <v>569433</v>
      </c>
      <c r="E207" s="42"/>
      <c r="F207" s="43">
        <f>SUM(F208:F216)</f>
        <v>50149</v>
      </c>
      <c r="G207" s="54">
        <f>SUM(G208:G216)</f>
        <v>599582</v>
      </c>
    </row>
    <row r="208" spans="1:7" s="35" customFormat="1" ht="27.75" customHeight="1" hidden="1">
      <c r="A208" s="33" t="s">
        <v>142</v>
      </c>
      <c r="B208" s="32" t="s">
        <v>143</v>
      </c>
      <c r="C208" s="8" t="s">
        <v>149</v>
      </c>
      <c r="D208" s="28"/>
      <c r="E208" s="8"/>
      <c r="F208" s="34"/>
      <c r="G208" s="13">
        <f>D208+F208</f>
        <v>0</v>
      </c>
    </row>
    <row r="209" spans="1:7" s="35" customFormat="1" ht="50.25" customHeight="1">
      <c r="A209" s="69" t="s">
        <v>78</v>
      </c>
      <c r="B209" s="71" t="s">
        <v>79</v>
      </c>
      <c r="C209" s="8" t="s">
        <v>274</v>
      </c>
      <c r="D209" s="28">
        <f>'[1]Місто'!$C$438</f>
        <v>503411</v>
      </c>
      <c r="E209" s="8" t="s">
        <v>274</v>
      </c>
      <c r="F209" s="34">
        <f>'[1]Місто'!$F$438-F210</f>
        <v>4901</v>
      </c>
      <c r="G209" s="34">
        <f>F209+D209</f>
        <v>508312</v>
      </c>
    </row>
    <row r="210" spans="1:7" s="35" customFormat="1" ht="47.25">
      <c r="A210" s="70"/>
      <c r="B210" s="72"/>
      <c r="C210" s="8"/>
      <c r="D210" s="28"/>
      <c r="E210" s="59" t="s">
        <v>267</v>
      </c>
      <c r="F210" s="64">
        <v>11000</v>
      </c>
      <c r="G210" s="64">
        <f>F210+D210</f>
        <v>11000</v>
      </c>
    </row>
    <row r="211" spans="1:7" s="35" customFormat="1" ht="21.75" customHeight="1" hidden="1">
      <c r="A211" s="36" t="s">
        <v>68</v>
      </c>
      <c r="B211" s="8" t="s">
        <v>69</v>
      </c>
      <c r="C211" s="8"/>
      <c r="D211" s="28"/>
      <c r="E211" s="8"/>
      <c r="F211" s="34"/>
      <c r="G211" s="34">
        <f>F211+D211</f>
        <v>0</v>
      </c>
    </row>
    <row r="212" spans="1:7" s="35" customFormat="1" ht="66.75" customHeight="1">
      <c r="A212" s="36" t="s">
        <v>55</v>
      </c>
      <c r="B212" s="37" t="s">
        <v>198</v>
      </c>
      <c r="C212" s="8"/>
      <c r="D212" s="28"/>
      <c r="E212" s="8" t="s">
        <v>247</v>
      </c>
      <c r="F212" s="34">
        <f>'[1]Місто'!$F$442</f>
        <v>34248</v>
      </c>
      <c r="G212" s="34">
        <f>F212+D212</f>
        <v>34248</v>
      </c>
    </row>
    <row r="213" spans="1:7" s="35" customFormat="1" ht="47.25">
      <c r="A213" s="69" t="s">
        <v>61</v>
      </c>
      <c r="B213" s="71" t="s">
        <v>76</v>
      </c>
      <c r="C213" s="8" t="s">
        <v>246</v>
      </c>
      <c r="D213" s="28">
        <f>'[1]Місто'!$C$445</f>
        <v>5735</v>
      </c>
      <c r="E213" s="8"/>
      <c r="F213" s="13"/>
      <c r="G213" s="13">
        <f>F213+D213</f>
        <v>5735</v>
      </c>
    </row>
    <row r="214" spans="1:7" s="35" customFormat="1" ht="34.5" customHeight="1" hidden="1">
      <c r="A214" s="77"/>
      <c r="B214" s="76"/>
      <c r="C214" s="8"/>
      <c r="D214" s="28"/>
      <c r="E214" s="8"/>
      <c r="F214" s="13"/>
      <c r="G214" s="13"/>
    </row>
    <row r="215" spans="1:7" s="35" customFormat="1" ht="63">
      <c r="A215" s="77"/>
      <c r="B215" s="76"/>
      <c r="C215" s="8" t="s">
        <v>257</v>
      </c>
      <c r="D215" s="28">
        <f>'[1]Місто'!$C$446</f>
        <v>31950</v>
      </c>
      <c r="E215" s="8"/>
      <c r="F215" s="13"/>
      <c r="G215" s="13">
        <f>F215+D215</f>
        <v>31950</v>
      </c>
    </row>
    <row r="216" spans="1:7" s="35" customFormat="1" ht="47.25">
      <c r="A216" s="77"/>
      <c r="B216" s="76"/>
      <c r="C216" s="8" t="s">
        <v>265</v>
      </c>
      <c r="D216" s="28">
        <f>'[1]Місто'!$C$447</f>
        <v>8337</v>
      </c>
      <c r="E216" s="8"/>
      <c r="F216" s="13"/>
      <c r="G216" s="34">
        <f>F216+D216</f>
        <v>8337</v>
      </c>
    </row>
    <row r="217" spans="1:7" s="35" customFormat="1" ht="63">
      <c r="A217" s="70"/>
      <c r="B217" s="72"/>
      <c r="C217" s="8" t="s">
        <v>278</v>
      </c>
      <c r="D217" s="28">
        <f>'[1]Місто'!$C$448</f>
        <v>20000</v>
      </c>
      <c r="E217" s="8"/>
      <c r="F217" s="13"/>
      <c r="G217" s="34">
        <f>F217+D217</f>
        <v>20000</v>
      </c>
    </row>
    <row r="218" spans="1:7" s="35" customFormat="1" ht="47.25">
      <c r="A218" s="41" t="s">
        <v>113</v>
      </c>
      <c r="B218" s="42" t="s">
        <v>28</v>
      </c>
      <c r="C218" s="8"/>
      <c r="D218" s="43">
        <f>SUM(D219:D228)</f>
        <v>986776</v>
      </c>
      <c r="E218" s="42"/>
      <c r="F218" s="43">
        <f>SUM(F219:F227)</f>
        <v>6120604</v>
      </c>
      <c r="G218" s="43">
        <f>SUM(G219:G227)</f>
        <v>7087380</v>
      </c>
    </row>
    <row r="219" spans="1:7" s="35" customFormat="1" ht="63" customHeight="1" hidden="1">
      <c r="A219" s="33" t="s">
        <v>142</v>
      </c>
      <c r="B219" s="32" t="s">
        <v>143</v>
      </c>
      <c r="C219" s="8" t="s">
        <v>150</v>
      </c>
      <c r="D219" s="28"/>
      <c r="E219" s="8" t="s">
        <v>150</v>
      </c>
      <c r="F219" s="34"/>
      <c r="G219" s="13">
        <f>D219+F219</f>
        <v>0</v>
      </c>
    </row>
    <row r="220" spans="1:7" s="35" customFormat="1" ht="56.25" customHeight="1">
      <c r="A220" s="33" t="s">
        <v>78</v>
      </c>
      <c r="B220" s="32" t="s">
        <v>79</v>
      </c>
      <c r="C220" s="8" t="s">
        <v>274</v>
      </c>
      <c r="D220" s="28">
        <f>'[1]Місто'!$C$453</f>
        <v>734709</v>
      </c>
      <c r="E220" s="8" t="s">
        <v>274</v>
      </c>
      <c r="F220" s="34">
        <f>'[1]Місто'!$F$453</f>
        <v>147972</v>
      </c>
      <c r="G220" s="13">
        <f aca="true" t="shared" si="9" ref="G220:G237">D220+F220</f>
        <v>882681</v>
      </c>
    </row>
    <row r="221" spans="1:7" s="35" customFormat="1" ht="47.25">
      <c r="A221" s="36" t="s">
        <v>68</v>
      </c>
      <c r="B221" s="8" t="s">
        <v>69</v>
      </c>
      <c r="C221" s="8"/>
      <c r="D221" s="28"/>
      <c r="E221" s="8" t="s">
        <v>274</v>
      </c>
      <c r="F221" s="34">
        <f>'[1]Місто'!$F$455</f>
        <v>5949949</v>
      </c>
      <c r="G221" s="13">
        <f t="shared" si="9"/>
        <v>5949949</v>
      </c>
    </row>
    <row r="222" spans="1:7" s="35" customFormat="1" ht="78.75">
      <c r="A222" s="36" t="s">
        <v>55</v>
      </c>
      <c r="B222" s="8" t="s">
        <v>198</v>
      </c>
      <c r="C222" s="8"/>
      <c r="D222" s="28"/>
      <c r="E222" s="8" t="s">
        <v>279</v>
      </c>
      <c r="F222" s="34">
        <f>'[1]Місто'!$F$457</f>
        <v>22683</v>
      </c>
      <c r="G222" s="13">
        <f t="shared" si="9"/>
        <v>22683</v>
      </c>
    </row>
    <row r="223" spans="1:7" s="35" customFormat="1" ht="47.25">
      <c r="A223" s="69" t="s">
        <v>61</v>
      </c>
      <c r="B223" s="71" t="s">
        <v>76</v>
      </c>
      <c r="C223" s="8" t="s">
        <v>246</v>
      </c>
      <c r="D223" s="28">
        <f>'[1]Місто'!$C$460</f>
        <v>86135</v>
      </c>
      <c r="E223" s="8"/>
      <c r="F223" s="13"/>
      <c r="G223" s="13">
        <f t="shared" si="9"/>
        <v>86135</v>
      </c>
    </row>
    <row r="224" spans="1:7" s="35" customFormat="1" ht="47.25">
      <c r="A224" s="77"/>
      <c r="B224" s="76"/>
      <c r="C224" s="8" t="s">
        <v>274</v>
      </c>
      <c r="D224" s="28">
        <f>'[1]Місто'!$C$461</f>
        <v>99900</v>
      </c>
      <c r="E224" s="8"/>
      <c r="F224" s="13"/>
      <c r="G224" s="13">
        <f t="shared" si="9"/>
        <v>99900</v>
      </c>
    </row>
    <row r="225" spans="1:7" s="35" customFormat="1" ht="63">
      <c r="A225" s="77"/>
      <c r="B225" s="76"/>
      <c r="C225" s="8" t="s">
        <v>257</v>
      </c>
      <c r="D225" s="28">
        <f>'[1]Місто'!$C$462</f>
        <v>38505</v>
      </c>
      <c r="E225" s="8"/>
      <c r="F225" s="13"/>
      <c r="G225" s="13">
        <f t="shared" si="9"/>
        <v>38505</v>
      </c>
    </row>
    <row r="226" spans="1:7" s="35" customFormat="1" ht="47.25">
      <c r="A226" s="77"/>
      <c r="B226" s="76"/>
      <c r="C226" s="8" t="s">
        <v>265</v>
      </c>
      <c r="D226" s="28">
        <f>'[1]Місто'!$C$463</f>
        <v>7527</v>
      </c>
      <c r="E226" s="8"/>
      <c r="F226" s="13"/>
      <c r="G226" s="34">
        <f>D226+F226</f>
        <v>7527</v>
      </c>
    </row>
    <row r="227" spans="1:7" s="35" customFormat="1" ht="21.75" customHeight="1" hidden="1">
      <c r="A227" s="77"/>
      <c r="B227" s="76"/>
      <c r="C227" s="8"/>
      <c r="D227" s="9"/>
      <c r="E227" s="8"/>
      <c r="F227" s="13"/>
      <c r="G227" s="34">
        <f>D227+F227</f>
        <v>0</v>
      </c>
    </row>
    <row r="228" spans="1:7" s="35" customFormat="1" ht="63">
      <c r="A228" s="70"/>
      <c r="B228" s="72"/>
      <c r="C228" s="8" t="s">
        <v>278</v>
      </c>
      <c r="D228" s="28">
        <f>'[1]Місто'!$C$464</f>
        <v>20000</v>
      </c>
      <c r="E228" s="8"/>
      <c r="F228" s="13"/>
      <c r="G228" s="34">
        <f>D228+F228</f>
        <v>20000</v>
      </c>
    </row>
    <row r="229" spans="1:10" s="35" customFormat="1" ht="31.5">
      <c r="A229" s="41" t="s">
        <v>114</v>
      </c>
      <c r="B229" s="42" t="s">
        <v>29</v>
      </c>
      <c r="C229" s="8"/>
      <c r="D229" s="43">
        <f>SUM(D230:D237)</f>
        <v>717535</v>
      </c>
      <c r="E229" s="42"/>
      <c r="F229" s="43">
        <f>SUM(F230:F236)</f>
        <v>1008022</v>
      </c>
      <c r="G229" s="47">
        <f>SUM(G230:G236)</f>
        <v>1705557</v>
      </c>
      <c r="H229" s="56"/>
      <c r="I229" s="56"/>
      <c r="J229" s="56"/>
    </row>
    <row r="230" spans="1:10" s="35" customFormat="1" ht="47.25" hidden="1">
      <c r="A230" s="33" t="s">
        <v>142</v>
      </c>
      <c r="B230" s="32" t="s">
        <v>143</v>
      </c>
      <c r="C230" s="8" t="s">
        <v>151</v>
      </c>
      <c r="D230" s="28"/>
      <c r="E230" s="8" t="s">
        <v>151</v>
      </c>
      <c r="F230" s="34"/>
      <c r="G230" s="34">
        <f>D230+F230</f>
        <v>0</v>
      </c>
      <c r="H230" s="56"/>
      <c r="I230" s="56"/>
      <c r="J230" s="56"/>
    </row>
    <row r="231" spans="1:7" s="35" customFormat="1" ht="66" customHeight="1">
      <c r="A231" s="33" t="s">
        <v>78</v>
      </c>
      <c r="B231" s="32" t="s">
        <v>79</v>
      </c>
      <c r="C231" s="8" t="s">
        <v>274</v>
      </c>
      <c r="D231" s="28">
        <f>'[1]Місто'!$C$469</f>
        <v>482173</v>
      </c>
      <c r="E231" s="8" t="s">
        <v>274</v>
      </c>
      <c r="F231" s="34">
        <f>'[1]Місто'!$F$469</f>
        <v>9330</v>
      </c>
      <c r="G231" s="13">
        <f t="shared" si="9"/>
        <v>491503</v>
      </c>
    </row>
    <row r="232" spans="1:7" s="35" customFormat="1" ht="55.5" customHeight="1">
      <c r="A232" s="36" t="s">
        <v>68</v>
      </c>
      <c r="B232" s="8" t="s">
        <v>69</v>
      </c>
      <c r="C232" s="8"/>
      <c r="D232" s="28"/>
      <c r="E232" s="8" t="s">
        <v>274</v>
      </c>
      <c r="F232" s="34">
        <f>'[1]Місто'!$F$471</f>
        <v>998692</v>
      </c>
      <c r="G232" s="13">
        <f t="shared" si="9"/>
        <v>998692</v>
      </c>
    </row>
    <row r="233" spans="1:7" s="35" customFormat="1" ht="47.25">
      <c r="A233" s="69" t="s">
        <v>61</v>
      </c>
      <c r="B233" s="71" t="s">
        <v>76</v>
      </c>
      <c r="C233" s="8" t="s">
        <v>246</v>
      </c>
      <c r="D233" s="28">
        <f>'[1]Місто'!$C$476</f>
        <v>86135</v>
      </c>
      <c r="E233" s="8"/>
      <c r="F233" s="13"/>
      <c r="G233" s="13">
        <f t="shared" si="9"/>
        <v>86135</v>
      </c>
    </row>
    <row r="234" spans="1:7" s="35" customFormat="1" ht="47.25">
      <c r="A234" s="77"/>
      <c r="B234" s="76"/>
      <c r="C234" s="8" t="s">
        <v>274</v>
      </c>
      <c r="D234" s="28">
        <f>'[1]Місто'!$C$477</f>
        <v>99900</v>
      </c>
      <c r="E234" s="8"/>
      <c r="F234" s="13"/>
      <c r="G234" s="13">
        <f t="shared" si="9"/>
        <v>99900</v>
      </c>
    </row>
    <row r="235" spans="1:7" s="35" customFormat="1" ht="63">
      <c r="A235" s="77"/>
      <c r="B235" s="76"/>
      <c r="C235" s="8" t="s">
        <v>257</v>
      </c>
      <c r="D235" s="28">
        <f>'[1]Місто'!$C$478</f>
        <v>20991</v>
      </c>
      <c r="E235" s="8"/>
      <c r="F235" s="13"/>
      <c r="G235" s="13">
        <f t="shared" si="9"/>
        <v>20991</v>
      </c>
    </row>
    <row r="236" spans="1:7" s="35" customFormat="1" ht="47.25">
      <c r="A236" s="77"/>
      <c r="B236" s="76"/>
      <c r="C236" s="8" t="s">
        <v>265</v>
      </c>
      <c r="D236" s="28">
        <f>'[1]Місто'!$C$479</f>
        <v>8336</v>
      </c>
      <c r="E236" s="8"/>
      <c r="F236" s="13"/>
      <c r="G236" s="13">
        <f t="shared" si="9"/>
        <v>8336</v>
      </c>
    </row>
    <row r="237" spans="1:7" s="35" customFormat="1" ht="63">
      <c r="A237" s="70"/>
      <c r="B237" s="72"/>
      <c r="C237" s="8" t="s">
        <v>278</v>
      </c>
      <c r="D237" s="28">
        <f>'[1]Місто'!$C$480</f>
        <v>20000</v>
      </c>
      <c r="E237" s="8"/>
      <c r="F237" s="13"/>
      <c r="G237" s="13">
        <f t="shared" si="9"/>
        <v>20000</v>
      </c>
    </row>
    <row r="238" spans="1:7" s="56" customFormat="1" ht="47.25">
      <c r="A238" s="41" t="s">
        <v>115</v>
      </c>
      <c r="B238" s="42" t="s">
        <v>30</v>
      </c>
      <c r="C238" s="42"/>
      <c r="D238" s="43">
        <f>SUM(D239:D249)</f>
        <v>1357079</v>
      </c>
      <c r="E238" s="42"/>
      <c r="F238" s="43">
        <f>SUM(F239:F248)</f>
        <v>133610</v>
      </c>
      <c r="G238" s="43">
        <f>SUM(G239:G248)</f>
        <v>1470689</v>
      </c>
    </row>
    <row r="239" spans="1:7" s="56" customFormat="1" ht="55.5" customHeight="1" hidden="1">
      <c r="A239" s="33" t="s">
        <v>142</v>
      </c>
      <c r="B239" s="32" t="s">
        <v>143</v>
      </c>
      <c r="C239" s="8" t="s">
        <v>152</v>
      </c>
      <c r="D239" s="28"/>
      <c r="E239" s="8" t="s">
        <v>152</v>
      </c>
      <c r="F239" s="34"/>
      <c r="G239" s="34">
        <f>D239+F239</f>
        <v>0</v>
      </c>
    </row>
    <row r="240" spans="1:7" s="35" customFormat="1" ht="49.5" customHeight="1">
      <c r="A240" s="69" t="s">
        <v>78</v>
      </c>
      <c r="B240" s="84" t="s">
        <v>79</v>
      </c>
      <c r="C240" s="8" t="s">
        <v>274</v>
      </c>
      <c r="D240" s="28">
        <f>'[1]Місто'!$C$485</f>
        <v>818449</v>
      </c>
      <c r="E240" s="8"/>
      <c r="F240" s="34">
        <f>'[1]Місто'!$F$485</f>
        <v>0</v>
      </c>
      <c r="G240" s="13">
        <f aca="true" t="shared" si="10" ref="G240:G255">D240+F240</f>
        <v>818449</v>
      </c>
    </row>
    <row r="241" spans="1:7" s="35" customFormat="1" ht="47.25">
      <c r="A241" s="70"/>
      <c r="B241" s="84"/>
      <c r="C241" s="8"/>
      <c r="D241" s="28"/>
      <c r="E241" s="59" t="s">
        <v>267</v>
      </c>
      <c r="F241" s="64">
        <v>5200</v>
      </c>
      <c r="G241" s="64">
        <f t="shared" si="10"/>
        <v>5200</v>
      </c>
    </row>
    <row r="242" spans="1:7" s="35" customFormat="1" ht="47.25">
      <c r="A242" s="36" t="s">
        <v>215</v>
      </c>
      <c r="B242" s="8" t="s">
        <v>76</v>
      </c>
      <c r="C242" s="8" t="s">
        <v>260</v>
      </c>
      <c r="D242" s="28">
        <f>'[1]Місто'!$C$487</f>
        <v>246500</v>
      </c>
      <c r="E242" s="8"/>
      <c r="F242" s="34"/>
      <c r="G242" s="13">
        <f t="shared" si="10"/>
        <v>246500</v>
      </c>
    </row>
    <row r="243" spans="1:7" s="35" customFormat="1" ht="64.5" customHeight="1">
      <c r="A243" s="36" t="s">
        <v>55</v>
      </c>
      <c r="B243" s="37" t="s">
        <v>198</v>
      </c>
      <c r="C243" s="8"/>
      <c r="D243" s="28"/>
      <c r="E243" s="8" t="s">
        <v>247</v>
      </c>
      <c r="F243" s="34">
        <f>'[1]Місто'!$F$489</f>
        <v>128410</v>
      </c>
      <c r="G243" s="13">
        <f t="shared" si="10"/>
        <v>128410</v>
      </c>
    </row>
    <row r="244" spans="1:7" s="35" customFormat="1" ht="47.25">
      <c r="A244" s="69" t="s">
        <v>61</v>
      </c>
      <c r="B244" s="71" t="s">
        <v>76</v>
      </c>
      <c r="C244" s="8" t="s">
        <v>246</v>
      </c>
      <c r="D244" s="28">
        <f>'[1]Місто'!$C$492</f>
        <v>195238</v>
      </c>
      <c r="E244" s="8"/>
      <c r="F244" s="13"/>
      <c r="G244" s="13">
        <f t="shared" si="10"/>
        <v>195238</v>
      </c>
    </row>
    <row r="245" spans="1:7" s="35" customFormat="1" ht="21" customHeight="1" hidden="1">
      <c r="A245" s="77"/>
      <c r="B245" s="76"/>
      <c r="C245" s="8"/>
      <c r="D245" s="28"/>
      <c r="E245" s="8"/>
      <c r="F245" s="13"/>
      <c r="G245" s="13"/>
    </row>
    <row r="246" spans="1:7" s="35" customFormat="1" ht="63">
      <c r="A246" s="77"/>
      <c r="B246" s="76"/>
      <c r="C246" s="8" t="s">
        <v>258</v>
      </c>
      <c r="D246" s="28">
        <f>'[1]Місто'!$C$493</f>
        <v>1000</v>
      </c>
      <c r="E246" s="8"/>
      <c r="F246" s="13"/>
      <c r="G246" s="13">
        <f t="shared" si="10"/>
        <v>1000</v>
      </c>
    </row>
    <row r="247" spans="1:7" s="35" customFormat="1" ht="63">
      <c r="A247" s="77"/>
      <c r="B247" s="76"/>
      <c r="C247" s="8" t="s">
        <v>257</v>
      </c>
      <c r="D247" s="28">
        <f>'[1]Місто'!$C$494</f>
        <v>63468</v>
      </c>
      <c r="E247" s="8"/>
      <c r="F247" s="13"/>
      <c r="G247" s="13">
        <f t="shared" si="10"/>
        <v>63468</v>
      </c>
    </row>
    <row r="248" spans="1:7" s="35" customFormat="1" ht="47.25">
      <c r="A248" s="77"/>
      <c r="B248" s="76"/>
      <c r="C248" s="8" t="s">
        <v>265</v>
      </c>
      <c r="D248" s="28">
        <f>'[1]Місто'!$C$495</f>
        <v>12424</v>
      </c>
      <c r="E248" s="8"/>
      <c r="F248" s="13"/>
      <c r="G248" s="13">
        <f t="shared" si="10"/>
        <v>12424</v>
      </c>
    </row>
    <row r="249" spans="1:7" s="35" customFormat="1" ht="63">
      <c r="A249" s="70"/>
      <c r="B249" s="72"/>
      <c r="C249" s="8" t="s">
        <v>278</v>
      </c>
      <c r="D249" s="28">
        <f>'[1]Місто'!$C$496</f>
        <v>20000</v>
      </c>
      <c r="E249" s="8"/>
      <c r="F249" s="13"/>
      <c r="G249" s="13">
        <f t="shared" si="10"/>
        <v>20000</v>
      </c>
    </row>
    <row r="250" spans="1:7" s="56" customFormat="1" ht="31.5">
      <c r="A250" s="41" t="s">
        <v>116</v>
      </c>
      <c r="B250" s="42" t="s">
        <v>31</v>
      </c>
      <c r="C250" s="42"/>
      <c r="D250" s="43">
        <f>SUM(D251:D259)</f>
        <v>822631</v>
      </c>
      <c r="E250" s="42"/>
      <c r="F250" s="43">
        <f>SUM(F251:F258)</f>
        <v>1218631</v>
      </c>
      <c r="G250" s="47">
        <f>SUM(G251:G258)</f>
        <v>2021262</v>
      </c>
    </row>
    <row r="251" spans="1:7" s="56" customFormat="1" ht="49.5" customHeight="1">
      <c r="A251" s="33" t="s">
        <v>142</v>
      </c>
      <c r="B251" s="32" t="s">
        <v>143</v>
      </c>
      <c r="C251" s="8"/>
      <c r="D251" s="28"/>
      <c r="E251" s="8" t="s">
        <v>239</v>
      </c>
      <c r="F251" s="34">
        <v>2896</v>
      </c>
      <c r="G251" s="34">
        <f>D251+F251</f>
        <v>2896</v>
      </c>
    </row>
    <row r="252" spans="1:7" s="56" customFormat="1" ht="49.5" customHeight="1">
      <c r="A252" s="33" t="s">
        <v>68</v>
      </c>
      <c r="B252" s="32" t="s">
        <v>69</v>
      </c>
      <c r="C252" s="8"/>
      <c r="D252" s="28"/>
      <c r="E252" s="8" t="s">
        <v>274</v>
      </c>
      <c r="F252" s="34">
        <f>'[1]Місто'!$F$503</f>
        <v>1145573</v>
      </c>
      <c r="G252" s="34">
        <f>D252+F252</f>
        <v>1145573</v>
      </c>
    </row>
    <row r="253" spans="1:7" s="35" customFormat="1" ht="48" customHeight="1">
      <c r="A253" s="33" t="s">
        <v>78</v>
      </c>
      <c r="B253" s="32" t="s">
        <v>79</v>
      </c>
      <c r="C253" s="8" t="s">
        <v>274</v>
      </c>
      <c r="D253" s="28">
        <f>'[1]Місто'!$C$501</f>
        <v>713893</v>
      </c>
      <c r="E253" s="8" t="s">
        <v>274</v>
      </c>
      <c r="F253" s="34">
        <f>'[1]Місто'!$F$501</f>
        <v>20000</v>
      </c>
      <c r="G253" s="13">
        <f t="shared" si="10"/>
        <v>733893</v>
      </c>
    </row>
    <row r="254" spans="1:7" s="35" customFormat="1" ht="69.75" customHeight="1">
      <c r="A254" s="36" t="s">
        <v>55</v>
      </c>
      <c r="B254" s="37" t="s">
        <v>198</v>
      </c>
      <c r="C254" s="8"/>
      <c r="D254" s="28"/>
      <c r="E254" s="8" t="s">
        <v>247</v>
      </c>
      <c r="F254" s="34">
        <f>'[1]Місто'!$F$505</f>
        <v>50162</v>
      </c>
      <c r="G254" s="13">
        <f t="shared" si="10"/>
        <v>50162</v>
      </c>
    </row>
    <row r="255" spans="1:7" s="35" customFormat="1" ht="47.25">
      <c r="A255" s="69" t="s">
        <v>61</v>
      </c>
      <c r="B255" s="71" t="s">
        <v>76</v>
      </c>
      <c r="C255" s="8" t="s">
        <v>246</v>
      </c>
      <c r="D255" s="28">
        <f>'[1]Місто'!$C$508</f>
        <v>57447</v>
      </c>
      <c r="E255" s="8"/>
      <c r="F255" s="13"/>
      <c r="G255" s="13">
        <f t="shared" si="10"/>
        <v>57447</v>
      </c>
    </row>
    <row r="256" spans="1:7" s="35" customFormat="1" ht="30.75" customHeight="1" hidden="1">
      <c r="A256" s="77"/>
      <c r="B256" s="76"/>
      <c r="C256" s="8"/>
      <c r="D256" s="28"/>
      <c r="E256" s="8"/>
      <c r="F256" s="13"/>
      <c r="G256" s="13">
        <f aca="true" t="shared" si="11" ref="G256:G264">D256+F256</f>
        <v>0</v>
      </c>
    </row>
    <row r="257" spans="1:7" s="35" customFormat="1" ht="63">
      <c r="A257" s="77"/>
      <c r="B257" s="76"/>
      <c r="C257" s="8" t="s">
        <v>257</v>
      </c>
      <c r="D257" s="28">
        <f>'[1]Місто'!$C$510</f>
        <v>22955</v>
      </c>
      <c r="E257" s="8"/>
      <c r="F257" s="13"/>
      <c r="G257" s="13">
        <f t="shared" si="11"/>
        <v>22955</v>
      </c>
    </row>
    <row r="258" spans="1:7" s="35" customFormat="1" ht="47.25">
      <c r="A258" s="77"/>
      <c r="B258" s="76"/>
      <c r="C258" s="8" t="s">
        <v>265</v>
      </c>
      <c r="D258" s="28">
        <f>'[1]Місто'!$C$511</f>
        <v>8336</v>
      </c>
      <c r="E258" s="8"/>
      <c r="F258" s="13"/>
      <c r="G258" s="13">
        <f t="shared" si="11"/>
        <v>8336</v>
      </c>
    </row>
    <row r="259" spans="1:7" s="35" customFormat="1" ht="63">
      <c r="A259" s="70"/>
      <c r="B259" s="72"/>
      <c r="C259" s="8" t="s">
        <v>278</v>
      </c>
      <c r="D259" s="28">
        <f>'[1]Місто'!$C$512</f>
        <v>20000</v>
      </c>
      <c r="E259" s="8"/>
      <c r="F259" s="13"/>
      <c r="G259" s="13">
        <f t="shared" si="11"/>
        <v>20000</v>
      </c>
    </row>
    <row r="260" spans="1:7" s="35" customFormat="1" ht="46.5" customHeight="1">
      <c r="A260" s="41" t="s">
        <v>117</v>
      </c>
      <c r="B260" s="42" t="s">
        <v>32</v>
      </c>
      <c r="C260" s="8"/>
      <c r="D260" s="43">
        <f>SUM(D261:D268)</f>
        <v>755175</v>
      </c>
      <c r="E260" s="8"/>
      <c r="F260" s="43">
        <f>SUM(F261:F267)</f>
        <v>146388</v>
      </c>
      <c r="G260" s="43">
        <f>SUM(G261:G267)</f>
        <v>881563</v>
      </c>
    </row>
    <row r="261" spans="1:7" s="35" customFormat="1" ht="52.5" customHeight="1">
      <c r="A261" s="33" t="s">
        <v>142</v>
      </c>
      <c r="B261" s="32" t="s">
        <v>143</v>
      </c>
      <c r="C261" s="8"/>
      <c r="D261" s="28"/>
      <c r="E261" s="8" t="s">
        <v>239</v>
      </c>
      <c r="F261" s="34">
        <v>146388</v>
      </c>
      <c r="G261" s="34">
        <f>D261+F261</f>
        <v>146388</v>
      </c>
    </row>
    <row r="262" spans="1:7" s="35" customFormat="1" ht="45.75" customHeight="1">
      <c r="A262" s="33" t="s">
        <v>78</v>
      </c>
      <c r="B262" s="32" t="s">
        <v>79</v>
      </c>
      <c r="C262" s="8" t="s">
        <v>274</v>
      </c>
      <c r="D262" s="28">
        <f>'[1]Місто'!$C$517</f>
        <v>586283</v>
      </c>
      <c r="E262" s="8"/>
      <c r="F262" s="34">
        <f>'[1]Місто'!$F$517</f>
        <v>0</v>
      </c>
      <c r="G262" s="13">
        <f t="shared" si="11"/>
        <v>586283</v>
      </c>
    </row>
    <row r="263" spans="1:7" s="35" customFormat="1" ht="47.25">
      <c r="A263" s="69" t="s">
        <v>61</v>
      </c>
      <c r="B263" s="71" t="s">
        <v>76</v>
      </c>
      <c r="C263" s="8" t="s">
        <v>246</v>
      </c>
      <c r="D263" s="28">
        <f>'[1]Місто'!$C$522</f>
        <v>80392</v>
      </c>
      <c r="E263" s="8"/>
      <c r="F263" s="13"/>
      <c r="G263" s="13">
        <f t="shared" si="11"/>
        <v>80392</v>
      </c>
    </row>
    <row r="264" spans="1:7" s="35" customFormat="1" ht="15.75" customHeight="1" hidden="1">
      <c r="A264" s="77"/>
      <c r="B264" s="76"/>
      <c r="C264" s="8"/>
      <c r="D264" s="28"/>
      <c r="E264" s="8"/>
      <c r="F264" s="34">
        <f>'[1]Місто'!$F$524</f>
        <v>0</v>
      </c>
      <c r="G264" s="13">
        <f t="shared" si="11"/>
        <v>0</v>
      </c>
    </row>
    <row r="265" spans="1:7" s="35" customFormat="1" ht="63">
      <c r="A265" s="77"/>
      <c r="B265" s="76"/>
      <c r="C265" s="8" t="s">
        <v>257</v>
      </c>
      <c r="D265" s="28">
        <f>'[1]Місто'!$C$523</f>
        <v>60000</v>
      </c>
      <c r="E265" s="8"/>
      <c r="F265" s="13"/>
      <c r="G265" s="34">
        <f>D265+F265</f>
        <v>60000</v>
      </c>
    </row>
    <row r="266" spans="1:7" s="35" customFormat="1" ht="47.25">
      <c r="A266" s="77"/>
      <c r="B266" s="76"/>
      <c r="C266" s="8" t="s">
        <v>265</v>
      </c>
      <c r="D266" s="28">
        <f>'[1]Місто'!$C$524</f>
        <v>8500</v>
      </c>
      <c r="E266" s="8"/>
      <c r="F266" s="13"/>
      <c r="G266" s="34">
        <f>D266+F266</f>
        <v>8500</v>
      </c>
    </row>
    <row r="267" spans="1:7" s="35" customFormat="1" ht="24.75" customHeight="1" hidden="1">
      <c r="A267" s="77"/>
      <c r="B267" s="76"/>
      <c r="C267" s="8"/>
      <c r="D267" s="9"/>
      <c r="E267" s="8"/>
      <c r="F267" s="13"/>
      <c r="G267" s="34">
        <f>D267+F267</f>
        <v>0</v>
      </c>
    </row>
    <row r="268" spans="1:7" s="35" customFormat="1" ht="63">
      <c r="A268" s="70"/>
      <c r="B268" s="72"/>
      <c r="C268" s="8" t="s">
        <v>278</v>
      </c>
      <c r="D268" s="28">
        <f>'[1]Місто'!$C$525</f>
        <v>20000</v>
      </c>
      <c r="E268" s="8"/>
      <c r="F268" s="13"/>
      <c r="G268" s="34">
        <f>D268+F268</f>
        <v>20000</v>
      </c>
    </row>
    <row r="269" spans="1:7" s="57" customFormat="1" ht="15.75">
      <c r="A269" s="42"/>
      <c r="B269" s="42" t="s">
        <v>50</v>
      </c>
      <c r="C269" s="42"/>
      <c r="D269" s="47">
        <f>D11+D29+D64+D82+D103+D105+D107+D123+D128+D130+D152+D155+D160+D162+D165+D169+D177+D181+D187+D195+D207+D218+D229+D238+D250+D260+D192+D149</f>
        <v>244623739</v>
      </c>
      <c r="E269" s="46"/>
      <c r="F269" s="47">
        <f>F11+F29+F64+F82+F103+F105+F107+F123+F128+F130+F152+F155+F160+F162+F165+F169+F177+F181+F187+F195+F207+F218+F229+F238+F250+F260+F192+F149</f>
        <v>349755968</v>
      </c>
      <c r="G269" s="47">
        <f>F269+D269</f>
        <v>594379707</v>
      </c>
    </row>
    <row r="270" spans="1:7" ht="15" customHeight="1">
      <c r="A270" s="1"/>
      <c r="B270" s="1"/>
      <c r="C270" s="1"/>
      <c r="D270" s="1"/>
      <c r="E270" s="1"/>
      <c r="F270" s="1"/>
      <c r="G270" s="1"/>
    </row>
    <row r="271" spans="1:6" s="16" customFormat="1" ht="35.25" customHeight="1">
      <c r="A271" s="78" t="s">
        <v>181</v>
      </c>
      <c r="B271" s="78"/>
      <c r="C271" s="23"/>
      <c r="D271" s="24"/>
      <c r="E271" s="25"/>
      <c r="F271" s="25" t="s">
        <v>182</v>
      </c>
    </row>
    <row r="272" spans="4:6" ht="18" customHeight="1">
      <c r="D272" s="14">
        <f>D13+D22+D23+D25+D27+D28+D40+D41+D52+D58+D84+D92+D94+D99+D101+D102+D116+D126+D127+D132+D133+D139+D147+D154+D157+D158+D159+D171+D175+D176+D179+D180+D186+D189+D191+D197+D200+D202+D203+D209+D213+D215+D216+D220+D223+D225+D226+D231+D233+D235+D236+D240+D244+D246+D247+D248+D253+D255+D257+D258+D262+D263+D265+D201+D224+D234+D95+D242+D134+D140+D50+D168+D266+D206+D217+D228+D237+D249+D259+D268+D93</f>
        <v>202851642</v>
      </c>
      <c r="F272" s="14"/>
    </row>
    <row r="273" spans="4:6" ht="18" customHeight="1">
      <c r="D273" s="2">
        <f>'[2]свод'!$D$111*1000</f>
        <v>202851642</v>
      </c>
      <c r="F273" s="2">
        <f>'[2]свод'!$D$123*1000+494759-'[2]свод'!$D$197*1000</f>
        <v>403225286.99999994</v>
      </c>
    </row>
    <row r="274" spans="4:9" ht="18" customHeight="1">
      <c r="D274" s="14">
        <f>D273-D272</f>
        <v>0</v>
      </c>
      <c r="F274" s="66">
        <f>F273-F269</f>
        <v>53469318.99999994</v>
      </c>
      <c r="G274" s="67">
        <f>'[2]свод'!$D$203*1000</f>
        <v>55763578</v>
      </c>
      <c r="H274" s="66">
        <f>G274-F274</f>
        <v>2294259.0000000596</v>
      </c>
      <c r="I274" s="68">
        <f>-I292-H274</f>
        <v>-5.8673322200775146E-08</v>
      </c>
    </row>
    <row r="275" spans="4:9" ht="18" customHeight="1">
      <c r="D275" s="14"/>
      <c r="E275" s="2">
        <v>10116</v>
      </c>
      <c r="F275" s="14">
        <f>F12+F83+F124+F129+F131+F153+F163+F182+F251+F261</f>
        <v>2911486</v>
      </c>
      <c r="H275" s="2">
        <f>('[2]свод'!$D$138+'[2]свод'!$D$171)*1000</f>
        <v>2986274</v>
      </c>
      <c r="I275" s="14">
        <f>H275-F275</f>
        <v>74788</v>
      </c>
    </row>
    <row r="276" spans="4:9" ht="18" customHeight="1">
      <c r="D276" s="14"/>
      <c r="E276" s="2">
        <v>70000</v>
      </c>
      <c r="F276" s="14">
        <f>F31+F32+F33+F36+F37+F38+F39+F40+F41+F50</f>
        <v>7698759</v>
      </c>
      <c r="H276" s="2">
        <f>('[2]свод'!$D$139+'[2]свод'!$D$172)*1000</f>
        <v>7193808.999999999</v>
      </c>
      <c r="I276" s="14">
        <f>H276-F276</f>
        <v>-504950.00000000093</v>
      </c>
    </row>
    <row r="277" spans="4:9" ht="15.75">
      <c r="D277" s="14"/>
      <c r="E277" s="2">
        <v>80000</v>
      </c>
      <c r="F277" s="14">
        <f>F66+F67+F68+F69+F70+F71+F72+F73+F74+F75+F76+F78</f>
        <v>11788778</v>
      </c>
      <c r="H277" s="2">
        <f>('[2]свод'!$D$143+'[2]свод'!$D$175)*1000</f>
        <v>11247207</v>
      </c>
      <c r="I277" s="14">
        <f>H277-F277</f>
        <v>-541571</v>
      </c>
    </row>
    <row r="278" spans="3:9" ht="15.75">
      <c r="C278" s="5"/>
      <c r="E278" s="2">
        <v>90000</v>
      </c>
      <c r="F278" s="14">
        <f>F51+F52+F85+F86+F88+F89+F91+F92+F93+F94+F95+F132</f>
        <v>1204173</v>
      </c>
      <c r="H278" s="2">
        <f>('[2]свод'!$D$145+'[2]свод'!$D$147+'[2]свод'!$D$149+'[2]свод'!$D$178)*1000</f>
        <v>1204173</v>
      </c>
      <c r="I278" s="14">
        <f>H278-F278</f>
        <v>0</v>
      </c>
    </row>
    <row r="279" spans="5:9" ht="15.75">
      <c r="E279" s="2">
        <v>100102</v>
      </c>
      <c r="F279" s="14">
        <f>F135+F137</f>
        <v>57364941</v>
      </c>
      <c r="H279" s="2">
        <f>('[2]свод'!$D$135+'[2]свод'!$D$165)*1000</f>
        <v>57364941</v>
      </c>
      <c r="I279" s="14">
        <f>H279-F279</f>
        <v>0</v>
      </c>
    </row>
    <row r="280" spans="5:9" ht="15.75">
      <c r="E280" s="2">
        <v>100106</v>
      </c>
      <c r="F280" s="14">
        <f>F138</f>
        <v>483781</v>
      </c>
      <c r="I280" s="14"/>
    </row>
    <row r="281" spans="5:9" ht="15.75">
      <c r="E281" s="2">
        <v>100203</v>
      </c>
      <c r="F281" s="14">
        <f>F139+F140+F197+F209+F220+F231+F240+F241+F253+F262+F210</f>
        <v>3867497</v>
      </c>
      <c r="H281" s="2">
        <f>('[2]свод'!$D$133+'[2]свод'!$D$168)*1000</f>
        <v>3744201</v>
      </c>
      <c r="I281" s="14">
        <f aca="true" t="shared" si="12" ref="I281:I291">H281-F281</f>
        <v>-123296</v>
      </c>
    </row>
    <row r="282" spans="5:9" ht="15.75">
      <c r="E282" s="2">
        <v>110000</v>
      </c>
      <c r="F282" s="14">
        <f>F109+F110+F111+F112+F113+F114+F115+F116+F117+F118+F119+F121</f>
        <v>5516339</v>
      </c>
      <c r="H282" s="2">
        <f>('[2]свод'!$D$150+'[2]свод'!$D$180)*1000</f>
        <v>4491674</v>
      </c>
      <c r="I282" s="14">
        <f t="shared" si="12"/>
        <v>-1024665</v>
      </c>
    </row>
    <row r="283" spans="5:9" ht="15.75">
      <c r="E283" s="2">
        <v>120000</v>
      </c>
      <c r="F283" s="14">
        <f>F13+F14+F171</f>
        <v>55800</v>
      </c>
      <c r="H283" s="2">
        <f>('[2]свод'!$D$152+'[2]свод'!$D$182)*1000</f>
        <v>55800</v>
      </c>
      <c r="I283" s="14">
        <f t="shared" si="12"/>
        <v>0</v>
      </c>
    </row>
    <row r="284" spans="5:9" ht="15.75">
      <c r="E284" s="2">
        <v>130000</v>
      </c>
      <c r="F284" s="14">
        <f>F53+F54+F55+F56+F57+F58</f>
        <v>86580</v>
      </c>
      <c r="H284" s="2">
        <f>('[2]свод'!$D$141+'[2]свод'!$D$184)*1000</f>
        <v>44500</v>
      </c>
      <c r="I284" s="14">
        <f t="shared" si="12"/>
        <v>-42080</v>
      </c>
    </row>
    <row r="285" spans="5:9" ht="15.75">
      <c r="E285" s="2">
        <v>150000</v>
      </c>
      <c r="F285" s="14">
        <f>F15+F19+F59+F60+F61+F79+F96+F97+F122+F125+F141+F142+F183+F184+F221+F232+F252</f>
        <v>121698101</v>
      </c>
      <c r="H285" s="2">
        <f>('[2]свод'!$D$128+'[2]свод'!$D$186)*1000</f>
        <v>121698101</v>
      </c>
      <c r="I285" s="14">
        <f t="shared" si="12"/>
        <v>0</v>
      </c>
    </row>
    <row r="286" spans="5:9" ht="15.75">
      <c r="E286" s="2">
        <v>160000</v>
      </c>
      <c r="F286" s="14">
        <f>F164</f>
        <v>1707056</v>
      </c>
      <c r="H286" s="2">
        <f>'[2]свод'!$D$202*1000</f>
        <v>1707056</v>
      </c>
      <c r="I286" s="14">
        <f t="shared" si="12"/>
        <v>0</v>
      </c>
    </row>
    <row r="287" spans="5:9" ht="15.75">
      <c r="E287" s="2">
        <v>170000</v>
      </c>
      <c r="F287" s="14">
        <f>F99+F101+F102+F143+F175</f>
        <v>44254981</v>
      </c>
      <c r="H287" s="2">
        <f>'[2]свод'!$D$198*1000</f>
        <v>44254981</v>
      </c>
      <c r="I287" s="14">
        <f t="shared" si="12"/>
        <v>0</v>
      </c>
    </row>
    <row r="288" spans="5:9" ht="15.75">
      <c r="E288" s="2">
        <v>180000</v>
      </c>
      <c r="F288" s="14">
        <f>F127+F145+F173+F174</f>
        <v>16465254</v>
      </c>
      <c r="H288" s="2">
        <f>('[2]свод'!$D$132*1000)</f>
        <v>16465254</v>
      </c>
      <c r="I288" s="14">
        <f t="shared" si="12"/>
        <v>0</v>
      </c>
    </row>
    <row r="289" spans="5:9" ht="15.75">
      <c r="E289" s="2">
        <v>210000</v>
      </c>
      <c r="F289" s="14">
        <f>F179+F180+F185</f>
        <v>27055024</v>
      </c>
      <c r="H289" s="2">
        <f>('[2]свод'!$D$154+'[2]свод'!$D$189)*1000</f>
        <v>26922539</v>
      </c>
      <c r="I289" s="14">
        <f t="shared" si="12"/>
        <v>-132485</v>
      </c>
    </row>
    <row r="290" spans="5:9" ht="15.75">
      <c r="E290" s="2">
        <v>240000</v>
      </c>
      <c r="F290" s="14">
        <f>F20+F62+F146+F167+F199+F212+F222+F243+F254</f>
        <v>45389027</v>
      </c>
      <c r="H290" s="2">
        <f>('[2]свод'!$D$200+'[2]свод'!$D$204)*1000</f>
        <v>45389027</v>
      </c>
      <c r="I290" s="14">
        <f t="shared" si="12"/>
        <v>0</v>
      </c>
    </row>
    <row r="291" spans="5:9" ht="15.75">
      <c r="E291" s="2">
        <v>250000</v>
      </c>
      <c r="F291" s="14">
        <f>F22+F23+F25+F27+F28+F63+F126+F147+F154+F176+F186+F191+F200+F201+F202+F203+F213+F215+F216+F223+F224+F225+F226+F233+F234+F235+F236+F244+F246+F247+F248+F255+F257+F258+F263+F265</f>
        <v>2208391</v>
      </c>
      <c r="H291" s="2">
        <f>('[2]свод'!$D$155+'[2]свод'!$D$191)*1000+494759</f>
        <v>2208391</v>
      </c>
      <c r="I291" s="14">
        <f t="shared" si="12"/>
        <v>0</v>
      </c>
    </row>
    <row r="292" spans="5:9" ht="15.75">
      <c r="E292" s="11" t="s">
        <v>50</v>
      </c>
      <c r="F292" s="14">
        <f>SUM(F275:F291)</f>
        <v>349755968</v>
      </c>
      <c r="H292" s="14">
        <f>SUM(H275:H291)</f>
        <v>346977928</v>
      </c>
      <c r="I292" s="14">
        <f>SUM(I275:I291)</f>
        <v>-2294259.000000001</v>
      </c>
    </row>
    <row r="294" spans="3:6" ht="15.75">
      <c r="C294" s="2" t="s">
        <v>277</v>
      </c>
      <c r="D294" s="14">
        <f>D27+D32+D37+D50+D56+D69+D71+D73+D91+D93+D95+D111+D113+D134+D140</f>
        <v>4194236</v>
      </c>
      <c r="F294" s="14">
        <f>F14+F32+F37+F39+F50+F56+F69+F71+F73+F75+F91+F93+F111+F113+F115+F121+F137+F140+F142+F210+F241</f>
        <v>3643285</v>
      </c>
    </row>
    <row r="295" spans="4:7" ht="15.75">
      <c r="D295" s="14">
        <f>4500000-D294</f>
        <v>305764</v>
      </c>
      <c r="F295" s="14">
        <f>F294-D295</f>
        <v>3337521</v>
      </c>
      <c r="G295" s="2">
        <v>3337521</v>
      </c>
    </row>
    <row r="296" ht="15.75">
      <c r="G296" s="14">
        <f>G295-F295</f>
        <v>0</v>
      </c>
    </row>
  </sheetData>
  <sheetProtection/>
  <mergeCells count="83">
    <mergeCell ref="A209:A210"/>
    <mergeCell ref="B209:B210"/>
    <mergeCell ref="A263:A268"/>
    <mergeCell ref="B263:B268"/>
    <mergeCell ref="A244:A249"/>
    <mergeCell ref="B244:B249"/>
    <mergeCell ref="A255:A259"/>
    <mergeCell ref="B255:B259"/>
    <mergeCell ref="A112:A113"/>
    <mergeCell ref="B112:B113"/>
    <mergeCell ref="B94:B95"/>
    <mergeCell ref="A223:A228"/>
    <mergeCell ref="B223:B228"/>
    <mergeCell ref="B173:B174"/>
    <mergeCell ref="A133:A134"/>
    <mergeCell ref="B133:B134"/>
    <mergeCell ref="A139:A140"/>
    <mergeCell ref="B139:B140"/>
    <mergeCell ref="C189:C191"/>
    <mergeCell ref="A240:A241"/>
    <mergeCell ref="B240:B241"/>
    <mergeCell ref="A173:A174"/>
    <mergeCell ref="A200:A206"/>
    <mergeCell ref="B200:B206"/>
    <mergeCell ref="A213:A217"/>
    <mergeCell ref="B213:B217"/>
    <mergeCell ref="A233:A237"/>
    <mergeCell ref="B233:B237"/>
    <mergeCell ref="A96:A97"/>
    <mergeCell ref="B96:B97"/>
    <mergeCell ref="B72:B73"/>
    <mergeCell ref="A72:A73"/>
    <mergeCell ref="A88:A91"/>
    <mergeCell ref="B88:B91"/>
    <mergeCell ref="A94:A95"/>
    <mergeCell ref="A92:A93"/>
    <mergeCell ref="B92:B93"/>
    <mergeCell ref="B66:B69"/>
    <mergeCell ref="B59:B61"/>
    <mergeCell ref="A31:A32"/>
    <mergeCell ref="B31:B32"/>
    <mergeCell ref="A55:A56"/>
    <mergeCell ref="B55:B56"/>
    <mergeCell ref="B8:B9"/>
    <mergeCell ref="C8:D8"/>
    <mergeCell ref="B13:B14"/>
    <mergeCell ref="A157:A159"/>
    <mergeCell ref="B157:B159"/>
    <mergeCell ref="A33:A37"/>
    <mergeCell ref="B33:B37"/>
    <mergeCell ref="B80:B81"/>
    <mergeCell ref="A70:A71"/>
    <mergeCell ref="B70:B71"/>
    <mergeCell ref="A271:B271"/>
    <mergeCell ref="A5:G5"/>
    <mergeCell ref="C15:C18"/>
    <mergeCell ref="A15:A18"/>
    <mergeCell ref="B22:B28"/>
    <mergeCell ref="A22:A28"/>
    <mergeCell ref="A13:A14"/>
    <mergeCell ref="B40:B50"/>
    <mergeCell ref="E8:F8"/>
    <mergeCell ref="B15:B18"/>
    <mergeCell ref="A135:A137"/>
    <mergeCell ref="B135:B137"/>
    <mergeCell ref="A110:A111"/>
    <mergeCell ref="A59:A61"/>
    <mergeCell ref="A99:A100"/>
    <mergeCell ref="B98:B100"/>
    <mergeCell ref="B110:B111"/>
    <mergeCell ref="A114:A115"/>
    <mergeCell ref="B114:B115"/>
    <mergeCell ref="A66:A69"/>
    <mergeCell ref="A141:A142"/>
    <mergeCell ref="B141:B142"/>
    <mergeCell ref="A38:A39"/>
    <mergeCell ref="B38:B39"/>
    <mergeCell ref="A117:A121"/>
    <mergeCell ref="B117:B121"/>
    <mergeCell ref="A74:A75"/>
    <mergeCell ref="B74:B75"/>
    <mergeCell ref="A80:A81"/>
    <mergeCell ref="A40:A50"/>
  </mergeCells>
  <printOptions/>
  <pageMargins left="0.3937007874015748" right="0.2362204724409449" top="0.65" bottom="0.26" header="0.43" footer="0.23"/>
  <pageSetup fitToHeight="15" fitToWidth="1" horizontalDpi="600" verticalDpi="600" orientation="landscape" paperSize="9" scale="61" r:id="rId1"/>
  <headerFooter alignWithMargins="0">
    <oddHeader>&amp;C&amp;P</oddHeader>
  </headerFooter>
  <rowBreaks count="1" manualBreakCount="1">
    <brk id="2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2013-04-08T14:27:10Z</cp:lastPrinted>
  <dcterms:created xsi:type="dcterms:W3CDTF">1996-10-08T23:32:33Z</dcterms:created>
  <dcterms:modified xsi:type="dcterms:W3CDTF">2013-04-08T14:27:12Z</dcterms:modified>
  <cp:category/>
  <cp:version/>
  <cp:contentType/>
  <cp:contentStatus/>
</cp:coreProperties>
</file>