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Area" localSheetId="0">'лист'!$A$1:$G$305</definedName>
  </definedNames>
  <calcPr fullCalcOnLoad="1"/>
</workbook>
</file>

<file path=xl/sharedStrings.xml><?xml version="1.0" encoding="utf-8"?>
<sst xmlns="http://schemas.openxmlformats.org/spreadsheetml/2006/main" count="642" uniqueCount="289">
  <si>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</si>
  <si>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</si>
  <si>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</si>
  <si>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</si>
  <si>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</si>
  <si>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</si>
  <si>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</si>
  <si>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</si>
  <si>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</si>
  <si>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</si>
  <si>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</si>
  <si>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</si>
  <si>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</si>
  <si>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</si>
  <si>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</si>
  <si>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</si>
  <si>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</si>
  <si>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</si>
  <si>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</si>
  <si>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</si>
  <si>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</si>
  <si>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</si>
  <si>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</si>
  <si>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</si>
  <si>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</si>
  <si>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</si>
  <si>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</si>
  <si>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</si>
  <si>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</si>
  <si>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</si>
  <si>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</si>
  <si>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</si>
  <si>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</si>
  <si>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</si>
  <si>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</si>
  <si>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</si>
  <si>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</si>
  <si>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</si>
  <si>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</si>
  <si>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</si>
  <si>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</si>
  <si>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</si>
  <si>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</si>
  <si>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</si>
  <si>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</si>
  <si>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</si>
  <si>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</si>
  <si>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</si>
  <si>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</si>
  <si>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</si>
  <si>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</si>
  <si>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</si>
  <si>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</si>
  <si>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</si>
  <si>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</si>
  <si>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</si>
  <si>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</si>
  <si>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</si>
  <si>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</si>
  <si>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</si>
  <si>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</si>
  <si>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</si>
  <si>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</si>
  <si>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</si>
  <si>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</si>
  <si>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</si>
  <si>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</si>
  <si>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</si>
  <si>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</si>
  <si>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</si>
  <si>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</si>
  <si>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</si>
  <si>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</si>
  <si>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</si>
  <si>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</si>
  <si>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</si>
  <si>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</si>
  <si>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</si>
  <si>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</si>
  <si>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</si>
  <si>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</si>
  <si>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</si>
  <si>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</si>
  <si>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</si>
  <si>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</si>
  <si>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</si>
  <si>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</si>
  <si>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</si>
  <si>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</si>
  <si>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</si>
  <si>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</si>
  <si>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</si>
  <si>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</si>
  <si>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</si>
  <si>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</si>
  <si>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</si>
  <si>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</si>
  <si>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</si>
  <si>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</si>
  <si>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</si>
  <si>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</si>
  <si>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</si>
  <si>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</si>
  <si>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</si>
  <si>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</si>
  <si>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</si>
  <si>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</si>
  <si>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</si>
  <si>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</si>
  <si>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</si>
  <si>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</si>
  <si>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</si>
  <si>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</si>
  <si>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</si>
  <si>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</si>
  <si>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</si>
  <si>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</si>
  <si>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</si>
  <si>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</si>
  <si>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</si>
  <si>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</si>
  <si>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</si>
  <si>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</si>
  <si>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</si>
  <si>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</si>
  <si>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</si>
  <si>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</si>
  <si>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</si>
  <si>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</si>
  <si>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</si>
  <si>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</si>
  <si>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</si>
  <si>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</si>
  <si>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</si>
  <si>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</si>
  <si>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</si>
  <si>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</si>
  <si>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</si>
  <si>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</si>
  <si>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</si>
  <si>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</si>
  <si>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</si>
  <si>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</si>
  <si>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</si>
  <si>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</si>
  <si>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</si>
  <si>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</si>
  <si>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</si>
  <si>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</si>
  <si>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</si>
  <si>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</si>
  <si>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</si>
  <si>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</si>
  <si>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</si>
  <si>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</si>
  <si>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</si>
  <si>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</si>
  <si>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</si>
  <si>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</si>
  <si>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</si>
  <si>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</si>
  <si>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</si>
  <si>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</si>
  <si>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</si>
  <si>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</si>
  <si>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</si>
  <si>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</si>
  <si>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</si>
  <si>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</si>
  <si>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</si>
  <si>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</si>
  <si>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</si>
  <si>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</si>
  <si>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</si>
  <si>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</si>
  <si>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</si>
  <si>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</si>
  <si>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</si>
  <si>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</si>
  <si>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</si>
  <si>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</si>
  <si>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</si>
  <si>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</si>
  <si>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</si>
  <si>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</si>
  <si>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</si>
  <si>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</si>
  <si>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</si>
  <si>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</si>
  <si>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</si>
  <si>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</si>
  <si>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</si>
  <si>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</si>
  <si>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</si>
  <si>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</si>
  <si>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</si>
  <si>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</si>
  <si>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</si>
  <si>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</si>
  <si>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</si>
  <si>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</si>
  <si>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</si>
  <si>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</si>
  <si>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</si>
  <si>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</si>
  <si>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</si>
  <si>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</si>
  <si>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</si>
  <si>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</si>
  <si>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</si>
  <si>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</si>
  <si>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</si>
  <si>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</si>
  <si>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</si>
  <si>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</si>
  <si>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</si>
  <si>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</si>
  <si>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</si>
  <si>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</si>
  <si>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 14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</si>
  <si>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</si>
  <si>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</si>
  <si>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Програма "Розвитку ендопротезування великих суглобів в місті Запоріжжі на 2013-2017 роки"затверджена рішенням міської ради від 30.01.2013 № 21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</si>
  <si>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</si>
  <si>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</si>
  <si>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</si>
  <si>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</si>
  <si>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</si>
  <si>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</si>
  <si>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</si>
  <si>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</si>
  <si>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</si>
  <si>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"Загальноміські святкові заходи та акції на 2013 рік"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</si>
  <si>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</si>
  <si>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</si>
  <si>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</si>
  <si>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</si>
  <si>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Програма забезпечення проведення аукціонів з продажу права оренди та у власність земельних ділянок на території м.Запоріжжя у 2013-2015 роки, затверджена рішенням міської ради від 25.02.2013 № 29</t>
  </si>
  <si>
    <t>Програма створення та ведення містобудівного кадастру міста Запоріжжя на 2013-2015 роки, затверджена рішенням міської ради від 25.02.2013 № 28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</si>
  <si>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</si>
  <si>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</si>
  <si>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</si>
  <si>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</si>
  <si>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</si>
  <si>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Програма зайнятості населення міста Запоріжжя на 2012-2014 роки, затверджена рішенням міської ради від 27.12.2011 № 27</t>
  </si>
  <si>
    <t>Програма реконструкції ринку Соцміста КП "Запоріжринок" по вул.Рекордна, 2 м.Запоріжжя на 2013 рік, затверджена рішенням міської ради від 25.02.2013 № 20</t>
  </si>
  <si>
    <t>Програма розвитку земельних відносин у місті Запоріжжі на 2013 рік, затверджена рішенням міської ради від 25.02.2013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</si>
  <si>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</si>
  <si>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 xml:space="preserve">Програма "Про забезпечення екологічної безпеки міста на 2013-2015 роки", затверджена рішенням міської ради від 24.12.2012 № 23 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</si>
  <si>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</si>
  <si>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</si>
  <si>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</si>
  <si>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</si>
  <si>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</si>
  <si>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</si>
  <si>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 xml:space="preserve">Міська цільова програма роботи й розвитку газети Запорізької міської ради "Запорозька Січ", затверджена рішенням міської ради від 30.01.2013 № 14 </t>
  </si>
  <si>
    <t>100106</t>
  </si>
  <si>
    <t>Капітальний ремонт житлового фонду об'єднань співвласників багатоквартирних будинків</t>
  </si>
  <si>
    <t>Фінансова підтримка КНВП "Екоцентр" на погашення податкового боргу на 2013 рік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</si>
  <si>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</si>
  <si>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</si>
  <si>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</si>
  <si>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</si>
  <si>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</si>
  <si>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"Програма розвитку охорони здоров'я міста Запоріжжя" на період 2013-2017 років, затверджена рішенням міської ради від 30.01.2013 № 21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</si>
  <si>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</si>
  <si>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</si>
  <si>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</si>
  <si>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</si>
  <si>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</si>
  <si>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</si>
  <si>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Деп.фонд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</si>
  <si>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</si>
  <si>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</si>
  <si>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</si>
  <si>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</si>
  <si>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</si>
  <si>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</si>
  <si>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власні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</si>
  <si>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</si>
  <si>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</si>
  <si>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Програма зайнятості населення міста Запоріжжя на 2012-2014 роки, затверджена рішенням міської ради від 27.12.2011 № 27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</si>
  <si>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</si>
  <si>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бюдж.р. + 170703 + 240601 + 240900</t>
  </si>
  <si>
    <t>откл.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</si>
  <si>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</si>
  <si>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 38</t>
  </si>
  <si>
    <t>_______________</t>
  </si>
  <si>
    <t>№______________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</si>
</sst>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88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1" fillId="0" borderId="13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0" xfId="0" applyFont="1" applyAlignment="1">
      <alignment wrapText="1"/>
    </xf>
    <xf numFmtId="1" fontId="3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73;&#1077;&#1088;&#1077;&#1079;&#1077;&#1085;&#11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2;&#1074;&#1110;&#1090;&#1077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K11">
            <v>3329108</v>
          </cell>
        </row>
        <row r="16">
          <cell r="C16">
            <v>543041</v>
          </cell>
          <cell r="F16">
            <v>58800</v>
          </cell>
        </row>
        <row r="19">
          <cell r="F19">
            <v>2493637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220841</v>
          </cell>
          <cell r="G27">
            <v>220841</v>
          </cell>
        </row>
        <row r="32">
          <cell r="F32">
            <v>0</v>
          </cell>
        </row>
        <row r="33">
          <cell r="C33">
            <v>533153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675573</v>
          </cell>
        </row>
        <row r="38">
          <cell r="C38">
            <v>5151</v>
          </cell>
        </row>
        <row r="39">
          <cell r="K39">
            <v>32909733</v>
          </cell>
        </row>
        <row r="43">
          <cell r="J43">
            <v>2186791</v>
          </cell>
        </row>
        <row r="49">
          <cell r="C49">
            <v>29484967</v>
          </cell>
          <cell r="F49">
            <v>788118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C61">
            <v>0</v>
          </cell>
        </row>
        <row r="62">
          <cell r="C62">
            <v>576138</v>
          </cell>
        </row>
        <row r="63">
          <cell r="C63">
            <v>3483300</v>
          </cell>
        </row>
        <row r="65">
          <cell r="C65">
            <v>284901</v>
          </cell>
        </row>
        <row r="66">
          <cell r="C66">
            <v>81595</v>
          </cell>
        </row>
        <row r="69">
          <cell r="C69">
            <v>439800</v>
          </cell>
          <cell r="F69">
            <v>42080</v>
          </cell>
        </row>
        <row r="77">
          <cell r="F77">
            <v>372095</v>
          </cell>
        </row>
        <row r="79">
          <cell r="K79">
            <v>20944719</v>
          </cell>
        </row>
        <row r="83">
          <cell r="J83">
            <v>8497535</v>
          </cell>
        </row>
        <row r="85">
          <cell r="J85">
            <v>807520</v>
          </cell>
        </row>
        <row r="86">
          <cell r="J86">
            <v>2353107</v>
          </cell>
        </row>
        <row r="88">
          <cell r="J88">
            <v>177616</v>
          </cell>
        </row>
        <row r="92">
          <cell r="F92">
            <v>0</v>
          </cell>
        </row>
        <row r="93">
          <cell r="C93">
            <v>3161291</v>
          </cell>
        </row>
        <row r="95">
          <cell r="F95">
            <v>9650512</v>
          </cell>
        </row>
        <row r="100">
          <cell r="K100">
            <v>10027640</v>
          </cell>
        </row>
        <row r="102">
          <cell r="K102">
            <v>1285484</v>
          </cell>
        </row>
        <row r="151">
          <cell r="C151">
            <v>9420729</v>
          </cell>
        </row>
        <row r="155">
          <cell r="F155">
            <v>196550</v>
          </cell>
        </row>
        <row r="156">
          <cell r="C156">
            <v>204630</v>
          </cell>
        </row>
        <row r="158">
          <cell r="C158">
            <v>0</v>
          </cell>
        </row>
        <row r="159">
          <cell r="K159">
            <v>965123</v>
          </cell>
        </row>
        <row r="161">
          <cell r="C161">
            <v>849258</v>
          </cell>
        </row>
        <row r="165">
          <cell r="F165">
            <v>7381983</v>
          </cell>
        </row>
        <row r="167">
          <cell r="C167">
            <v>4980557</v>
          </cell>
        </row>
        <row r="168">
          <cell r="C168">
            <v>4822607</v>
          </cell>
        </row>
        <row r="169">
          <cell r="C169">
            <v>1127594</v>
          </cell>
        </row>
        <row r="170">
          <cell r="C170">
            <v>627594</v>
          </cell>
        </row>
        <row r="173">
          <cell r="C173">
            <v>55948078</v>
          </cell>
        </row>
        <row r="174">
          <cell r="C174">
            <v>39285410</v>
          </cell>
        </row>
        <row r="195">
          <cell r="K195">
            <v>4689608</v>
          </cell>
        </row>
        <row r="205">
          <cell r="C205">
            <v>1047685</v>
          </cell>
        </row>
        <row r="206">
          <cell r="K206">
            <v>182336</v>
          </cell>
        </row>
        <row r="208">
          <cell r="F208">
            <v>194934</v>
          </cell>
        </row>
        <row r="214">
          <cell r="K214">
            <v>1108200</v>
          </cell>
        </row>
        <row r="216">
          <cell r="F216">
            <v>37000</v>
          </cell>
        </row>
        <row r="218">
          <cell r="F218">
            <v>1071200</v>
          </cell>
        </row>
        <row r="220">
          <cell r="C220">
            <v>608000</v>
          </cell>
        </row>
        <row r="226">
          <cell r="C226">
            <v>351915</v>
          </cell>
        </row>
        <row r="227">
          <cell r="K227">
            <v>43050</v>
          </cell>
        </row>
        <row r="230">
          <cell r="K230">
            <v>119003782</v>
          </cell>
        </row>
        <row r="232">
          <cell r="F232">
            <v>60000</v>
          </cell>
        </row>
        <row r="234">
          <cell r="C234">
            <v>113947</v>
          </cell>
        </row>
        <row r="236">
          <cell r="C236">
            <v>9010247</v>
          </cell>
        </row>
        <row r="241">
          <cell r="F241">
            <v>56924475</v>
          </cell>
        </row>
        <row r="242">
          <cell r="C242">
            <v>0</v>
          </cell>
        </row>
        <row r="243">
          <cell r="F243">
            <v>951177</v>
          </cell>
        </row>
        <row r="244">
          <cell r="C244">
            <v>81572001</v>
          </cell>
          <cell r="F244">
            <v>3669094</v>
          </cell>
        </row>
        <row r="246">
          <cell r="F246">
            <v>40026838</v>
          </cell>
        </row>
        <row r="247">
          <cell r="F247">
            <v>1292780</v>
          </cell>
        </row>
        <row r="250">
          <cell r="F250">
            <v>44254981</v>
          </cell>
        </row>
        <row r="253">
          <cell r="F253">
            <v>14329598</v>
          </cell>
        </row>
        <row r="255">
          <cell r="F255">
            <v>3157736</v>
          </cell>
        </row>
        <row r="258">
          <cell r="C258">
            <v>8302137</v>
          </cell>
        </row>
        <row r="259">
          <cell r="C259">
            <v>45761</v>
          </cell>
        </row>
        <row r="260">
          <cell r="C260">
            <v>298597</v>
          </cell>
        </row>
        <row r="262">
          <cell r="F262">
            <v>1749820</v>
          </cell>
        </row>
        <row r="275">
          <cell r="F275">
            <v>0</v>
          </cell>
        </row>
        <row r="278">
          <cell r="F278">
            <v>0</v>
          </cell>
        </row>
        <row r="301">
          <cell r="C301">
            <v>0</v>
          </cell>
        </row>
        <row r="304">
          <cell r="C304">
            <v>0</v>
          </cell>
        </row>
        <row r="324">
          <cell r="K324">
            <v>46423</v>
          </cell>
        </row>
        <row r="326">
          <cell r="F326">
            <v>46423</v>
          </cell>
        </row>
        <row r="333">
          <cell r="C333">
            <v>62108</v>
          </cell>
        </row>
        <row r="341">
          <cell r="C341">
            <v>120000</v>
          </cell>
        </row>
        <row r="342">
          <cell r="C342">
            <v>1268500</v>
          </cell>
        </row>
        <row r="343">
          <cell r="C343">
            <v>1023117</v>
          </cell>
        </row>
        <row r="347">
          <cell r="G347">
            <v>1707056</v>
          </cell>
          <cell r="K347">
            <v>29000</v>
          </cell>
        </row>
        <row r="349">
          <cell r="F349">
            <v>29000</v>
          </cell>
        </row>
        <row r="351">
          <cell r="F351">
            <v>1707056</v>
          </cell>
        </row>
        <row r="352">
          <cell r="F352">
            <v>41395595</v>
          </cell>
        </row>
        <row r="356">
          <cell r="F356">
            <v>41395595</v>
          </cell>
        </row>
        <row r="360">
          <cell r="C360">
            <v>16733</v>
          </cell>
        </row>
        <row r="361">
          <cell r="F361">
            <v>5701826</v>
          </cell>
        </row>
        <row r="365">
          <cell r="C365">
            <v>2200000</v>
          </cell>
          <cell r="F365">
            <v>0</v>
          </cell>
        </row>
        <row r="367">
          <cell r="F367">
            <v>2355141</v>
          </cell>
        </row>
        <row r="370">
          <cell r="C370">
            <v>217929</v>
          </cell>
          <cell r="F370">
            <v>878070</v>
          </cell>
        </row>
        <row r="373">
          <cell r="F373">
            <v>2468615</v>
          </cell>
        </row>
        <row r="376">
          <cell r="C376">
            <v>4765058</v>
          </cell>
        </row>
        <row r="378">
          <cell r="K378">
            <v>6922539</v>
          </cell>
        </row>
        <row r="382">
          <cell r="C382">
            <v>3263537</v>
          </cell>
          <cell r="F382">
            <v>6932583</v>
          </cell>
        </row>
        <row r="385">
          <cell r="C385">
            <v>2929409</v>
          </cell>
          <cell r="F385">
            <v>122441</v>
          </cell>
        </row>
        <row r="386">
          <cell r="K386">
            <v>39754748</v>
          </cell>
        </row>
        <row r="388">
          <cell r="F388">
            <v>30000</v>
          </cell>
        </row>
        <row r="393">
          <cell r="F393">
            <v>8714594</v>
          </cell>
        </row>
        <row r="398">
          <cell r="F398">
            <v>11010154</v>
          </cell>
        </row>
        <row r="400">
          <cell r="F400">
            <v>20000000</v>
          </cell>
        </row>
        <row r="403">
          <cell r="C403">
            <v>82584</v>
          </cell>
        </row>
        <row r="407">
          <cell r="C407">
            <v>13874400</v>
          </cell>
        </row>
        <row r="412">
          <cell r="F412">
            <v>0</v>
          </cell>
        </row>
        <row r="414">
          <cell r="C414">
            <v>52253</v>
          </cell>
        </row>
        <row r="419">
          <cell r="F419">
            <v>0</v>
          </cell>
        </row>
        <row r="420">
          <cell r="K420">
            <v>74788</v>
          </cell>
        </row>
        <row r="424">
          <cell r="C424">
            <v>634490</v>
          </cell>
          <cell r="F424">
            <v>0</v>
          </cell>
        </row>
        <row r="426">
          <cell r="K426">
            <v>0</v>
          </cell>
        </row>
        <row r="428">
          <cell r="F428">
            <v>7257</v>
          </cell>
        </row>
        <row r="431">
          <cell r="C431">
            <v>132118</v>
          </cell>
        </row>
        <row r="432">
          <cell r="C432">
            <v>99900</v>
          </cell>
        </row>
        <row r="433">
          <cell r="C433">
            <v>238824</v>
          </cell>
        </row>
        <row r="434">
          <cell r="C434">
            <v>8337</v>
          </cell>
        </row>
        <row r="435">
          <cell r="C435">
            <v>20000</v>
          </cell>
        </row>
        <row r="437">
          <cell r="K437">
            <v>11000</v>
          </cell>
        </row>
        <row r="441">
          <cell r="C441">
            <v>573411</v>
          </cell>
          <cell r="F441">
            <v>15901</v>
          </cell>
        </row>
        <row r="445">
          <cell r="F445">
            <v>34248</v>
          </cell>
        </row>
        <row r="448">
          <cell r="C448">
            <v>5735</v>
          </cell>
        </row>
        <row r="449">
          <cell r="C449">
            <v>31950</v>
          </cell>
        </row>
        <row r="450">
          <cell r="C450">
            <v>99900</v>
          </cell>
        </row>
        <row r="451">
          <cell r="C451">
            <v>8337</v>
          </cell>
        </row>
        <row r="452">
          <cell r="C452">
            <v>20000</v>
          </cell>
        </row>
        <row r="454">
          <cell r="K454">
            <v>4852199</v>
          </cell>
        </row>
        <row r="458">
          <cell r="C458">
            <v>813709</v>
          </cell>
          <cell r="F458">
            <v>147972</v>
          </cell>
        </row>
        <row r="460">
          <cell r="F460">
            <v>4813292</v>
          </cell>
        </row>
        <row r="462">
          <cell r="F462">
            <v>22683</v>
          </cell>
        </row>
        <row r="465">
          <cell r="C465">
            <v>86135</v>
          </cell>
        </row>
        <row r="466">
          <cell r="C466">
            <v>99900</v>
          </cell>
        </row>
        <row r="467">
          <cell r="C467">
            <v>38505</v>
          </cell>
        </row>
        <row r="468">
          <cell r="C468">
            <v>7527</v>
          </cell>
        </row>
        <row r="469">
          <cell r="C469">
            <v>20000</v>
          </cell>
        </row>
        <row r="471">
          <cell r="K471">
            <v>998692</v>
          </cell>
        </row>
        <row r="475">
          <cell r="C475">
            <v>562173</v>
          </cell>
          <cell r="F475">
            <v>9330</v>
          </cell>
        </row>
        <row r="477">
          <cell r="F477">
            <v>998692</v>
          </cell>
        </row>
        <row r="482">
          <cell r="C482">
            <v>86135</v>
          </cell>
        </row>
        <row r="483">
          <cell r="C483">
            <v>99900</v>
          </cell>
        </row>
        <row r="484">
          <cell r="C484">
            <v>20991</v>
          </cell>
        </row>
        <row r="485">
          <cell r="C485">
            <v>8336</v>
          </cell>
        </row>
        <row r="486">
          <cell r="C486">
            <v>20000</v>
          </cell>
        </row>
        <row r="488">
          <cell r="K488">
            <v>5200</v>
          </cell>
        </row>
        <row r="492">
          <cell r="C492">
            <v>858449</v>
          </cell>
        </row>
        <row r="494">
          <cell r="C494">
            <v>246500</v>
          </cell>
        </row>
        <row r="496">
          <cell r="F496">
            <v>128410</v>
          </cell>
        </row>
        <row r="499">
          <cell r="C499">
            <v>195238</v>
          </cell>
        </row>
        <row r="500">
          <cell r="C500">
            <v>1000</v>
          </cell>
        </row>
        <row r="501">
          <cell r="C501">
            <v>63468</v>
          </cell>
        </row>
        <row r="502">
          <cell r="C502">
            <v>99900</v>
          </cell>
        </row>
        <row r="503">
          <cell r="C503">
            <v>12424</v>
          </cell>
        </row>
        <row r="504">
          <cell r="C504">
            <v>20000</v>
          </cell>
        </row>
        <row r="506">
          <cell r="K506">
            <v>1168469</v>
          </cell>
        </row>
        <row r="510">
          <cell r="C510">
            <v>753893</v>
          </cell>
          <cell r="F510">
            <v>20000</v>
          </cell>
        </row>
        <row r="512">
          <cell r="F512">
            <v>1145573</v>
          </cell>
        </row>
        <row r="514">
          <cell r="F514">
            <v>50162</v>
          </cell>
        </row>
        <row r="517">
          <cell r="C517">
            <v>57447</v>
          </cell>
        </row>
        <row r="519">
          <cell r="C519">
            <v>22955</v>
          </cell>
        </row>
        <row r="520">
          <cell r="C520">
            <v>99900</v>
          </cell>
        </row>
        <row r="521">
          <cell r="C521">
            <v>8336</v>
          </cell>
        </row>
        <row r="522">
          <cell r="C522">
            <v>20000</v>
          </cell>
        </row>
        <row r="524">
          <cell r="K524">
            <v>146388</v>
          </cell>
        </row>
        <row r="528">
          <cell r="C528">
            <v>646283</v>
          </cell>
        </row>
        <row r="533">
          <cell r="C533">
            <v>80392</v>
          </cell>
        </row>
        <row r="534">
          <cell r="C534">
            <v>60000</v>
          </cell>
        </row>
        <row r="535">
          <cell r="C535">
            <v>99900</v>
          </cell>
        </row>
        <row r="536">
          <cell r="C536">
            <v>8500</v>
          </cell>
          <cell r="F536">
            <v>0</v>
          </cell>
        </row>
        <row r="537">
          <cell r="C537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</sheetNames>
    <sheetDataSet>
      <sheetData sheetId="0">
        <row r="202">
          <cell r="D202">
            <v>1707.056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3)"/>
    </sheetNames>
    <sheetDataSet>
      <sheetData sheetId="0">
        <row r="111">
          <cell r="D111">
            <v>204653.435</v>
          </cell>
        </row>
        <row r="123">
          <cell r="D123">
            <v>398881.75399999996</v>
          </cell>
        </row>
        <row r="124">
          <cell r="D124">
            <v>251767.112</v>
          </cell>
        </row>
        <row r="128">
          <cell r="D128">
            <v>91089.249</v>
          </cell>
        </row>
        <row r="132">
          <cell r="D132">
            <v>16798.213</v>
          </cell>
        </row>
        <row r="133">
          <cell r="D133">
            <v>3744.201</v>
          </cell>
        </row>
        <row r="135">
          <cell r="D135">
            <v>56901.475</v>
          </cell>
        </row>
        <row r="137">
          <cell r="D137">
            <v>951.177</v>
          </cell>
        </row>
        <row r="138">
          <cell r="D138">
            <v>2478.148</v>
          </cell>
        </row>
        <row r="139">
          <cell r="D139">
            <v>7325.573</v>
          </cell>
        </row>
        <row r="141">
          <cell r="D141">
            <v>42.5</v>
          </cell>
        </row>
        <row r="143">
          <cell r="D143">
            <v>11166.867</v>
          </cell>
        </row>
        <row r="145">
          <cell r="D145">
            <v>963.139</v>
          </cell>
        </row>
        <row r="147">
          <cell r="D147">
            <v>42.5</v>
          </cell>
        </row>
        <row r="149">
          <cell r="D149">
            <v>96.59</v>
          </cell>
        </row>
        <row r="150">
          <cell r="D150">
            <v>4490.674</v>
          </cell>
        </row>
        <row r="152">
          <cell r="D152">
            <v>58.8</v>
          </cell>
        </row>
        <row r="154">
          <cell r="D154">
            <v>878.07</v>
          </cell>
        </row>
        <row r="155">
          <cell r="D155">
            <v>6922.539</v>
          </cell>
        </row>
        <row r="156">
          <cell r="D156">
            <v>49.82</v>
          </cell>
        </row>
        <row r="166">
          <cell r="D166">
            <v>23</v>
          </cell>
        </row>
        <row r="169">
          <cell r="D169">
            <v>0</v>
          </cell>
        </row>
        <row r="172">
          <cell r="D172">
            <v>0</v>
          </cell>
        </row>
        <row r="173">
          <cell r="D173">
            <v>157.44</v>
          </cell>
        </row>
        <row r="176">
          <cell r="D176">
            <v>127.34</v>
          </cell>
        </row>
        <row r="179">
          <cell r="D179">
            <v>101.944</v>
          </cell>
        </row>
        <row r="181">
          <cell r="D181">
            <v>4</v>
          </cell>
        </row>
        <row r="183">
          <cell r="D183">
            <v>0</v>
          </cell>
        </row>
        <row r="185">
          <cell r="D185">
            <v>2</v>
          </cell>
        </row>
        <row r="187">
          <cell r="D187">
            <v>25495.853</v>
          </cell>
        </row>
        <row r="190">
          <cell r="D190">
            <v>20000</v>
          </cell>
        </row>
        <row r="192">
          <cell r="D192">
            <v>1700</v>
          </cell>
        </row>
        <row r="199">
          <cell r="D199">
            <v>44254.981</v>
          </cell>
        </row>
        <row r="201">
          <cell r="D201">
            <v>44925.426</v>
          </cell>
        </row>
        <row r="203">
          <cell r="D203">
            <v>1707.056</v>
          </cell>
        </row>
        <row r="205">
          <cell r="D205">
            <v>463.601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zoomScale="75" zoomScaleSheetLayoutView="75" zoomScalePageLayoutView="0" workbookViewId="0" topLeftCell="B1">
      <selection activeCell="A5" sqref="A5:G5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4.57421875" style="2" customWidth="1"/>
    <col min="6" max="6" width="21.140625" style="2" customWidth="1"/>
    <col min="7" max="7" width="19.8515625" style="2" customWidth="1"/>
    <col min="8" max="8" width="16.28125" style="2" customWidth="1"/>
    <col min="9" max="9" width="14.421875" style="2" customWidth="1"/>
    <col min="10" max="16384" width="9.140625" style="2" customWidth="1"/>
  </cols>
  <sheetData>
    <row r="1" spans="5:7" ht="55.5" customHeight="1">
      <c r="E1" s="22" t="s">
        <v>178</v>
      </c>
      <c r="G1" s="21"/>
    </row>
    <row r="2" spans="5:7" ht="28.5" customHeight="1">
      <c r="E2" s="22" t="s">
        <v>179</v>
      </c>
      <c r="G2" s="21"/>
    </row>
    <row r="3" spans="3:7" ht="40.5" customHeight="1">
      <c r="C3" s="12"/>
      <c r="E3" s="93" t="s">
        <v>287</v>
      </c>
      <c r="F3" s="2" t="s">
        <v>288</v>
      </c>
      <c r="G3" s="21"/>
    </row>
    <row r="5" spans="1:10" s="10" customFormat="1" ht="28.5" customHeight="1">
      <c r="A5" s="92" t="s">
        <v>201</v>
      </c>
      <c r="B5" s="92"/>
      <c r="C5" s="92"/>
      <c r="D5" s="92"/>
      <c r="E5" s="92"/>
      <c r="F5" s="92"/>
      <c r="G5" s="92"/>
      <c r="H5" s="75" t="s">
        <v>283</v>
      </c>
      <c r="I5" s="10" t="s">
        <v>284</v>
      </c>
      <c r="J5" s="76" t="s">
        <v>278</v>
      </c>
    </row>
    <row r="6" ht="5.25" customHeight="1"/>
    <row r="7" ht="16.5" customHeight="1">
      <c r="G7" s="11" t="s">
        <v>49</v>
      </c>
    </row>
    <row r="8" spans="1:7" s="4" customFormat="1" ht="48" customHeight="1">
      <c r="A8" s="15" t="s">
        <v>18</v>
      </c>
      <c r="B8" s="84" t="s">
        <v>20</v>
      </c>
      <c r="C8" s="86" t="s">
        <v>44</v>
      </c>
      <c r="D8" s="86"/>
      <c r="E8" s="86" t="s">
        <v>47</v>
      </c>
      <c r="F8" s="86"/>
      <c r="G8" s="20" t="s">
        <v>48</v>
      </c>
    </row>
    <row r="9" spans="1:7" s="4" customFormat="1" ht="55.5" customHeight="1">
      <c r="A9" s="15" t="s">
        <v>19</v>
      </c>
      <c r="B9" s="85"/>
      <c r="C9" s="3" t="s">
        <v>45</v>
      </c>
      <c r="D9" s="3" t="s">
        <v>46</v>
      </c>
      <c r="E9" s="3" t="s">
        <v>45</v>
      </c>
      <c r="F9" s="3" t="s">
        <v>46</v>
      </c>
      <c r="G9" s="3" t="s">
        <v>46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9" s="4" customFormat="1" ht="15.75">
      <c r="A11" s="6" t="s">
        <v>110</v>
      </c>
      <c r="B11" s="7" t="s">
        <v>22</v>
      </c>
      <c r="C11" s="3"/>
      <c r="D11" s="18">
        <f>SUM(D12:D29)</f>
        <v>5306413</v>
      </c>
      <c r="E11" s="3"/>
      <c r="F11" s="17">
        <f>SUM(F12:F29)</f>
        <v>3549949</v>
      </c>
      <c r="G11" s="17">
        <f>SUM(G12:G29)</f>
        <v>8856362</v>
      </c>
      <c r="H11" s="72">
        <f>'[1]Місто'!$K$11+'[1]Місто'!$G$27</f>
        <v>3549949</v>
      </c>
      <c r="I11" s="72">
        <f>H11-F11</f>
        <v>0</v>
      </c>
    </row>
    <row r="12" spans="1:9" s="35" customFormat="1" ht="47.25">
      <c r="A12" s="77" t="s">
        <v>142</v>
      </c>
      <c r="B12" s="80" t="s">
        <v>143</v>
      </c>
      <c r="C12" s="8"/>
      <c r="D12" s="28"/>
      <c r="E12" s="8" t="s">
        <v>262</v>
      </c>
      <c r="F12" s="34">
        <v>723119</v>
      </c>
      <c r="G12" s="34">
        <f>D12+F12</f>
        <v>723119</v>
      </c>
      <c r="I12" s="72"/>
    </row>
    <row r="13" spans="1:9" s="35" customFormat="1" ht="68.25" customHeight="1">
      <c r="A13" s="79"/>
      <c r="B13" s="82"/>
      <c r="C13" s="8" t="s">
        <v>285</v>
      </c>
      <c r="D13" s="28">
        <v>14600</v>
      </c>
      <c r="E13" s="8"/>
      <c r="F13" s="34"/>
      <c r="G13" s="34">
        <f>D13+F13</f>
        <v>14600</v>
      </c>
      <c r="I13" s="72"/>
    </row>
    <row r="14" spans="1:9" s="35" customFormat="1" ht="47.25">
      <c r="A14" s="77" t="s">
        <v>62</v>
      </c>
      <c r="B14" s="80" t="s">
        <v>88</v>
      </c>
      <c r="C14" s="8" t="s">
        <v>255</v>
      </c>
      <c r="D14" s="28">
        <f>'[1]Місто'!C16</f>
        <v>543041</v>
      </c>
      <c r="E14" s="8"/>
      <c r="F14" s="13"/>
      <c r="G14" s="13">
        <f aca="true" t="shared" si="0" ref="G14:G25">D14+F14</f>
        <v>543041</v>
      </c>
      <c r="I14" s="72"/>
    </row>
    <row r="15" spans="1:9" s="35" customFormat="1" ht="47.25">
      <c r="A15" s="79"/>
      <c r="B15" s="82"/>
      <c r="C15" s="37"/>
      <c r="D15" s="28"/>
      <c r="E15" s="59" t="s">
        <v>261</v>
      </c>
      <c r="F15" s="60">
        <f>'[1]Місто'!$F$16</f>
        <v>58800</v>
      </c>
      <c r="G15" s="61">
        <f t="shared" si="0"/>
        <v>58800</v>
      </c>
      <c r="I15" s="72"/>
    </row>
    <row r="16" spans="1:9" s="35" customFormat="1" ht="63">
      <c r="A16" s="77" t="s">
        <v>68</v>
      </c>
      <c r="B16" s="80" t="s">
        <v>69</v>
      </c>
      <c r="C16" s="80"/>
      <c r="D16" s="28"/>
      <c r="E16" s="8" t="s">
        <v>263</v>
      </c>
      <c r="F16" s="34">
        <f>'[1]Місто'!$F$19-F19</f>
        <v>2493637</v>
      </c>
      <c r="G16" s="13">
        <f t="shared" si="0"/>
        <v>2493637</v>
      </c>
      <c r="I16" s="72"/>
    </row>
    <row r="17" spans="1:9" s="35" customFormat="1" ht="44.25" customHeight="1" hidden="1">
      <c r="A17" s="78"/>
      <c r="B17" s="81"/>
      <c r="C17" s="81"/>
      <c r="D17" s="9"/>
      <c r="E17" s="8" t="s">
        <v>104</v>
      </c>
      <c r="F17" s="13"/>
      <c r="G17" s="13">
        <f t="shared" si="0"/>
        <v>0</v>
      </c>
      <c r="I17" s="72"/>
    </row>
    <row r="18" spans="1:9" s="35" customFormat="1" ht="47.25" customHeight="1" hidden="1">
      <c r="A18" s="78"/>
      <c r="B18" s="81"/>
      <c r="C18" s="81"/>
      <c r="D18" s="9"/>
      <c r="E18" s="8" t="s">
        <v>103</v>
      </c>
      <c r="F18" s="34">
        <f>'[1]Місто'!$F$25</f>
        <v>0</v>
      </c>
      <c r="G18" s="13">
        <f t="shared" si="0"/>
        <v>0</v>
      </c>
      <c r="I18" s="72"/>
    </row>
    <row r="19" spans="1:9" s="35" customFormat="1" ht="15.75" hidden="1">
      <c r="A19" s="79"/>
      <c r="B19" s="82"/>
      <c r="C19" s="82"/>
      <c r="D19" s="9"/>
      <c r="E19" s="8"/>
      <c r="F19" s="34">
        <f>'[1]Місто'!$F$20</f>
        <v>0</v>
      </c>
      <c r="G19" s="13">
        <f t="shared" si="0"/>
        <v>0</v>
      </c>
      <c r="I19" s="72"/>
    </row>
    <row r="20" spans="1:9" s="35" customFormat="1" ht="188.25" customHeight="1">
      <c r="A20" s="29" t="s">
        <v>188</v>
      </c>
      <c r="B20" s="65" t="s">
        <v>189</v>
      </c>
      <c r="C20" s="8"/>
      <c r="D20" s="9"/>
      <c r="E20" s="8" t="s">
        <v>247</v>
      </c>
      <c r="F20" s="34">
        <f>'[1]Місто'!$F$21</f>
        <v>53552</v>
      </c>
      <c r="G20" s="13">
        <f t="shared" si="0"/>
        <v>53552</v>
      </c>
      <c r="I20" s="72"/>
    </row>
    <row r="21" spans="1:9" s="35" customFormat="1" ht="47.25">
      <c r="A21" s="38">
        <v>240900</v>
      </c>
      <c r="B21" s="37" t="s">
        <v>89</v>
      </c>
      <c r="C21" s="27"/>
      <c r="D21" s="26"/>
      <c r="E21" s="8" t="s">
        <v>280</v>
      </c>
      <c r="F21" s="34">
        <f>'[1]Місто'!$F$27</f>
        <v>220841</v>
      </c>
      <c r="G21" s="13">
        <f t="shared" si="0"/>
        <v>220841</v>
      </c>
      <c r="I21" s="72"/>
    </row>
    <row r="22" spans="1:9" s="35" customFormat="1" ht="75" customHeight="1" hidden="1">
      <c r="A22" s="38">
        <v>250203</v>
      </c>
      <c r="B22" s="37" t="s">
        <v>173</v>
      </c>
      <c r="C22" s="8"/>
      <c r="D22" s="39">
        <f>'[1]Місто'!$C$29</f>
        <v>0</v>
      </c>
      <c r="E22" s="8"/>
      <c r="F22" s="13"/>
      <c r="G22" s="13">
        <f t="shared" si="0"/>
        <v>0</v>
      </c>
      <c r="I22" s="72"/>
    </row>
    <row r="23" spans="1:9" s="35" customFormat="1" ht="94.5">
      <c r="A23" s="87">
        <v>250404</v>
      </c>
      <c r="B23" s="80" t="s">
        <v>76</v>
      </c>
      <c r="C23" s="8" t="s">
        <v>219</v>
      </c>
      <c r="D23" s="39">
        <f>'[1]Місто'!C34</f>
        <v>304457</v>
      </c>
      <c r="E23" s="13"/>
      <c r="F23" s="19"/>
      <c r="G23" s="13">
        <f t="shared" si="0"/>
        <v>304457</v>
      </c>
      <c r="I23" s="72"/>
    </row>
    <row r="24" spans="1:9" s="35" customFormat="1" ht="63">
      <c r="A24" s="88"/>
      <c r="B24" s="81"/>
      <c r="C24" s="8" t="s">
        <v>253</v>
      </c>
      <c r="D24" s="28">
        <f>'[1]Місто'!$C$33</f>
        <v>533153</v>
      </c>
      <c r="E24" s="8"/>
      <c r="F24" s="34">
        <f>'[1]Місто'!$F$33</f>
        <v>0</v>
      </c>
      <c r="G24" s="13">
        <f t="shared" si="0"/>
        <v>533153</v>
      </c>
      <c r="I24" s="72"/>
    </row>
    <row r="25" spans="1:9" s="35" customFormat="1" ht="32.25" customHeight="1" hidden="1">
      <c r="A25" s="88"/>
      <c r="B25" s="81"/>
      <c r="C25" s="8" t="s">
        <v>105</v>
      </c>
      <c r="D25" s="28">
        <f>'[1]Місто'!$C$32</f>
        <v>0</v>
      </c>
      <c r="E25" s="8" t="s">
        <v>105</v>
      </c>
      <c r="F25" s="34">
        <f>'[1]Місто'!$F$32</f>
        <v>0</v>
      </c>
      <c r="G25" s="13">
        <f t="shared" si="0"/>
        <v>0</v>
      </c>
      <c r="I25" s="72"/>
    </row>
    <row r="26" spans="1:9" s="35" customFormat="1" ht="65.25" customHeight="1">
      <c r="A26" s="88"/>
      <c r="B26" s="81"/>
      <c r="C26" s="8" t="s">
        <v>218</v>
      </c>
      <c r="D26" s="28">
        <f>'[1]Місто'!$C$35</f>
        <v>3230438</v>
      </c>
      <c r="E26" s="8"/>
      <c r="F26" s="34">
        <f>'[1]Місто'!$K$35</f>
        <v>0</v>
      </c>
      <c r="G26" s="34">
        <f>D26+F26</f>
        <v>3230438</v>
      </c>
      <c r="I26" s="72"/>
    </row>
    <row r="27" spans="1:9" s="35" customFormat="1" ht="46.5" customHeight="1" hidden="1">
      <c r="A27" s="88"/>
      <c r="B27" s="81"/>
      <c r="C27" s="8" t="s">
        <v>177</v>
      </c>
      <c r="D27" s="28">
        <f>'[1]Місто'!$C$36</f>
        <v>0</v>
      </c>
      <c r="E27" s="8"/>
      <c r="F27" s="34"/>
      <c r="G27" s="34">
        <f>D27+F27</f>
        <v>0</v>
      </c>
      <c r="I27" s="72"/>
    </row>
    <row r="28" spans="1:9" s="35" customFormat="1" ht="46.5" customHeight="1">
      <c r="A28" s="88"/>
      <c r="B28" s="81"/>
      <c r="C28" s="59" t="s">
        <v>261</v>
      </c>
      <c r="D28" s="62">
        <f>'[1]Місто'!$C$37</f>
        <v>675573</v>
      </c>
      <c r="E28" s="59"/>
      <c r="F28" s="60"/>
      <c r="G28" s="60">
        <f>D28+F28</f>
        <v>675573</v>
      </c>
      <c r="I28" s="72"/>
    </row>
    <row r="29" spans="1:9" s="35" customFormat="1" ht="63">
      <c r="A29" s="90"/>
      <c r="B29" s="82"/>
      <c r="C29" s="8" t="s">
        <v>247</v>
      </c>
      <c r="D29" s="28">
        <f>'[1]Місто'!$C$38</f>
        <v>5151</v>
      </c>
      <c r="E29" s="8"/>
      <c r="F29" s="34"/>
      <c r="G29" s="34">
        <f>D29+F29</f>
        <v>5151</v>
      </c>
      <c r="I29" s="72"/>
    </row>
    <row r="30" spans="1:9" s="35" customFormat="1" ht="31.5">
      <c r="A30" s="41" t="s">
        <v>118</v>
      </c>
      <c r="B30" s="42" t="s">
        <v>33</v>
      </c>
      <c r="C30" s="8"/>
      <c r="D30" s="43">
        <f>SUM(D31:D71)</f>
        <v>40686071</v>
      </c>
      <c r="E30" s="9"/>
      <c r="F30" s="43">
        <f>SUM(F31:F71)</f>
        <v>34323617</v>
      </c>
      <c r="G30" s="43">
        <f>SUM(G31:G71)</f>
        <v>75009688</v>
      </c>
      <c r="H30" s="73">
        <f>'[1]Місто'!$K$39</f>
        <v>32909733</v>
      </c>
      <c r="I30" s="72">
        <f>H30-F30</f>
        <v>-1413884</v>
      </c>
    </row>
    <row r="31" spans="1:9" s="35" customFormat="1" ht="31.5" hidden="1">
      <c r="A31" s="33" t="s">
        <v>142</v>
      </c>
      <c r="B31" s="8" t="s">
        <v>143</v>
      </c>
      <c r="C31" s="8" t="s">
        <v>171</v>
      </c>
      <c r="D31" s="28"/>
      <c r="E31" s="8"/>
      <c r="F31" s="34"/>
      <c r="G31" s="13">
        <f aca="true" t="shared" si="1" ref="G31:G70">F31+D31</f>
        <v>0</v>
      </c>
      <c r="I31" s="72">
        <f>H31-F31</f>
        <v>0</v>
      </c>
    </row>
    <row r="32" spans="1:9" s="35" customFormat="1" ht="63">
      <c r="A32" s="33" t="s">
        <v>142</v>
      </c>
      <c r="B32" s="8" t="s">
        <v>143</v>
      </c>
      <c r="C32" s="8" t="s">
        <v>285</v>
      </c>
      <c r="D32" s="28">
        <v>1250</v>
      </c>
      <c r="E32" s="8"/>
      <c r="F32" s="34"/>
      <c r="G32" s="34">
        <f>F32+D32</f>
        <v>1250</v>
      </c>
      <c r="I32" s="72"/>
    </row>
    <row r="33" spans="1:9" s="35" customFormat="1" ht="33" customHeight="1">
      <c r="A33" s="77" t="s">
        <v>51</v>
      </c>
      <c r="B33" s="80" t="s">
        <v>91</v>
      </c>
      <c r="C33" s="8" t="s">
        <v>273</v>
      </c>
      <c r="D33" s="28">
        <f>133851+1091</f>
        <v>134942</v>
      </c>
      <c r="E33" s="8" t="s">
        <v>273</v>
      </c>
      <c r="F33" s="34">
        <f>'[1]Місто'!$J$43-F34</f>
        <v>1781291</v>
      </c>
      <c r="G33" s="34">
        <f>F33+D33</f>
        <v>1916233</v>
      </c>
      <c r="I33" s="72"/>
    </row>
    <row r="34" spans="1:9" s="35" customFormat="1" ht="47.25">
      <c r="A34" s="78"/>
      <c r="B34" s="81"/>
      <c r="C34" s="59" t="s">
        <v>261</v>
      </c>
      <c r="D34" s="62">
        <f>72367+5000+20000+23000+3000</f>
        <v>123367</v>
      </c>
      <c r="E34" s="59" t="s">
        <v>261</v>
      </c>
      <c r="F34" s="60">
        <f>242500+22000+38000+83000+5000+10000+5000</f>
        <v>405500</v>
      </c>
      <c r="G34" s="60">
        <f>F34+D34</f>
        <v>528867</v>
      </c>
      <c r="I34" s="72"/>
    </row>
    <row r="35" spans="1:9" s="35" customFormat="1" ht="69.75" customHeight="1">
      <c r="A35" s="79"/>
      <c r="B35" s="82"/>
      <c r="C35" s="8" t="s">
        <v>285</v>
      </c>
      <c r="D35" s="28">
        <v>663000</v>
      </c>
      <c r="E35" s="59"/>
      <c r="F35" s="60"/>
      <c r="G35" s="34">
        <f>F35+D35</f>
        <v>663000</v>
      </c>
      <c r="I35" s="72"/>
    </row>
    <row r="36" spans="1:9" s="35" customFormat="1" ht="31.5" customHeight="1">
      <c r="A36" s="77" t="s">
        <v>52</v>
      </c>
      <c r="B36" s="77" t="s">
        <v>92</v>
      </c>
      <c r="C36" s="8" t="s">
        <v>273</v>
      </c>
      <c r="D36" s="28">
        <f>342934-1091</f>
        <v>341843</v>
      </c>
      <c r="E36" s="8" t="s">
        <v>273</v>
      </c>
      <c r="F36" s="34">
        <f>3302181+8491+50000+66532+42721</f>
        <v>3469925</v>
      </c>
      <c r="G36" s="13">
        <f t="shared" si="1"/>
        <v>3811768</v>
      </c>
      <c r="I36" s="72"/>
    </row>
    <row r="37" spans="1:9" s="35" customFormat="1" ht="32.25" customHeight="1" hidden="1">
      <c r="A37" s="78"/>
      <c r="B37" s="78"/>
      <c r="C37" s="8" t="s">
        <v>205</v>
      </c>
      <c r="D37" s="28"/>
      <c r="E37" s="8" t="s">
        <v>205</v>
      </c>
      <c r="F37" s="34"/>
      <c r="G37" s="13">
        <f t="shared" si="1"/>
        <v>0</v>
      </c>
      <c r="I37" s="72"/>
    </row>
    <row r="38" spans="1:9" s="35" customFormat="1" ht="66" customHeight="1" hidden="1">
      <c r="A38" s="78"/>
      <c r="B38" s="78"/>
      <c r="C38" s="8" t="s">
        <v>205</v>
      </c>
      <c r="D38" s="28"/>
      <c r="E38" s="8" t="s">
        <v>205</v>
      </c>
      <c r="F38" s="34"/>
      <c r="G38" s="13">
        <f t="shared" si="1"/>
        <v>0</v>
      </c>
      <c r="I38" s="72"/>
    </row>
    <row r="39" spans="1:9" s="35" customFormat="1" ht="30" customHeight="1">
      <c r="A39" s="78"/>
      <c r="B39" s="78"/>
      <c r="C39" s="8" t="s">
        <v>279</v>
      </c>
      <c r="D39" s="28">
        <f>215595+2236</f>
        <v>217831</v>
      </c>
      <c r="E39" s="8"/>
      <c r="F39" s="34"/>
      <c r="G39" s="13">
        <f t="shared" si="1"/>
        <v>217831</v>
      </c>
      <c r="I39" s="72"/>
    </row>
    <row r="40" spans="1:9" s="35" customFormat="1" ht="47.25">
      <c r="A40" s="78"/>
      <c r="B40" s="78"/>
      <c r="C40" s="59" t="s">
        <v>261</v>
      </c>
      <c r="D40" s="62">
        <f>130400+14000+56100+48600+20000+5000</f>
        <v>274100</v>
      </c>
      <c r="E40" s="59" t="s">
        <v>261</v>
      </c>
      <c r="F40" s="60">
        <f>801000+104100+10000+276550+11500+318578+56000-15000+14000</f>
        <v>1576728</v>
      </c>
      <c r="G40" s="61">
        <f t="shared" si="1"/>
        <v>1850828</v>
      </c>
      <c r="I40" s="72"/>
    </row>
    <row r="41" spans="1:9" s="35" customFormat="1" ht="66" customHeight="1">
      <c r="A41" s="79"/>
      <c r="B41" s="79"/>
      <c r="C41" s="8" t="s">
        <v>285</v>
      </c>
      <c r="D41" s="28">
        <v>1416678</v>
      </c>
      <c r="E41" s="59"/>
      <c r="F41" s="60"/>
      <c r="G41" s="13">
        <f t="shared" si="1"/>
        <v>1416678</v>
      </c>
      <c r="I41" s="72"/>
    </row>
    <row r="42" spans="1:9" s="35" customFormat="1" ht="39" customHeight="1">
      <c r="A42" s="77" t="s">
        <v>53</v>
      </c>
      <c r="B42" s="80" t="s">
        <v>93</v>
      </c>
      <c r="C42" s="8" t="s">
        <v>273</v>
      </c>
      <c r="D42" s="28">
        <v>1636</v>
      </c>
      <c r="E42" s="8"/>
      <c r="F42" s="34"/>
      <c r="G42" s="13">
        <f t="shared" si="1"/>
        <v>1636</v>
      </c>
      <c r="I42" s="72"/>
    </row>
    <row r="43" spans="1:9" s="35" customFormat="1" ht="47.25">
      <c r="A43" s="79"/>
      <c r="B43" s="82"/>
      <c r="C43" s="8"/>
      <c r="D43" s="28"/>
      <c r="E43" s="59" t="s">
        <v>261</v>
      </c>
      <c r="F43" s="60">
        <f>13000+5000</f>
        <v>18000</v>
      </c>
      <c r="G43" s="60">
        <f t="shared" si="1"/>
        <v>18000</v>
      </c>
      <c r="I43" s="72"/>
    </row>
    <row r="44" spans="1:9" s="35" customFormat="1" ht="36" customHeight="1">
      <c r="A44" s="77" t="s">
        <v>10</v>
      </c>
      <c r="B44" s="80" t="s">
        <v>11</v>
      </c>
      <c r="C44" s="8" t="s">
        <v>260</v>
      </c>
      <c r="D44" s="28">
        <f>'[1]Місто'!$C$49-140040-D54-D55</f>
        <v>29252927</v>
      </c>
      <c r="E44" s="8" t="s">
        <v>260</v>
      </c>
      <c r="F44" s="71">
        <f>'[1]Місто'!$F$49-F45-F54-51599</f>
        <v>544880</v>
      </c>
      <c r="G44" s="13">
        <f t="shared" si="1"/>
        <v>29797807</v>
      </c>
      <c r="I44" s="72"/>
    </row>
    <row r="45" spans="1:9" s="35" customFormat="1" ht="46.5" customHeight="1">
      <c r="A45" s="78"/>
      <c r="B45" s="81"/>
      <c r="C45" s="8" t="s">
        <v>281</v>
      </c>
      <c r="D45" s="28">
        <f>140040</f>
        <v>140040</v>
      </c>
      <c r="E45" s="8" t="s">
        <v>281</v>
      </c>
      <c r="F45" s="34">
        <f>140040</f>
        <v>140040</v>
      </c>
      <c r="G45" s="13">
        <f t="shared" si="1"/>
        <v>280080</v>
      </c>
      <c r="I45" s="72"/>
    </row>
    <row r="46" spans="1:9" s="35" customFormat="1" ht="46.5" customHeight="1" hidden="1">
      <c r="A46" s="78"/>
      <c r="B46" s="81"/>
      <c r="C46" s="8"/>
      <c r="D46" s="28"/>
      <c r="E46" s="8"/>
      <c r="F46" s="34">
        <f>'[1]Місто'!$F$51</f>
        <v>0</v>
      </c>
      <c r="G46" s="13">
        <f t="shared" si="1"/>
        <v>0</v>
      </c>
      <c r="I46" s="72"/>
    </row>
    <row r="47" spans="1:9" s="35" customFormat="1" ht="33" customHeight="1" hidden="1">
      <c r="A47" s="78"/>
      <c r="B47" s="81"/>
      <c r="C47" s="8"/>
      <c r="D47" s="28"/>
      <c r="E47" s="8"/>
      <c r="F47" s="34"/>
      <c r="G47" s="13">
        <f t="shared" si="1"/>
        <v>0</v>
      </c>
      <c r="I47" s="72"/>
    </row>
    <row r="48" spans="1:9" s="35" customFormat="1" ht="31.5" customHeight="1" hidden="1">
      <c r="A48" s="78"/>
      <c r="B48" s="81"/>
      <c r="C48" s="8"/>
      <c r="D48" s="28"/>
      <c r="E48" s="8"/>
      <c r="F48" s="34">
        <f>'[1]Місто'!$F$53</f>
        <v>0</v>
      </c>
      <c r="G48" s="13">
        <f t="shared" si="1"/>
        <v>0</v>
      </c>
      <c r="I48" s="72"/>
    </row>
    <row r="49" spans="1:9" s="35" customFormat="1" ht="30" customHeight="1" hidden="1">
      <c r="A49" s="78"/>
      <c r="B49" s="81"/>
      <c r="C49" s="8"/>
      <c r="D49" s="28"/>
      <c r="E49" s="8"/>
      <c r="F49" s="34"/>
      <c r="G49" s="13">
        <f t="shared" si="1"/>
        <v>0</v>
      </c>
      <c r="I49" s="72"/>
    </row>
    <row r="50" spans="1:9" s="35" customFormat="1" ht="66.75" customHeight="1" hidden="1">
      <c r="A50" s="78"/>
      <c r="B50" s="81"/>
      <c r="C50" s="8"/>
      <c r="D50" s="28"/>
      <c r="E50" s="8"/>
      <c r="F50" s="34">
        <f>'[1]Місто'!$F$55</f>
        <v>0</v>
      </c>
      <c r="G50" s="13">
        <f t="shared" si="1"/>
        <v>0</v>
      </c>
      <c r="I50" s="72"/>
    </row>
    <row r="51" spans="1:9" s="35" customFormat="1" ht="47.25" customHeight="1" hidden="1">
      <c r="A51" s="78"/>
      <c r="B51" s="81"/>
      <c r="C51" s="8"/>
      <c r="D51" s="28"/>
      <c r="E51" s="8"/>
      <c r="F51" s="13"/>
      <c r="G51" s="13">
        <f t="shared" si="1"/>
        <v>0</v>
      </c>
      <c r="I51" s="72"/>
    </row>
    <row r="52" spans="1:9" s="35" customFormat="1" ht="51.75" customHeight="1" hidden="1">
      <c r="A52" s="78"/>
      <c r="B52" s="81"/>
      <c r="C52" s="8"/>
      <c r="D52" s="39"/>
      <c r="E52" s="8"/>
      <c r="F52" s="19">
        <f>'[1]Місто'!$F$60</f>
        <v>0</v>
      </c>
      <c r="G52" s="13">
        <f t="shared" si="1"/>
        <v>0</v>
      </c>
      <c r="I52" s="72"/>
    </row>
    <row r="53" spans="1:9" s="35" customFormat="1" ht="51.75" customHeight="1" hidden="1">
      <c r="A53" s="78"/>
      <c r="B53" s="81"/>
      <c r="C53" s="8"/>
      <c r="D53" s="39">
        <f>'[1]Місто'!$C$61</f>
        <v>0</v>
      </c>
      <c r="E53" s="45"/>
      <c r="F53" s="27"/>
      <c r="G53" s="13">
        <f t="shared" si="1"/>
        <v>0</v>
      </c>
      <c r="I53" s="72"/>
    </row>
    <row r="54" spans="1:9" s="35" customFormat="1" ht="47.25">
      <c r="A54" s="78"/>
      <c r="B54" s="81"/>
      <c r="C54" s="59" t="s">
        <v>261</v>
      </c>
      <c r="D54" s="60">
        <f>10000+6000+5000</f>
        <v>21000</v>
      </c>
      <c r="E54" s="59" t="s">
        <v>261</v>
      </c>
      <c r="F54" s="60">
        <f>32000+10599+9000</f>
        <v>51599</v>
      </c>
      <c r="G54" s="60">
        <f t="shared" si="1"/>
        <v>72599</v>
      </c>
      <c r="I54" s="72"/>
    </row>
    <row r="55" spans="1:9" s="35" customFormat="1" ht="75" customHeight="1">
      <c r="A55" s="79"/>
      <c r="B55" s="82"/>
      <c r="C55" s="8" t="s">
        <v>285</v>
      </c>
      <c r="D55" s="34">
        <v>71000</v>
      </c>
      <c r="E55" s="59"/>
      <c r="F55" s="60"/>
      <c r="G55" s="13">
        <f t="shared" si="1"/>
        <v>71000</v>
      </c>
      <c r="I55" s="72"/>
    </row>
    <row r="56" spans="1:9" s="35" customFormat="1" ht="72" customHeight="1">
      <c r="A56" s="30" t="s">
        <v>275</v>
      </c>
      <c r="B56" s="32" t="s">
        <v>274</v>
      </c>
      <c r="C56" s="8" t="s">
        <v>285</v>
      </c>
      <c r="D56" s="34">
        <v>4500</v>
      </c>
      <c r="E56" s="59"/>
      <c r="F56" s="60"/>
      <c r="G56" s="34">
        <f>F56+D56</f>
        <v>4500</v>
      </c>
      <c r="I56" s="72"/>
    </row>
    <row r="57" spans="1:9" s="35" customFormat="1" ht="75" customHeight="1">
      <c r="A57" s="30" t="s">
        <v>276</v>
      </c>
      <c r="B57" s="32" t="s">
        <v>277</v>
      </c>
      <c r="C57" s="8" t="s">
        <v>285</v>
      </c>
      <c r="D57" s="34">
        <v>26250</v>
      </c>
      <c r="E57" s="59"/>
      <c r="F57" s="60"/>
      <c r="G57" s="34">
        <f>F57+D57</f>
        <v>26250</v>
      </c>
      <c r="I57" s="72"/>
    </row>
    <row r="58" spans="1:9" s="35" customFormat="1" ht="31.5">
      <c r="A58" s="44" t="s">
        <v>65</v>
      </c>
      <c r="B58" s="8" t="s">
        <v>12</v>
      </c>
      <c r="C58" s="8" t="s">
        <v>220</v>
      </c>
      <c r="D58" s="39">
        <f>'[1]Місто'!$C$62</f>
        <v>576138</v>
      </c>
      <c r="E58" s="8"/>
      <c r="F58" s="27"/>
      <c r="G58" s="27">
        <f>D58+F58</f>
        <v>576138</v>
      </c>
      <c r="I58" s="72"/>
    </row>
    <row r="59" spans="1:9" s="35" customFormat="1" ht="95.25" customHeight="1">
      <c r="A59" s="33" t="s">
        <v>54</v>
      </c>
      <c r="B59" s="8" t="s">
        <v>87</v>
      </c>
      <c r="C59" s="8" t="s">
        <v>279</v>
      </c>
      <c r="D59" s="28">
        <f>'[1]Місто'!$C$63</f>
        <v>3483300</v>
      </c>
      <c r="E59" s="8"/>
      <c r="F59" s="13"/>
      <c r="G59" s="13">
        <f t="shared" si="1"/>
        <v>3483300</v>
      </c>
      <c r="I59" s="72"/>
    </row>
    <row r="60" spans="1:9" s="35" customFormat="1" ht="31.5">
      <c r="A60" s="33" t="s">
        <v>134</v>
      </c>
      <c r="B60" s="8" t="s">
        <v>135</v>
      </c>
      <c r="C60" s="8" t="s">
        <v>221</v>
      </c>
      <c r="D60" s="28">
        <f>'[1]Місто'!C65</f>
        <v>284901</v>
      </c>
      <c r="E60" s="8"/>
      <c r="F60" s="13"/>
      <c r="G60" s="27">
        <f aca="true" t="shared" si="2" ref="G60:G66">D60+F60</f>
        <v>284901</v>
      </c>
      <c r="I60" s="72"/>
    </row>
    <row r="61" spans="1:9" s="35" customFormat="1" ht="47.25">
      <c r="A61" s="33" t="s">
        <v>216</v>
      </c>
      <c r="B61" s="8" t="s">
        <v>217</v>
      </c>
      <c r="C61" s="8" t="s">
        <v>221</v>
      </c>
      <c r="D61" s="28">
        <f>'[1]Місто'!$C$66</f>
        <v>81595</v>
      </c>
      <c r="E61" s="8"/>
      <c r="F61" s="34"/>
      <c r="G61" s="27">
        <f t="shared" si="2"/>
        <v>81595</v>
      </c>
      <c r="I61" s="72"/>
    </row>
    <row r="62" spans="1:9" s="35" customFormat="1" ht="31.5" customHeight="1">
      <c r="A62" s="77" t="s">
        <v>94</v>
      </c>
      <c r="B62" s="80" t="s">
        <v>172</v>
      </c>
      <c r="C62" s="8" t="s">
        <v>221</v>
      </c>
      <c r="D62" s="28">
        <v>258358</v>
      </c>
      <c r="E62" s="8"/>
      <c r="F62" s="34"/>
      <c r="G62" s="27">
        <f t="shared" si="2"/>
        <v>258358</v>
      </c>
      <c r="I62" s="72"/>
    </row>
    <row r="63" spans="1:9" s="35" customFormat="1" ht="47.25">
      <c r="A63" s="78"/>
      <c r="B63" s="81"/>
      <c r="C63" s="59" t="s">
        <v>261</v>
      </c>
      <c r="D63" s="60">
        <f>1000+5000+3000</f>
        <v>9000</v>
      </c>
      <c r="E63" s="59" t="s">
        <v>261</v>
      </c>
      <c r="F63" s="60">
        <f>32000+10500+1000+1000</f>
        <v>44500</v>
      </c>
      <c r="G63" s="60">
        <f t="shared" si="2"/>
        <v>53500</v>
      </c>
      <c r="I63" s="72"/>
    </row>
    <row r="64" spans="1:9" s="35" customFormat="1" ht="68.25" customHeight="1">
      <c r="A64" s="79"/>
      <c r="B64" s="82"/>
      <c r="C64" s="8" t="s">
        <v>285</v>
      </c>
      <c r="D64" s="34">
        <v>51500</v>
      </c>
      <c r="E64" s="59"/>
      <c r="F64" s="60"/>
      <c r="G64" s="34">
        <f t="shared" si="2"/>
        <v>51500</v>
      </c>
      <c r="I64" s="72"/>
    </row>
    <row r="65" spans="1:9" s="35" customFormat="1" ht="47.25">
      <c r="A65" s="33" t="s">
        <v>132</v>
      </c>
      <c r="B65" s="8" t="s">
        <v>133</v>
      </c>
      <c r="C65" s="8" t="s">
        <v>249</v>
      </c>
      <c r="D65" s="28">
        <v>880020</v>
      </c>
      <c r="E65" s="8"/>
      <c r="F65" s="34"/>
      <c r="G65" s="27">
        <f t="shared" si="2"/>
        <v>880020</v>
      </c>
      <c r="I65" s="72"/>
    </row>
    <row r="66" spans="1:9" s="35" customFormat="1" ht="31.5">
      <c r="A66" s="45">
        <v>130112</v>
      </c>
      <c r="B66" s="8" t="s">
        <v>76</v>
      </c>
      <c r="C66" s="8" t="s">
        <v>221</v>
      </c>
      <c r="D66" s="39">
        <f>'[1]Місто'!$C$69</f>
        <v>439800</v>
      </c>
      <c r="E66" s="8" t="s">
        <v>221</v>
      </c>
      <c r="F66" s="19">
        <f>'[1]Місто'!$F$69</f>
        <v>42080</v>
      </c>
      <c r="G66" s="27">
        <f t="shared" si="2"/>
        <v>481880</v>
      </c>
      <c r="I66" s="72"/>
    </row>
    <row r="67" spans="1:9" s="35" customFormat="1" ht="31.5">
      <c r="A67" s="77" t="s">
        <v>68</v>
      </c>
      <c r="B67" s="80" t="s">
        <v>69</v>
      </c>
      <c r="C67" s="8"/>
      <c r="D67" s="9"/>
      <c r="E67" s="8" t="s">
        <v>273</v>
      </c>
      <c r="F67" s="19">
        <f>9617518+12697493-1558961+1500000-50000+1000000</f>
        <v>23206050</v>
      </c>
      <c r="G67" s="13">
        <f t="shared" si="1"/>
        <v>23206050</v>
      </c>
      <c r="I67" s="72"/>
    </row>
    <row r="68" spans="1:9" s="35" customFormat="1" ht="31.5">
      <c r="A68" s="78"/>
      <c r="B68" s="81"/>
      <c r="C68" s="8"/>
      <c r="D68" s="9"/>
      <c r="E68" s="8" t="s">
        <v>260</v>
      </c>
      <c r="F68" s="19">
        <v>583996</v>
      </c>
      <c r="G68" s="13">
        <f t="shared" si="1"/>
        <v>583996</v>
      </c>
      <c r="I68" s="72"/>
    </row>
    <row r="69" spans="1:9" s="35" customFormat="1" ht="31.5">
      <c r="A69" s="79"/>
      <c r="B69" s="82"/>
      <c r="C69" s="8"/>
      <c r="D69" s="9"/>
      <c r="E69" s="8" t="s">
        <v>221</v>
      </c>
      <c r="F69" s="19">
        <f>474681+1117493</f>
        <v>1592174</v>
      </c>
      <c r="G69" s="13">
        <f t="shared" si="1"/>
        <v>1592174</v>
      </c>
      <c r="I69" s="72"/>
    </row>
    <row r="70" spans="1:9" s="35" customFormat="1" ht="47.25">
      <c r="A70" s="8">
        <v>240601</v>
      </c>
      <c r="B70" s="8" t="s">
        <v>90</v>
      </c>
      <c r="C70" s="8"/>
      <c r="D70" s="9"/>
      <c r="E70" s="8" t="s">
        <v>248</v>
      </c>
      <c r="F70" s="34">
        <f>'[1]Місто'!$F$77</f>
        <v>372095</v>
      </c>
      <c r="G70" s="13">
        <f t="shared" si="1"/>
        <v>372095</v>
      </c>
      <c r="I70" s="72"/>
    </row>
    <row r="71" spans="1:9" s="35" customFormat="1" ht="53.25" customHeight="1">
      <c r="A71" s="44" t="s">
        <v>8</v>
      </c>
      <c r="B71" s="8" t="s">
        <v>9</v>
      </c>
      <c r="C71" s="8" t="s">
        <v>220</v>
      </c>
      <c r="D71" s="26">
        <v>1931095</v>
      </c>
      <c r="E71" s="8" t="s">
        <v>220</v>
      </c>
      <c r="F71" s="27">
        <f>68905+425854</f>
        <v>494759</v>
      </c>
      <c r="G71" s="27">
        <f>D71+F71</f>
        <v>2425854</v>
      </c>
      <c r="I71" s="72"/>
    </row>
    <row r="72" spans="1:9" s="35" customFormat="1" ht="33" customHeight="1">
      <c r="A72" s="41" t="s">
        <v>119</v>
      </c>
      <c r="B72" s="42" t="s">
        <v>34</v>
      </c>
      <c r="C72" s="8"/>
      <c r="D72" s="43">
        <f>SUM(D73:D93)</f>
        <v>26569738</v>
      </c>
      <c r="E72" s="9"/>
      <c r="F72" s="43">
        <f>SUM(F73:F93)</f>
        <v>21486290</v>
      </c>
      <c r="G72" s="46">
        <f>SUM(G73:G93)</f>
        <v>48056028</v>
      </c>
      <c r="H72" s="73">
        <f>'[1]Місто'!$K$79</f>
        <v>20944719</v>
      </c>
      <c r="I72" s="72">
        <f>H72-F72</f>
        <v>-541571</v>
      </c>
    </row>
    <row r="73" spans="1:9" s="35" customFormat="1" ht="34.5" customHeight="1" hidden="1">
      <c r="A73" s="36" t="s">
        <v>142</v>
      </c>
      <c r="B73" s="8" t="s">
        <v>143</v>
      </c>
      <c r="C73" s="8" t="s">
        <v>155</v>
      </c>
      <c r="D73" s="28"/>
      <c r="E73" s="8"/>
      <c r="F73" s="34"/>
      <c r="G73" s="34">
        <f>F73+D73</f>
        <v>0</v>
      </c>
      <c r="I73" s="72">
        <f>H73-F73</f>
        <v>0</v>
      </c>
    </row>
    <row r="74" spans="1:9" s="35" customFormat="1" ht="47.25">
      <c r="A74" s="77" t="s">
        <v>56</v>
      </c>
      <c r="B74" s="80" t="s">
        <v>2</v>
      </c>
      <c r="C74" s="8" t="s">
        <v>264</v>
      </c>
      <c r="D74" s="28">
        <f>6800504</f>
        <v>6800504</v>
      </c>
      <c r="E74" s="8" t="s">
        <v>264</v>
      </c>
      <c r="F74" s="34">
        <f>'[1]Місто'!$J$83-F77-F75</f>
        <v>7860727</v>
      </c>
      <c r="G74" s="34">
        <f aca="true" t="shared" si="3" ref="G74:G91">F74+D74</f>
        <v>14661231</v>
      </c>
      <c r="I74" s="72"/>
    </row>
    <row r="75" spans="1:9" s="35" customFormat="1" ht="34.5" customHeight="1">
      <c r="A75" s="78"/>
      <c r="B75" s="81"/>
      <c r="C75" s="8" t="s">
        <v>244</v>
      </c>
      <c r="D75" s="28">
        <f>29300</f>
        <v>29300</v>
      </c>
      <c r="E75" s="8" t="s">
        <v>244</v>
      </c>
      <c r="F75" s="34">
        <f>29300</f>
        <v>29300</v>
      </c>
      <c r="G75" s="34">
        <f t="shared" si="3"/>
        <v>58600</v>
      </c>
      <c r="I75" s="72"/>
    </row>
    <row r="76" spans="1:9" s="35" customFormat="1" ht="47.25">
      <c r="A76" s="78"/>
      <c r="B76" s="81"/>
      <c r="C76" s="8" t="s">
        <v>222</v>
      </c>
      <c r="D76" s="28">
        <v>1000000</v>
      </c>
      <c r="E76" s="8"/>
      <c r="F76" s="34"/>
      <c r="G76" s="34">
        <f t="shared" si="3"/>
        <v>1000000</v>
      </c>
      <c r="I76" s="72"/>
    </row>
    <row r="77" spans="1:9" s="35" customFormat="1" ht="47.25">
      <c r="A77" s="78"/>
      <c r="B77" s="81"/>
      <c r="C77" s="59" t="s">
        <v>261</v>
      </c>
      <c r="D77" s="62">
        <f>32000-5000</f>
        <v>27000</v>
      </c>
      <c r="E77" s="59" t="s">
        <v>261</v>
      </c>
      <c r="F77" s="60">
        <f>171500+33000+3000+6000+86000+227788+49220+6000+20000+5000</f>
        <v>607508</v>
      </c>
      <c r="G77" s="60">
        <f t="shared" si="3"/>
        <v>634508</v>
      </c>
      <c r="I77" s="72"/>
    </row>
    <row r="78" spans="1:9" s="35" customFormat="1" ht="63">
      <c r="A78" s="79"/>
      <c r="B78" s="82"/>
      <c r="C78" s="8" t="s">
        <v>285</v>
      </c>
      <c r="D78" s="28">
        <v>22010</v>
      </c>
      <c r="E78" s="59"/>
      <c r="F78" s="60"/>
      <c r="G78" s="34">
        <f t="shared" si="3"/>
        <v>22010</v>
      </c>
      <c r="I78" s="72"/>
    </row>
    <row r="79" spans="1:9" s="35" customFormat="1" ht="47.25">
      <c r="A79" s="77" t="s">
        <v>95</v>
      </c>
      <c r="B79" s="80" t="s">
        <v>207</v>
      </c>
      <c r="C79" s="8" t="s">
        <v>264</v>
      </c>
      <c r="D79" s="28">
        <f>915588</f>
        <v>915588</v>
      </c>
      <c r="E79" s="8" t="s">
        <v>264</v>
      </c>
      <c r="F79" s="34">
        <f>'[1]Місто'!$J$85-F80</f>
        <v>630700</v>
      </c>
      <c r="G79" s="34">
        <f t="shared" si="3"/>
        <v>1546288</v>
      </c>
      <c r="I79" s="72"/>
    </row>
    <row r="80" spans="1:9" s="35" customFormat="1" ht="47.25">
      <c r="A80" s="78"/>
      <c r="B80" s="81"/>
      <c r="C80" s="59" t="s">
        <v>261</v>
      </c>
      <c r="D80" s="60">
        <f>16000+21000</f>
        <v>37000</v>
      </c>
      <c r="E80" s="59" t="s">
        <v>261</v>
      </c>
      <c r="F80" s="60">
        <f>95500+30000+3000+31500+3050+4770+4000+5000</f>
        <v>176820</v>
      </c>
      <c r="G80" s="60">
        <f t="shared" si="3"/>
        <v>213820</v>
      </c>
      <c r="I80" s="72"/>
    </row>
    <row r="81" spans="1:9" s="35" customFormat="1" ht="63">
      <c r="A81" s="79"/>
      <c r="B81" s="82"/>
      <c r="C81" s="8" t="s">
        <v>285</v>
      </c>
      <c r="D81" s="34">
        <v>12906</v>
      </c>
      <c r="E81" s="59"/>
      <c r="F81" s="60"/>
      <c r="G81" s="34">
        <f t="shared" si="3"/>
        <v>12906</v>
      </c>
      <c r="I81" s="72"/>
    </row>
    <row r="82" spans="1:9" s="35" customFormat="1" ht="47.25">
      <c r="A82" s="77" t="s">
        <v>57</v>
      </c>
      <c r="B82" s="80" t="s">
        <v>3</v>
      </c>
      <c r="C82" s="8" t="s">
        <v>264</v>
      </c>
      <c r="D82" s="28">
        <f>2478122</f>
        <v>2478122</v>
      </c>
      <c r="E82" s="8" t="s">
        <v>264</v>
      </c>
      <c r="F82" s="34">
        <f>'[1]Місто'!$J$86-F83</f>
        <v>2114661</v>
      </c>
      <c r="G82" s="34">
        <f t="shared" si="3"/>
        <v>4592783</v>
      </c>
      <c r="I82" s="72"/>
    </row>
    <row r="83" spans="1:9" s="35" customFormat="1" ht="47.25">
      <c r="A83" s="78"/>
      <c r="B83" s="81"/>
      <c r="C83" s="59" t="s">
        <v>261</v>
      </c>
      <c r="D83" s="60">
        <f>10000+18190+18000</f>
        <v>46190</v>
      </c>
      <c r="E83" s="59" t="s">
        <v>261</v>
      </c>
      <c r="F83" s="60">
        <f>113600+14000+2000+2350+49506+39990+12000+5000</f>
        <v>238446</v>
      </c>
      <c r="G83" s="60">
        <f t="shared" si="3"/>
        <v>284636</v>
      </c>
      <c r="I83" s="72"/>
    </row>
    <row r="84" spans="1:9" s="35" customFormat="1" ht="63">
      <c r="A84" s="79"/>
      <c r="B84" s="82"/>
      <c r="C84" s="8" t="s">
        <v>285</v>
      </c>
      <c r="D84" s="34">
        <v>14852</v>
      </c>
      <c r="E84" s="59"/>
      <c r="F84" s="60"/>
      <c r="G84" s="34">
        <f t="shared" si="3"/>
        <v>14852</v>
      </c>
      <c r="I84" s="72"/>
    </row>
    <row r="85" spans="1:9" s="35" customFormat="1" ht="47.25" customHeight="1">
      <c r="A85" s="77" t="s">
        <v>58</v>
      </c>
      <c r="B85" s="80" t="s">
        <v>4</v>
      </c>
      <c r="C85" s="8" t="s">
        <v>264</v>
      </c>
      <c r="D85" s="28">
        <f>2079269</f>
        <v>2079269</v>
      </c>
      <c r="E85" s="8" t="s">
        <v>264</v>
      </c>
      <c r="F85" s="34">
        <f>'[1]Місто'!$J$88-F86</f>
        <v>172616</v>
      </c>
      <c r="G85" s="34">
        <f t="shared" si="3"/>
        <v>2251885</v>
      </c>
      <c r="I85" s="72"/>
    </row>
    <row r="86" spans="1:9" s="35" customFormat="1" ht="47.25">
      <c r="A86" s="78"/>
      <c r="B86" s="81"/>
      <c r="C86" s="8"/>
      <c r="D86" s="28"/>
      <c r="E86" s="59" t="s">
        <v>261</v>
      </c>
      <c r="F86" s="60">
        <v>5000</v>
      </c>
      <c r="G86" s="60">
        <f>F86+D86</f>
        <v>5000</v>
      </c>
      <c r="I86" s="72"/>
    </row>
    <row r="87" spans="1:9" s="35" customFormat="1" ht="66" customHeight="1">
      <c r="A87" s="79"/>
      <c r="B87" s="82"/>
      <c r="C87" s="8" t="s">
        <v>285</v>
      </c>
      <c r="D87" s="28">
        <v>2954</v>
      </c>
      <c r="E87" s="59"/>
      <c r="F87" s="60"/>
      <c r="G87" s="34">
        <f>F87+D87</f>
        <v>2954</v>
      </c>
      <c r="I87" s="72"/>
    </row>
    <row r="88" spans="1:9" s="35" customFormat="1" ht="47.25">
      <c r="A88" s="36" t="s">
        <v>96</v>
      </c>
      <c r="B88" s="37" t="s">
        <v>97</v>
      </c>
      <c r="C88" s="8" t="s">
        <v>223</v>
      </c>
      <c r="D88" s="28">
        <f>9942752</f>
        <v>9942752</v>
      </c>
      <c r="E88" s="8"/>
      <c r="F88" s="13"/>
      <c r="G88" s="34">
        <f t="shared" si="3"/>
        <v>9942752</v>
      </c>
      <c r="I88" s="72"/>
    </row>
    <row r="89" spans="1:9" s="35" customFormat="1" ht="15.75" hidden="1">
      <c r="A89" s="33" t="s">
        <v>59</v>
      </c>
      <c r="B89" s="8" t="s">
        <v>5</v>
      </c>
      <c r="C89" s="8"/>
      <c r="D89" s="28"/>
      <c r="E89" s="8"/>
      <c r="F89" s="34">
        <f>'[1]Місто'!$F$92</f>
        <v>0</v>
      </c>
      <c r="G89" s="34">
        <f t="shared" si="3"/>
        <v>0</v>
      </c>
      <c r="I89" s="72"/>
    </row>
    <row r="90" spans="1:9" s="35" customFormat="1" ht="46.5" customHeight="1">
      <c r="A90" s="33" t="s">
        <v>60</v>
      </c>
      <c r="B90" s="37" t="s">
        <v>208</v>
      </c>
      <c r="C90" s="8" t="s">
        <v>224</v>
      </c>
      <c r="D90" s="28">
        <f>'[1]Місто'!$C$93</f>
        <v>3161291</v>
      </c>
      <c r="E90" s="8"/>
      <c r="F90" s="13"/>
      <c r="G90" s="34">
        <f t="shared" si="3"/>
        <v>3161291</v>
      </c>
      <c r="I90" s="72"/>
    </row>
    <row r="91" spans="1:9" s="35" customFormat="1" ht="47.25">
      <c r="A91" s="33" t="s">
        <v>68</v>
      </c>
      <c r="B91" s="8" t="s">
        <v>69</v>
      </c>
      <c r="C91" s="8"/>
      <c r="D91" s="9"/>
      <c r="E91" s="8" t="s">
        <v>264</v>
      </c>
      <c r="F91" s="34">
        <f>'[1]Місто'!$F$95</f>
        <v>9650512</v>
      </c>
      <c r="G91" s="34">
        <f t="shared" si="3"/>
        <v>9650512</v>
      </c>
      <c r="I91" s="72"/>
    </row>
    <row r="92" spans="1:9" s="35" customFormat="1" ht="36" customHeight="1" hidden="1">
      <c r="A92" s="78" t="s">
        <v>55</v>
      </c>
      <c r="B92" s="81" t="s">
        <v>89</v>
      </c>
      <c r="C92" s="8"/>
      <c r="D92" s="9"/>
      <c r="E92" s="8" t="s">
        <v>106</v>
      </c>
      <c r="F92" s="19"/>
      <c r="G92" s="13">
        <f>F92+D92</f>
        <v>0</v>
      </c>
      <c r="I92" s="72">
        <f>H92-F92</f>
        <v>0</v>
      </c>
    </row>
    <row r="93" spans="1:9" s="35" customFormat="1" ht="33" customHeight="1" hidden="1">
      <c r="A93" s="79"/>
      <c r="B93" s="82"/>
      <c r="C93" s="8"/>
      <c r="D93" s="9"/>
      <c r="E93" s="8" t="s">
        <v>107</v>
      </c>
      <c r="F93" s="19"/>
      <c r="G93" s="13">
        <f>F93+D93</f>
        <v>0</v>
      </c>
      <c r="I93" s="72">
        <f>H93-F93</f>
        <v>0</v>
      </c>
    </row>
    <row r="94" spans="1:9" s="35" customFormat="1" ht="34.5" customHeight="1">
      <c r="A94" s="41" t="s">
        <v>120</v>
      </c>
      <c r="B94" s="42" t="s">
        <v>35</v>
      </c>
      <c r="C94" s="8"/>
      <c r="D94" s="47">
        <f>SUM(D95:D116)</f>
        <v>34006728</v>
      </c>
      <c r="E94" s="13"/>
      <c r="F94" s="47">
        <f>SUM(F95:F116)</f>
        <v>9871640</v>
      </c>
      <c r="G94" s="47">
        <f>SUM(G95:G116)</f>
        <v>43878368</v>
      </c>
      <c r="H94" s="73">
        <f>'[1]Місто'!$K$100</f>
        <v>10027640</v>
      </c>
      <c r="I94" s="72">
        <f>H94-F94</f>
        <v>156000</v>
      </c>
    </row>
    <row r="95" spans="1:9" s="35" customFormat="1" ht="47.25">
      <c r="A95" s="77" t="s">
        <v>142</v>
      </c>
      <c r="B95" s="80" t="s">
        <v>143</v>
      </c>
      <c r="C95" s="8"/>
      <c r="D95" s="34"/>
      <c r="E95" s="8" t="s">
        <v>262</v>
      </c>
      <c r="F95" s="34">
        <f>'[1]Місто'!$K$102</f>
        <v>1285484</v>
      </c>
      <c r="G95" s="34">
        <f>F95+D95</f>
        <v>1285484</v>
      </c>
      <c r="I95" s="72"/>
    </row>
    <row r="96" spans="1:9" s="35" customFormat="1" ht="96.75" customHeight="1" hidden="1">
      <c r="A96" s="78"/>
      <c r="B96" s="81"/>
      <c r="C96" s="8" t="s">
        <v>206</v>
      </c>
      <c r="D96" s="28">
        <f>'[1]Місто'!$C$158</f>
        <v>0</v>
      </c>
      <c r="E96" s="8"/>
      <c r="F96" s="13"/>
      <c r="G96" s="34">
        <f>F96+D96</f>
        <v>0</v>
      </c>
      <c r="I96" s="72"/>
    </row>
    <row r="97" spans="1:9" s="35" customFormat="1" ht="64.5" customHeight="1">
      <c r="A97" s="79"/>
      <c r="B97" s="82"/>
      <c r="C97" s="8" t="s">
        <v>285</v>
      </c>
      <c r="D97" s="34">
        <v>1450</v>
      </c>
      <c r="E97" s="8"/>
      <c r="F97" s="13"/>
      <c r="G97" s="34">
        <f>F97+D97</f>
        <v>1450</v>
      </c>
      <c r="I97" s="72"/>
    </row>
    <row r="98" spans="1:9" s="35" customFormat="1" ht="47.25">
      <c r="A98" s="33" t="s">
        <v>63</v>
      </c>
      <c r="B98" s="8" t="s">
        <v>212</v>
      </c>
      <c r="C98" s="8"/>
      <c r="D98" s="28"/>
      <c r="E98" s="8" t="s">
        <v>262</v>
      </c>
      <c r="F98" s="34">
        <f>'[1]Місто'!$F$155</f>
        <v>196550</v>
      </c>
      <c r="G98" s="13">
        <f>F98+D98</f>
        <v>196550</v>
      </c>
      <c r="I98" s="72"/>
    </row>
    <row r="99" spans="1:9" s="35" customFormat="1" ht="63">
      <c r="A99" s="33" t="s">
        <v>64</v>
      </c>
      <c r="B99" s="8" t="s">
        <v>213</v>
      </c>
      <c r="C99" s="8" t="s">
        <v>225</v>
      </c>
      <c r="D99" s="28">
        <f>'[1]Місто'!$C$156</f>
        <v>204630</v>
      </c>
      <c r="E99" s="8"/>
      <c r="F99" s="13"/>
      <c r="G99" s="13">
        <f>F99+D99</f>
        <v>204630</v>
      </c>
      <c r="I99" s="72"/>
    </row>
    <row r="100" spans="1:9" s="35" customFormat="1" ht="31.5" hidden="1">
      <c r="A100" s="33" t="s">
        <v>65</v>
      </c>
      <c r="B100" s="8" t="s">
        <v>214</v>
      </c>
      <c r="C100" s="8"/>
      <c r="D100" s="28"/>
      <c r="E100" s="8"/>
      <c r="F100" s="13"/>
      <c r="G100" s="13"/>
      <c r="I100" s="72"/>
    </row>
    <row r="101" spans="1:9" s="35" customFormat="1" ht="50.25" customHeight="1">
      <c r="A101" s="77" t="s">
        <v>140</v>
      </c>
      <c r="B101" s="80" t="s">
        <v>141</v>
      </c>
      <c r="C101" s="8" t="s">
        <v>265</v>
      </c>
      <c r="D101" s="28">
        <f>5997500+122966</f>
        <v>6120466</v>
      </c>
      <c r="E101" s="8" t="s">
        <v>265</v>
      </c>
      <c r="F101" s="71">
        <f>'[1]Місто'!$K$159-F104-F102</f>
        <v>828796</v>
      </c>
      <c r="G101" s="13">
        <f aca="true" t="shared" si="4" ref="G101:G118">F101+D101</f>
        <v>6949262</v>
      </c>
      <c r="I101" s="72"/>
    </row>
    <row r="102" spans="1:9" s="35" customFormat="1" ht="50.25" customHeight="1">
      <c r="A102" s="78"/>
      <c r="B102" s="81"/>
      <c r="C102" s="8" t="s">
        <v>244</v>
      </c>
      <c r="D102" s="28">
        <v>70343</v>
      </c>
      <c r="E102" s="8" t="s">
        <v>244</v>
      </c>
      <c r="F102" s="34">
        <v>70343</v>
      </c>
      <c r="G102" s="13">
        <f t="shared" si="4"/>
        <v>140686</v>
      </c>
      <c r="I102" s="72"/>
    </row>
    <row r="103" spans="1:9" s="35" customFormat="1" ht="110.25" customHeight="1" hidden="1">
      <c r="A103" s="78"/>
      <c r="B103" s="81"/>
      <c r="C103" s="8"/>
      <c r="D103" s="28"/>
      <c r="E103" s="8"/>
      <c r="F103" s="13"/>
      <c r="G103" s="13">
        <f t="shared" si="4"/>
        <v>0</v>
      </c>
      <c r="I103" s="72"/>
    </row>
    <row r="104" spans="1:9" s="35" customFormat="1" ht="47.25">
      <c r="A104" s="78"/>
      <c r="B104" s="81"/>
      <c r="C104" s="59" t="s">
        <v>261</v>
      </c>
      <c r="D104" s="61">
        <v>11500</v>
      </c>
      <c r="E104" s="59" t="s">
        <v>261</v>
      </c>
      <c r="F104" s="61">
        <f>27500+18500+1484+500+8000+10000</f>
        <v>65984</v>
      </c>
      <c r="G104" s="61">
        <f>F104+D104</f>
        <v>77484</v>
      </c>
      <c r="I104" s="72"/>
    </row>
    <row r="105" spans="1:9" s="35" customFormat="1" ht="63">
      <c r="A105" s="79"/>
      <c r="B105" s="82"/>
      <c r="C105" s="8" t="s">
        <v>285</v>
      </c>
      <c r="D105" s="13">
        <v>7734</v>
      </c>
      <c r="E105" s="59"/>
      <c r="F105" s="61"/>
      <c r="G105" s="13">
        <f>F105+D105</f>
        <v>7734</v>
      </c>
      <c r="I105" s="72"/>
    </row>
    <row r="106" spans="1:9" s="35" customFormat="1" ht="49.5" customHeight="1">
      <c r="A106" s="77" t="s">
        <v>6</v>
      </c>
      <c r="B106" s="80" t="s">
        <v>0</v>
      </c>
      <c r="C106" s="8" t="s">
        <v>226</v>
      </c>
      <c r="D106" s="28">
        <f>'[1]Місто'!$C$161-D107</f>
        <v>843258</v>
      </c>
      <c r="E106" s="8"/>
      <c r="F106" s="13"/>
      <c r="G106" s="13">
        <f t="shared" si="4"/>
        <v>843258</v>
      </c>
      <c r="I106" s="72"/>
    </row>
    <row r="107" spans="1:9" s="35" customFormat="1" ht="47.25">
      <c r="A107" s="79"/>
      <c r="B107" s="82"/>
      <c r="C107" s="59" t="s">
        <v>261</v>
      </c>
      <c r="D107" s="61">
        <f>5000+1000</f>
        <v>6000</v>
      </c>
      <c r="E107" s="59" t="s">
        <v>261</v>
      </c>
      <c r="F107" s="61">
        <f>5000+47500-10000</f>
        <v>42500</v>
      </c>
      <c r="G107" s="34">
        <f>F107+D107</f>
        <v>48500</v>
      </c>
      <c r="I107" s="72"/>
    </row>
    <row r="108" spans="1:9" s="35" customFormat="1" ht="44.25" customHeight="1">
      <c r="A108" s="77" t="s">
        <v>70</v>
      </c>
      <c r="B108" s="80" t="s">
        <v>77</v>
      </c>
      <c r="C108" s="8" t="s">
        <v>226</v>
      </c>
      <c r="D108" s="28">
        <f>'[1]Місто'!$C$151-D109</f>
        <v>6758123</v>
      </c>
      <c r="E108" s="8"/>
      <c r="F108" s="13"/>
      <c r="G108" s="13">
        <f t="shared" si="4"/>
        <v>6758123</v>
      </c>
      <c r="I108" s="72"/>
    </row>
    <row r="109" spans="1:9" s="35" customFormat="1" ht="47.25">
      <c r="A109" s="79"/>
      <c r="B109" s="82"/>
      <c r="C109" s="59" t="s">
        <v>261</v>
      </c>
      <c r="D109" s="62">
        <f>1555600+15000+387066+528230-1000+100000+20000+57710</f>
        <v>2662606</v>
      </c>
      <c r="E109" s="59"/>
      <c r="F109" s="61"/>
      <c r="G109" s="61">
        <f t="shared" si="4"/>
        <v>2662606</v>
      </c>
      <c r="I109" s="72"/>
    </row>
    <row r="110" spans="1:9" s="35" customFormat="1" ht="47.25">
      <c r="A110" s="77" t="s">
        <v>68</v>
      </c>
      <c r="B110" s="80" t="s">
        <v>69</v>
      </c>
      <c r="C110" s="8"/>
      <c r="D110" s="28"/>
      <c r="E110" s="8" t="s">
        <v>266</v>
      </c>
      <c r="F110" s="19">
        <v>684413</v>
      </c>
      <c r="G110" s="13">
        <f t="shared" si="4"/>
        <v>684413</v>
      </c>
      <c r="I110" s="72"/>
    </row>
    <row r="111" spans="1:9" s="35" customFormat="1" ht="45.75" customHeight="1">
      <c r="A111" s="79"/>
      <c r="B111" s="82"/>
      <c r="C111" s="8"/>
      <c r="D111" s="9"/>
      <c r="E111" s="8" t="s">
        <v>267</v>
      </c>
      <c r="F111" s="19">
        <f>'[1]Місто'!$F$165-F110</f>
        <v>6697570</v>
      </c>
      <c r="G111" s="13">
        <f t="shared" si="4"/>
        <v>6697570</v>
      </c>
      <c r="I111" s="72"/>
    </row>
    <row r="112" spans="1:9" s="35" customFormat="1" ht="52.5" customHeight="1" hidden="1">
      <c r="A112" s="48" t="s">
        <v>17</v>
      </c>
      <c r="B112" s="80" t="s">
        <v>210</v>
      </c>
      <c r="C112" s="8" t="s">
        <v>108</v>
      </c>
      <c r="D112" s="28"/>
      <c r="E112" s="8"/>
      <c r="F112" s="27"/>
      <c r="G112" s="13">
        <f>F112+D112</f>
        <v>0</v>
      </c>
      <c r="I112" s="72"/>
    </row>
    <row r="113" spans="1:9" s="35" customFormat="1" ht="46.5" customHeight="1">
      <c r="A113" s="78" t="s">
        <v>17</v>
      </c>
      <c r="B113" s="81"/>
      <c r="C113" s="8" t="s">
        <v>227</v>
      </c>
      <c r="D113" s="28">
        <f>'[1]Місто'!$C$167-'[1]Місто'!$C$168</f>
        <v>157950</v>
      </c>
      <c r="E113" s="8"/>
      <c r="F113" s="27"/>
      <c r="G113" s="13">
        <f>F113+D113</f>
        <v>157950</v>
      </c>
      <c r="I113" s="72"/>
    </row>
    <row r="114" spans="1:9" s="35" customFormat="1" ht="62.25" customHeight="1" hidden="1">
      <c r="A114" s="79"/>
      <c r="B114" s="82"/>
      <c r="C114" s="8" t="s">
        <v>206</v>
      </c>
      <c r="D114" s="28"/>
      <c r="E114" s="8"/>
      <c r="F114" s="27"/>
      <c r="G114" s="13">
        <f>F114+D114</f>
        <v>0</v>
      </c>
      <c r="I114" s="72"/>
    </row>
    <row r="115" spans="1:9" s="35" customFormat="1" ht="48" customHeight="1">
      <c r="A115" s="33" t="s">
        <v>71</v>
      </c>
      <c r="B115" s="8" t="s">
        <v>211</v>
      </c>
      <c r="C115" s="8" t="s">
        <v>227</v>
      </c>
      <c r="D115" s="28">
        <f>'[1]Місто'!$C$169-'[1]Місто'!$C$170</f>
        <v>500000</v>
      </c>
      <c r="E115" s="8"/>
      <c r="F115" s="27"/>
      <c r="G115" s="13">
        <f t="shared" si="4"/>
        <v>500000</v>
      </c>
      <c r="I115" s="72"/>
    </row>
    <row r="116" spans="1:9" s="35" customFormat="1" ht="45.75" customHeight="1">
      <c r="A116" s="36" t="s">
        <v>101</v>
      </c>
      <c r="B116" s="37" t="s">
        <v>197</v>
      </c>
      <c r="C116" s="8" t="s">
        <v>227</v>
      </c>
      <c r="D116" s="28">
        <f>'[1]Місто'!$C$173-'[1]Місто'!$C$174</f>
        <v>16662668</v>
      </c>
      <c r="E116" s="8"/>
      <c r="F116" s="27"/>
      <c r="G116" s="13">
        <f t="shared" si="4"/>
        <v>16662668</v>
      </c>
      <c r="I116" s="72"/>
    </row>
    <row r="117" spans="1:9" s="35" customFormat="1" ht="68.25" customHeight="1" hidden="1">
      <c r="A117" s="41" t="s">
        <v>157</v>
      </c>
      <c r="B117" s="42" t="s">
        <v>161</v>
      </c>
      <c r="C117" s="8"/>
      <c r="D117" s="43">
        <f>SUM(D118:D118)</f>
        <v>0</v>
      </c>
      <c r="E117" s="8"/>
      <c r="F117" s="43">
        <f>SUM(F118:F118)</f>
        <v>0</v>
      </c>
      <c r="G117" s="43">
        <f>SUM(G118:G118)</f>
        <v>0</v>
      </c>
      <c r="I117" s="72">
        <f aca="true" t="shared" si="5" ref="I117:I122">H117-F117</f>
        <v>0</v>
      </c>
    </row>
    <row r="118" spans="1:9" s="35" customFormat="1" ht="31.5" hidden="1">
      <c r="A118" s="33" t="s">
        <v>142</v>
      </c>
      <c r="B118" s="8" t="s">
        <v>143</v>
      </c>
      <c r="C118" s="8" t="s">
        <v>158</v>
      </c>
      <c r="D118" s="28"/>
      <c r="E118" s="8" t="s">
        <v>158</v>
      </c>
      <c r="F118" s="19"/>
      <c r="G118" s="13">
        <f t="shared" si="4"/>
        <v>0</v>
      </c>
      <c r="I118" s="72">
        <f t="shared" si="5"/>
        <v>0</v>
      </c>
    </row>
    <row r="119" spans="1:9" s="35" customFormat="1" ht="63" hidden="1">
      <c r="A119" s="41" t="s">
        <v>168</v>
      </c>
      <c r="B119" s="42" t="s">
        <v>169</v>
      </c>
      <c r="C119" s="8"/>
      <c r="D119" s="43">
        <f>SUM(D120:D120)</f>
        <v>0</v>
      </c>
      <c r="E119" s="8"/>
      <c r="F119" s="43">
        <f>SUM(F120:F120)</f>
        <v>0</v>
      </c>
      <c r="G119" s="43">
        <f>SUM(G120:G120)</f>
        <v>0</v>
      </c>
      <c r="I119" s="72">
        <f t="shared" si="5"/>
        <v>0</v>
      </c>
    </row>
    <row r="120" spans="1:9" s="35" customFormat="1" ht="47.25" hidden="1">
      <c r="A120" s="33" t="s">
        <v>142</v>
      </c>
      <c r="B120" s="8" t="s">
        <v>143</v>
      </c>
      <c r="C120" s="8" t="s">
        <v>170</v>
      </c>
      <c r="D120" s="28"/>
      <c r="E120" s="8" t="s">
        <v>170</v>
      </c>
      <c r="F120" s="19"/>
      <c r="G120" s="13">
        <f>F120+D120</f>
        <v>0</v>
      </c>
      <c r="I120" s="72">
        <f t="shared" si="5"/>
        <v>0</v>
      </c>
    </row>
    <row r="121" spans="1:9" s="35" customFormat="1" ht="35.25" customHeight="1">
      <c r="A121" s="41" t="s">
        <v>125</v>
      </c>
      <c r="B121" s="42" t="s">
        <v>38</v>
      </c>
      <c r="C121" s="8"/>
      <c r="D121" s="43">
        <f>SUM(D122:D139)</f>
        <v>4862560</v>
      </c>
      <c r="E121" s="9"/>
      <c r="F121" s="43">
        <f>SUM(F122:F139)</f>
        <v>5714273</v>
      </c>
      <c r="G121" s="46">
        <f>SUM(G122:G139)</f>
        <v>10576833</v>
      </c>
      <c r="H121" s="73">
        <f>'[1]Місто'!$K$195</f>
        <v>4689608</v>
      </c>
      <c r="I121" s="72">
        <f t="shared" si="5"/>
        <v>-1024665</v>
      </c>
    </row>
    <row r="122" spans="1:9" s="35" customFormat="1" ht="31.5" hidden="1">
      <c r="A122" s="33" t="s">
        <v>142</v>
      </c>
      <c r="B122" s="8" t="s">
        <v>143</v>
      </c>
      <c r="C122" s="8" t="s">
        <v>160</v>
      </c>
      <c r="D122" s="28"/>
      <c r="E122" s="8"/>
      <c r="F122" s="34"/>
      <c r="G122" s="27">
        <f aca="true" t="shared" si="6" ref="G122:G137">D122+F122</f>
        <v>0</v>
      </c>
      <c r="I122" s="72">
        <f t="shared" si="5"/>
        <v>0</v>
      </c>
    </row>
    <row r="123" spans="1:9" s="35" customFormat="1" ht="44.25" customHeight="1">
      <c r="A123" s="77" t="s">
        <v>136</v>
      </c>
      <c r="B123" s="80" t="s">
        <v>137</v>
      </c>
      <c r="C123" s="8" t="s">
        <v>228</v>
      </c>
      <c r="D123" s="28">
        <v>101408</v>
      </c>
      <c r="E123" s="8" t="s">
        <v>230</v>
      </c>
      <c r="F123" s="34">
        <f>129972+64407</f>
        <v>194379</v>
      </c>
      <c r="G123" s="27">
        <f t="shared" si="6"/>
        <v>295787</v>
      </c>
      <c r="I123" s="72"/>
    </row>
    <row r="124" spans="1:9" s="35" customFormat="1" ht="61.5" customHeight="1">
      <c r="A124" s="79"/>
      <c r="B124" s="82"/>
      <c r="C124" s="8" t="s">
        <v>285</v>
      </c>
      <c r="D124" s="28">
        <v>1272</v>
      </c>
      <c r="E124" s="8"/>
      <c r="F124" s="34"/>
      <c r="G124" s="27">
        <f t="shared" si="6"/>
        <v>1272</v>
      </c>
      <c r="I124" s="72"/>
    </row>
    <row r="125" spans="1:9" s="35" customFormat="1" ht="47.25">
      <c r="A125" s="77" t="s">
        <v>138</v>
      </c>
      <c r="B125" s="80" t="s">
        <v>139</v>
      </c>
      <c r="C125" s="8" t="s">
        <v>229</v>
      </c>
      <c r="D125" s="28">
        <v>949230</v>
      </c>
      <c r="E125" s="8" t="s">
        <v>230</v>
      </c>
      <c r="F125" s="34">
        <f>1055075+150000</f>
        <v>1205075</v>
      </c>
      <c r="G125" s="27">
        <f t="shared" si="6"/>
        <v>2154305</v>
      </c>
      <c r="I125" s="72"/>
    </row>
    <row r="126" spans="1:9" s="35" customFormat="1" ht="47.25">
      <c r="A126" s="78"/>
      <c r="B126" s="81"/>
      <c r="C126" s="59" t="s">
        <v>261</v>
      </c>
      <c r="D126" s="60">
        <f>5000+500</f>
        <v>5500</v>
      </c>
      <c r="E126" s="59" t="s">
        <v>261</v>
      </c>
      <c r="F126" s="60">
        <f>46500+5000+3000+19000</f>
        <v>73500</v>
      </c>
      <c r="G126" s="63">
        <f t="shared" si="6"/>
        <v>79000</v>
      </c>
      <c r="I126" s="72"/>
    </row>
    <row r="127" spans="1:9" s="35" customFormat="1" ht="69" customHeight="1">
      <c r="A127" s="79"/>
      <c r="B127" s="82"/>
      <c r="C127" s="8" t="s">
        <v>285</v>
      </c>
      <c r="D127" s="34">
        <v>8010</v>
      </c>
      <c r="E127" s="59"/>
      <c r="F127" s="60"/>
      <c r="G127" s="27">
        <f t="shared" si="6"/>
        <v>8010</v>
      </c>
      <c r="I127" s="72"/>
    </row>
    <row r="128" spans="1:9" s="35" customFormat="1" ht="47.25">
      <c r="A128" s="77" t="s">
        <v>146</v>
      </c>
      <c r="B128" s="80" t="s">
        <v>147</v>
      </c>
      <c r="C128" s="8" t="s">
        <v>229</v>
      </c>
      <c r="D128" s="28">
        <v>374849</v>
      </c>
      <c r="E128" s="8" t="s">
        <v>229</v>
      </c>
      <c r="F128" s="34">
        <f>565442+74400</f>
        <v>639842</v>
      </c>
      <c r="G128" s="27">
        <f t="shared" si="6"/>
        <v>1014691</v>
      </c>
      <c r="I128" s="72"/>
    </row>
    <row r="129" spans="1:9" s="35" customFormat="1" ht="47.25">
      <c r="A129" s="79"/>
      <c r="B129" s="82"/>
      <c r="C129" s="59" t="s">
        <v>261</v>
      </c>
      <c r="D129" s="60">
        <v>12000</v>
      </c>
      <c r="E129" s="8"/>
      <c r="F129" s="60">
        <f>12000+8000</f>
        <v>20000</v>
      </c>
      <c r="G129" s="60">
        <f>F129+D129</f>
        <v>32000</v>
      </c>
      <c r="I129" s="72"/>
    </row>
    <row r="130" spans="1:9" s="35" customFormat="1" ht="47.25">
      <c r="A130" s="77" t="s">
        <v>144</v>
      </c>
      <c r="B130" s="80" t="s">
        <v>145</v>
      </c>
      <c r="C130" s="8" t="s">
        <v>229</v>
      </c>
      <c r="D130" s="28">
        <v>24000</v>
      </c>
      <c r="E130" s="8" t="s">
        <v>230</v>
      </c>
      <c r="F130" s="34">
        <f>2141240+1051467</f>
        <v>3192707</v>
      </c>
      <c r="G130" s="27">
        <f t="shared" si="6"/>
        <v>3216707</v>
      </c>
      <c r="I130" s="72"/>
    </row>
    <row r="131" spans="1:9" s="35" customFormat="1" ht="47.25">
      <c r="A131" s="78"/>
      <c r="B131" s="81"/>
      <c r="C131" s="8"/>
      <c r="D131" s="28"/>
      <c r="E131" s="59" t="s">
        <v>261</v>
      </c>
      <c r="F131" s="60">
        <f>5500+3000+3000</f>
        <v>11500</v>
      </c>
      <c r="G131" s="60">
        <f>D131+F131</f>
        <v>11500</v>
      </c>
      <c r="I131" s="72"/>
    </row>
    <row r="132" spans="1:9" s="35" customFormat="1" ht="66" customHeight="1">
      <c r="A132" s="79"/>
      <c r="B132" s="82"/>
      <c r="C132" s="8" t="s">
        <v>285</v>
      </c>
      <c r="D132" s="28">
        <v>27731</v>
      </c>
      <c r="E132" s="59"/>
      <c r="F132" s="60"/>
      <c r="G132" s="34">
        <f>D132+F132</f>
        <v>27731</v>
      </c>
      <c r="I132" s="72"/>
    </row>
    <row r="133" spans="1:9" s="35" customFormat="1" ht="47.25">
      <c r="A133" s="40">
        <v>110300</v>
      </c>
      <c r="B133" s="31" t="s">
        <v>14</v>
      </c>
      <c r="C133" s="8" t="s">
        <v>231</v>
      </c>
      <c r="D133" s="39">
        <f>'[1]Місто'!$C$205</f>
        <v>1047685</v>
      </c>
      <c r="E133" s="8"/>
      <c r="F133" s="60"/>
      <c r="G133" s="27">
        <f t="shared" si="6"/>
        <v>1047685</v>
      </c>
      <c r="I133" s="72"/>
    </row>
    <row r="134" spans="1:9" s="35" customFormat="1" ht="47.25">
      <c r="A134" s="87">
        <v>110502</v>
      </c>
      <c r="B134" s="80" t="s">
        <v>1</v>
      </c>
      <c r="C134" s="8" t="s">
        <v>232</v>
      </c>
      <c r="D134" s="26">
        <f>1655013+262096</f>
        <v>1917109</v>
      </c>
      <c r="E134" s="8" t="s">
        <v>232</v>
      </c>
      <c r="F134" s="27">
        <v>42040</v>
      </c>
      <c r="G134" s="27">
        <f t="shared" si="6"/>
        <v>1959149</v>
      </c>
      <c r="I134" s="72"/>
    </row>
    <row r="135" spans="1:9" s="35" customFormat="1" ht="47.25">
      <c r="A135" s="88"/>
      <c r="B135" s="81"/>
      <c r="C135" s="8" t="s">
        <v>229</v>
      </c>
      <c r="D135" s="26">
        <v>294456</v>
      </c>
      <c r="E135" s="8" t="s">
        <v>230</v>
      </c>
      <c r="F135" s="19">
        <f>'[1]Місто'!$K$206-F134-F138</f>
        <v>130296</v>
      </c>
      <c r="G135" s="27">
        <f t="shared" si="6"/>
        <v>424752</v>
      </c>
      <c r="I135" s="72"/>
    </row>
    <row r="136" spans="1:9" s="35" customFormat="1" ht="47.25">
      <c r="A136" s="88"/>
      <c r="B136" s="81"/>
      <c r="C136" s="8" t="s">
        <v>233</v>
      </c>
      <c r="D136" s="26">
        <v>98000</v>
      </c>
      <c r="E136" s="45"/>
      <c r="F136" s="27"/>
      <c r="G136" s="27">
        <f t="shared" si="6"/>
        <v>98000</v>
      </c>
      <c r="I136" s="72"/>
    </row>
    <row r="137" spans="1:9" s="35" customFormat="1" ht="15.75" customHeight="1" hidden="1">
      <c r="A137" s="88"/>
      <c r="B137" s="81"/>
      <c r="C137" s="8"/>
      <c r="D137" s="26"/>
      <c r="E137" s="8"/>
      <c r="F137" s="27"/>
      <c r="G137" s="27">
        <f t="shared" si="6"/>
        <v>0</v>
      </c>
      <c r="I137" s="72"/>
    </row>
    <row r="138" spans="1:9" s="35" customFormat="1" ht="63">
      <c r="A138" s="90"/>
      <c r="B138" s="82"/>
      <c r="C138" s="8" t="s">
        <v>285</v>
      </c>
      <c r="D138" s="26">
        <v>1310</v>
      </c>
      <c r="E138" s="59" t="s">
        <v>261</v>
      </c>
      <c r="F138" s="60">
        <v>10000</v>
      </c>
      <c r="G138" s="60">
        <f>D138+F138</f>
        <v>11310</v>
      </c>
      <c r="I138" s="72"/>
    </row>
    <row r="139" spans="1:9" s="35" customFormat="1" ht="47.25">
      <c r="A139" s="33" t="s">
        <v>68</v>
      </c>
      <c r="B139" s="8" t="s">
        <v>69</v>
      </c>
      <c r="C139" s="8"/>
      <c r="D139" s="9"/>
      <c r="E139" s="8" t="s">
        <v>230</v>
      </c>
      <c r="F139" s="34">
        <f>'[1]Місто'!$F$208</f>
        <v>194934</v>
      </c>
      <c r="G139" s="13">
        <f>F139+D139</f>
        <v>194934</v>
      </c>
      <c r="I139" s="72"/>
    </row>
    <row r="140" spans="1:9" s="35" customFormat="1" ht="45" customHeight="1">
      <c r="A140" s="41" t="s">
        <v>124</v>
      </c>
      <c r="B140" s="42" t="s">
        <v>154</v>
      </c>
      <c r="C140" s="8"/>
      <c r="D140" s="43">
        <f>SUM(D141:D144)</f>
        <v>959915</v>
      </c>
      <c r="E140" s="9"/>
      <c r="F140" s="47">
        <f>SUM(F141:F144)</f>
        <v>1108200</v>
      </c>
      <c r="G140" s="46">
        <f>SUM(G141:G144)</f>
        <v>2068115</v>
      </c>
      <c r="H140" s="73">
        <f>'[1]Місто'!$K$214</f>
        <v>1108200</v>
      </c>
      <c r="I140" s="72">
        <f>H140-F140</f>
        <v>0</v>
      </c>
    </row>
    <row r="141" spans="1:9" s="35" customFormat="1" ht="47.25">
      <c r="A141" s="33" t="s">
        <v>142</v>
      </c>
      <c r="B141" s="8" t="s">
        <v>143</v>
      </c>
      <c r="C141" s="8"/>
      <c r="D141" s="28"/>
      <c r="E141" s="8" t="s">
        <v>262</v>
      </c>
      <c r="F141" s="34">
        <f>'[1]Місто'!$F$216</f>
        <v>37000</v>
      </c>
      <c r="G141" s="13">
        <f>F141+D141</f>
        <v>37000</v>
      </c>
      <c r="I141" s="72"/>
    </row>
    <row r="142" spans="1:9" s="35" customFormat="1" ht="47.25">
      <c r="A142" s="33" t="s">
        <v>68</v>
      </c>
      <c r="B142" s="8" t="s">
        <v>69</v>
      </c>
      <c r="C142" s="8"/>
      <c r="D142" s="9"/>
      <c r="E142" s="8" t="s">
        <v>245</v>
      </c>
      <c r="F142" s="34">
        <f>'[1]Місто'!$F$218</f>
        <v>1071200</v>
      </c>
      <c r="G142" s="13">
        <f>F142+D142</f>
        <v>1071200</v>
      </c>
      <c r="I142" s="72"/>
    </row>
    <row r="143" spans="1:9" s="35" customFormat="1" ht="31.5" customHeight="1">
      <c r="A143" s="33" t="s">
        <v>61</v>
      </c>
      <c r="B143" s="8" t="s">
        <v>76</v>
      </c>
      <c r="C143" s="8" t="s">
        <v>234</v>
      </c>
      <c r="D143" s="28">
        <f>'[1]Місто'!$C$226</f>
        <v>351915</v>
      </c>
      <c r="E143" s="8"/>
      <c r="F143" s="13"/>
      <c r="G143" s="13">
        <f>F143+D143</f>
        <v>351915</v>
      </c>
      <c r="I143" s="72"/>
    </row>
    <row r="144" spans="1:9" s="35" customFormat="1" ht="47.25">
      <c r="A144" s="33" t="s">
        <v>86</v>
      </c>
      <c r="B144" s="8" t="s">
        <v>195</v>
      </c>
      <c r="C144" s="8" t="s">
        <v>235</v>
      </c>
      <c r="D144" s="28">
        <f>'[1]Місто'!$C$220</f>
        <v>608000</v>
      </c>
      <c r="E144" s="8"/>
      <c r="F144" s="13"/>
      <c r="G144" s="13">
        <f>F144+D144</f>
        <v>608000</v>
      </c>
      <c r="I144" s="72"/>
    </row>
    <row r="145" spans="1:9" s="35" customFormat="1" ht="31.5">
      <c r="A145" s="41" t="s">
        <v>163</v>
      </c>
      <c r="B145" s="42" t="s">
        <v>164</v>
      </c>
      <c r="C145" s="8"/>
      <c r="D145" s="43">
        <f>SUM(D146)</f>
        <v>0</v>
      </c>
      <c r="E145" s="9"/>
      <c r="F145" s="43">
        <f>SUM(F146)</f>
        <v>43050</v>
      </c>
      <c r="G145" s="43">
        <f>SUM(G146)</f>
        <v>43050</v>
      </c>
      <c r="H145" s="73">
        <f>'[1]Місто'!$K$227</f>
        <v>43050</v>
      </c>
      <c r="I145" s="72">
        <f>H145-F145</f>
        <v>0</v>
      </c>
    </row>
    <row r="146" spans="1:9" s="35" customFormat="1" ht="48.75" customHeight="1">
      <c r="A146" s="33" t="s">
        <v>142</v>
      </c>
      <c r="B146" s="8" t="s">
        <v>143</v>
      </c>
      <c r="C146" s="8"/>
      <c r="D146" s="28"/>
      <c r="E146" s="8" t="s">
        <v>262</v>
      </c>
      <c r="F146" s="34">
        <v>43050</v>
      </c>
      <c r="G146" s="13">
        <f>F146+D146</f>
        <v>43050</v>
      </c>
      <c r="I146" s="72"/>
    </row>
    <row r="147" spans="1:9" s="35" customFormat="1" ht="45.75" customHeight="1">
      <c r="A147" s="41" t="s">
        <v>122</v>
      </c>
      <c r="B147" s="42" t="s">
        <v>203</v>
      </c>
      <c r="C147" s="8"/>
      <c r="D147" s="43">
        <f>SUM(D148:D166)</f>
        <v>99345487</v>
      </c>
      <c r="E147" s="9"/>
      <c r="F147" s="47">
        <f>SUM(F148:F166)</f>
        <v>166416499</v>
      </c>
      <c r="G147" s="46">
        <f>SUM(G148:G166)</f>
        <v>265761986</v>
      </c>
      <c r="H147" s="73">
        <f>'[1]Місто'!$K$230</f>
        <v>119003782</v>
      </c>
      <c r="I147" s="72">
        <f>H147-F147</f>
        <v>-47412717</v>
      </c>
    </row>
    <row r="148" spans="1:9" s="35" customFormat="1" ht="64.5" customHeight="1">
      <c r="A148" s="33" t="s">
        <v>142</v>
      </c>
      <c r="B148" s="8" t="s">
        <v>143</v>
      </c>
      <c r="C148" s="8" t="s">
        <v>285</v>
      </c>
      <c r="D148" s="28">
        <v>2797</v>
      </c>
      <c r="E148" s="8" t="s">
        <v>262</v>
      </c>
      <c r="F148" s="34">
        <f>'[1]Місто'!$F$232</f>
        <v>60000</v>
      </c>
      <c r="G148" s="34">
        <f>F148+D148</f>
        <v>62797</v>
      </c>
      <c r="I148" s="72"/>
    </row>
    <row r="149" spans="1:9" s="35" customFormat="1" ht="47.25">
      <c r="A149" s="33" t="s">
        <v>70</v>
      </c>
      <c r="B149" s="8" t="s">
        <v>77</v>
      </c>
      <c r="C149" s="8" t="s">
        <v>268</v>
      </c>
      <c r="D149" s="28">
        <f>'[1]Місто'!$C$234</f>
        <v>113947</v>
      </c>
      <c r="E149" s="8"/>
      <c r="F149" s="13"/>
      <c r="G149" s="13">
        <f aca="true" t="shared" si="7" ref="G149:G166">F149+D149</f>
        <v>113947</v>
      </c>
      <c r="I149" s="72"/>
    </row>
    <row r="150" spans="1:9" s="35" customFormat="1" ht="47.25">
      <c r="A150" s="77" t="s">
        <v>193</v>
      </c>
      <c r="B150" s="80" t="s">
        <v>194</v>
      </c>
      <c r="C150" s="8" t="s">
        <v>268</v>
      </c>
      <c r="D150" s="28">
        <f>'[1]Місто'!$C$236-D151</f>
        <v>8765847</v>
      </c>
      <c r="E150" s="8"/>
      <c r="F150" s="13"/>
      <c r="G150" s="13">
        <f t="shared" si="7"/>
        <v>8765847</v>
      </c>
      <c r="I150" s="72"/>
    </row>
    <row r="151" spans="1:9" s="35" customFormat="1" ht="47.25">
      <c r="A151" s="79"/>
      <c r="B151" s="82"/>
      <c r="C151" s="59" t="s">
        <v>261</v>
      </c>
      <c r="D151" s="61">
        <f>164900+79500</f>
        <v>244400</v>
      </c>
      <c r="E151" s="8"/>
      <c r="F151" s="13"/>
      <c r="G151" s="61">
        <f t="shared" si="7"/>
        <v>244400</v>
      </c>
      <c r="I151" s="72"/>
    </row>
    <row r="152" spans="1:9" s="35" customFormat="1" ht="47.25">
      <c r="A152" s="77" t="s">
        <v>98</v>
      </c>
      <c r="B152" s="80" t="s">
        <v>99</v>
      </c>
      <c r="C152" s="8"/>
      <c r="D152" s="28"/>
      <c r="E152" s="8" t="s">
        <v>268</v>
      </c>
      <c r="F152" s="34">
        <f>'[1]Місто'!$F$241-F154</f>
        <v>56627475</v>
      </c>
      <c r="G152" s="13">
        <f t="shared" si="7"/>
        <v>56627475</v>
      </c>
      <c r="I152" s="72"/>
    </row>
    <row r="153" spans="1:9" s="35" customFormat="1" ht="47.25" customHeight="1" hidden="1">
      <c r="A153" s="78"/>
      <c r="B153" s="81"/>
      <c r="C153" s="8" t="s">
        <v>204</v>
      </c>
      <c r="D153" s="28">
        <f>'[1]Місто'!$C$242</f>
        <v>0</v>
      </c>
      <c r="E153" s="8" t="s">
        <v>209</v>
      </c>
      <c r="F153" s="13"/>
      <c r="G153" s="13">
        <f t="shared" si="7"/>
        <v>0</v>
      </c>
      <c r="I153" s="72"/>
    </row>
    <row r="154" spans="1:9" s="35" customFormat="1" ht="47.25">
      <c r="A154" s="79"/>
      <c r="B154" s="82"/>
      <c r="C154" s="8"/>
      <c r="D154" s="28"/>
      <c r="E154" s="59" t="s">
        <v>261</v>
      </c>
      <c r="F154" s="61">
        <f>205000+23000+25000+24000+20000</f>
        <v>297000</v>
      </c>
      <c r="G154" s="61">
        <f t="shared" si="7"/>
        <v>297000</v>
      </c>
      <c r="I154" s="72"/>
    </row>
    <row r="155" spans="1:9" s="35" customFormat="1" ht="47.25">
      <c r="A155" s="36" t="s">
        <v>256</v>
      </c>
      <c r="B155" s="37" t="s">
        <v>257</v>
      </c>
      <c r="C155" s="8"/>
      <c r="D155" s="28"/>
      <c r="E155" s="8" t="s">
        <v>268</v>
      </c>
      <c r="F155" s="34">
        <f>'[1]Місто'!$F$243</f>
        <v>951177</v>
      </c>
      <c r="G155" s="13">
        <f t="shared" si="7"/>
        <v>951177</v>
      </c>
      <c r="I155" s="72"/>
    </row>
    <row r="156" spans="1:9" s="35" customFormat="1" ht="51.75" customHeight="1">
      <c r="A156" s="77" t="s">
        <v>78</v>
      </c>
      <c r="B156" s="80" t="s">
        <v>100</v>
      </c>
      <c r="C156" s="8" t="s">
        <v>268</v>
      </c>
      <c r="D156" s="28">
        <f>'[1]Місто'!$C$244-D157</f>
        <v>81543001</v>
      </c>
      <c r="E156" s="8" t="s">
        <v>268</v>
      </c>
      <c r="F156" s="34">
        <f>'[1]Місто'!$F$244-F157</f>
        <v>3627394</v>
      </c>
      <c r="G156" s="13">
        <f t="shared" si="7"/>
        <v>85170395</v>
      </c>
      <c r="I156" s="72"/>
    </row>
    <row r="157" spans="1:9" s="35" customFormat="1" ht="47.25">
      <c r="A157" s="79"/>
      <c r="B157" s="82"/>
      <c r="C157" s="59" t="s">
        <v>261</v>
      </c>
      <c r="D157" s="61">
        <v>29000</v>
      </c>
      <c r="E157" s="59" t="s">
        <v>261</v>
      </c>
      <c r="F157" s="61">
        <f>41700</f>
        <v>41700</v>
      </c>
      <c r="G157" s="61">
        <f t="shared" si="7"/>
        <v>70700</v>
      </c>
      <c r="I157" s="72"/>
    </row>
    <row r="158" spans="1:9" s="35" customFormat="1" ht="51" customHeight="1">
      <c r="A158" s="77" t="s">
        <v>68</v>
      </c>
      <c r="B158" s="80" t="s">
        <v>69</v>
      </c>
      <c r="C158" s="8"/>
      <c r="D158" s="9"/>
      <c r="E158" s="8" t="s">
        <v>268</v>
      </c>
      <c r="F158" s="19">
        <f>'[1]Місто'!$F$246-F159</f>
        <v>40001838</v>
      </c>
      <c r="G158" s="13">
        <f t="shared" si="7"/>
        <v>40001838</v>
      </c>
      <c r="I158" s="72"/>
    </row>
    <row r="159" spans="1:9" s="35" customFormat="1" ht="47.25">
      <c r="A159" s="79"/>
      <c r="B159" s="82"/>
      <c r="C159" s="8"/>
      <c r="D159" s="9"/>
      <c r="E159" s="59" t="s">
        <v>261</v>
      </c>
      <c r="F159" s="61">
        <f>10000+15000</f>
        <v>25000</v>
      </c>
      <c r="G159" s="61">
        <f t="shared" si="7"/>
        <v>25000</v>
      </c>
      <c r="I159" s="72"/>
    </row>
    <row r="160" spans="1:9" s="35" customFormat="1" ht="47.25">
      <c r="A160" s="36" t="s">
        <v>23</v>
      </c>
      <c r="B160" s="37" t="s">
        <v>185</v>
      </c>
      <c r="C160" s="8"/>
      <c r="D160" s="9"/>
      <c r="E160" s="8" t="s">
        <v>268</v>
      </c>
      <c r="F160" s="34">
        <f>'[1]Місто'!$F$247</f>
        <v>1292780</v>
      </c>
      <c r="G160" s="13">
        <f t="shared" si="7"/>
        <v>1292780</v>
      </c>
      <c r="I160" s="72"/>
    </row>
    <row r="161" spans="1:9" s="35" customFormat="1" ht="60.75" customHeight="1">
      <c r="A161" s="33" t="s">
        <v>80</v>
      </c>
      <c r="B161" s="8" t="s">
        <v>81</v>
      </c>
      <c r="C161" s="8"/>
      <c r="D161" s="9"/>
      <c r="E161" s="8" t="s">
        <v>268</v>
      </c>
      <c r="F161" s="34">
        <f>'[1]Місто'!$F$250</f>
        <v>44254981</v>
      </c>
      <c r="G161" s="13">
        <f t="shared" si="7"/>
        <v>44254981</v>
      </c>
      <c r="I161" s="72"/>
    </row>
    <row r="162" spans="1:9" s="35" customFormat="1" ht="27.75" customHeight="1" hidden="1">
      <c r="A162" s="32">
        <v>180107</v>
      </c>
      <c r="B162" s="32" t="s">
        <v>190</v>
      </c>
      <c r="C162" s="8"/>
      <c r="D162" s="28"/>
      <c r="E162" s="8" t="s">
        <v>209</v>
      </c>
      <c r="F162" s="34">
        <f>'[1]Місто'!$F$278</f>
        <v>0</v>
      </c>
      <c r="G162" s="13">
        <f t="shared" si="7"/>
        <v>0</v>
      </c>
      <c r="I162" s="72"/>
    </row>
    <row r="163" spans="1:9" s="35" customFormat="1" ht="63" customHeight="1">
      <c r="A163" s="80">
        <v>180409</v>
      </c>
      <c r="B163" s="80" t="s">
        <v>202</v>
      </c>
      <c r="C163" s="8"/>
      <c r="D163" s="28"/>
      <c r="E163" s="8" t="s">
        <v>268</v>
      </c>
      <c r="F163" s="34">
        <f>'[1]Місто'!$F$253-F164</f>
        <v>11641498</v>
      </c>
      <c r="G163" s="13">
        <f t="shared" si="7"/>
        <v>11641498</v>
      </c>
      <c r="I163" s="72"/>
    </row>
    <row r="164" spans="1:9" s="35" customFormat="1" ht="47.25">
      <c r="A164" s="82"/>
      <c r="B164" s="82"/>
      <c r="C164" s="8"/>
      <c r="D164" s="28"/>
      <c r="E164" s="8" t="s">
        <v>286</v>
      </c>
      <c r="F164" s="34">
        <v>2688100</v>
      </c>
      <c r="G164" s="13">
        <f t="shared" si="7"/>
        <v>2688100</v>
      </c>
      <c r="I164" s="72"/>
    </row>
    <row r="165" spans="1:9" s="35" customFormat="1" ht="47.25">
      <c r="A165" s="33" t="s">
        <v>13</v>
      </c>
      <c r="B165" s="8" t="s">
        <v>90</v>
      </c>
      <c r="C165" s="8"/>
      <c r="D165" s="9"/>
      <c r="E165" s="8" t="s">
        <v>248</v>
      </c>
      <c r="F165" s="34">
        <f>'[1]Місто'!$F$255</f>
        <v>3157736</v>
      </c>
      <c r="G165" s="13">
        <f t="shared" si="7"/>
        <v>3157736</v>
      </c>
      <c r="I165" s="72"/>
    </row>
    <row r="166" spans="1:9" s="35" customFormat="1" ht="45.75" customHeight="1">
      <c r="A166" s="36" t="s">
        <v>61</v>
      </c>
      <c r="B166" s="37" t="s">
        <v>76</v>
      </c>
      <c r="C166" s="8" t="s">
        <v>268</v>
      </c>
      <c r="D166" s="49">
        <f>'[1]Місто'!$C$258+'[1]Місто'!$C$259+'[1]Місто'!$C$260</f>
        <v>8646495</v>
      </c>
      <c r="E166" s="8" t="s">
        <v>268</v>
      </c>
      <c r="F166" s="58">
        <f>'[1]Місто'!$F$262</f>
        <v>1749820</v>
      </c>
      <c r="G166" s="50">
        <f t="shared" si="7"/>
        <v>10396315</v>
      </c>
      <c r="I166" s="72"/>
    </row>
    <row r="167" spans="1:9" s="35" customFormat="1" ht="31.5" hidden="1">
      <c r="A167" s="33" t="s">
        <v>23</v>
      </c>
      <c r="B167" s="51" t="s">
        <v>185</v>
      </c>
      <c r="C167" s="8"/>
      <c r="D167" s="9"/>
      <c r="E167" s="8" t="s">
        <v>186</v>
      </c>
      <c r="F167" s="19">
        <f>'[1]Місто'!$F$275</f>
        <v>0</v>
      </c>
      <c r="G167" s="13">
        <f>D167+F167</f>
        <v>0</v>
      </c>
      <c r="I167" s="72">
        <f>H167-F167</f>
        <v>0</v>
      </c>
    </row>
    <row r="168" spans="1:9" s="35" customFormat="1" ht="70.5" customHeight="1" hidden="1">
      <c r="A168" s="41" t="s">
        <v>200</v>
      </c>
      <c r="B168" s="42" t="s">
        <v>199</v>
      </c>
      <c r="C168" s="42"/>
      <c r="D168" s="43">
        <f>D169+D170</f>
        <v>0</v>
      </c>
      <c r="E168" s="42"/>
      <c r="F168" s="52"/>
      <c r="G168" s="46">
        <f>D168+F168</f>
        <v>0</v>
      </c>
      <c r="I168" s="72">
        <f>H168-F168</f>
        <v>0</v>
      </c>
    </row>
    <row r="169" spans="1:9" s="35" customFormat="1" ht="36" customHeight="1" hidden="1">
      <c r="A169" s="33" t="s">
        <v>70</v>
      </c>
      <c r="B169" s="8" t="s">
        <v>77</v>
      </c>
      <c r="C169" s="8" t="s">
        <v>102</v>
      </c>
      <c r="D169" s="28">
        <f>'[1]Місто'!$C$301</f>
        <v>0</v>
      </c>
      <c r="E169" s="8"/>
      <c r="F169" s="19"/>
      <c r="G169" s="13">
        <f>D169+F169</f>
        <v>0</v>
      </c>
      <c r="I169" s="72">
        <f>H169-F169</f>
        <v>0</v>
      </c>
    </row>
    <row r="170" spans="1:9" s="35" customFormat="1" ht="47.25" customHeight="1" hidden="1">
      <c r="A170" s="30" t="s">
        <v>78</v>
      </c>
      <c r="B170" s="32" t="s">
        <v>100</v>
      </c>
      <c r="C170" s="8" t="s">
        <v>183</v>
      </c>
      <c r="D170" s="28">
        <f>'[1]Місто'!$C$304</f>
        <v>0</v>
      </c>
      <c r="E170" s="8"/>
      <c r="F170" s="19"/>
      <c r="G170" s="13">
        <f>D170+F170</f>
        <v>0</v>
      </c>
      <c r="I170" s="72">
        <f>H170-F170</f>
        <v>0</v>
      </c>
    </row>
    <row r="171" spans="1:9" s="35" customFormat="1" ht="47.25">
      <c r="A171" s="41" t="s">
        <v>123</v>
      </c>
      <c r="B171" s="42" t="s">
        <v>37</v>
      </c>
      <c r="C171" s="8"/>
      <c r="D171" s="43">
        <f>SUM(D172:D173)</f>
        <v>62108</v>
      </c>
      <c r="E171" s="9"/>
      <c r="F171" s="43">
        <f>SUM(F172:F173)</f>
        <v>46423</v>
      </c>
      <c r="G171" s="47">
        <f>G172+G173</f>
        <v>108531</v>
      </c>
      <c r="H171" s="73">
        <f>'[1]Місто'!$K$324</f>
        <v>46423</v>
      </c>
      <c r="I171" s="72">
        <f>H171-F171</f>
        <v>0</v>
      </c>
    </row>
    <row r="172" spans="1:9" s="35" customFormat="1" ht="48" customHeight="1">
      <c r="A172" s="33" t="s">
        <v>142</v>
      </c>
      <c r="B172" s="8" t="s">
        <v>143</v>
      </c>
      <c r="C172" s="8"/>
      <c r="D172" s="28"/>
      <c r="E172" s="8" t="s">
        <v>262</v>
      </c>
      <c r="F172" s="34">
        <f>'[1]Місто'!$F$326</f>
        <v>46423</v>
      </c>
      <c r="G172" s="13">
        <f>F172+D172</f>
        <v>46423</v>
      </c>
      <c r="I172" s="72"/>
    </row>
    <row r="173" spans="1:9" s="35" customFormat="1" ht="63">
      <c r="A173" s="33" t="s">
        <v>61</v>
      </c>
      <c r="B173" s="8" t="s">
        <v>76</v>
      </c>
      <c r="C173" s="8" t="s">
        <v>285</v>
      </c>
      <c r="D173" s="28">
        <f>'[1]Місто'!$C$333</f>
        <v>62108</v>
      </c>
      <c r="E173" s="8"/>
      <c r="F173" s="13"/>
      <c r="G173" s="13">
        <f>F173+D173</f>
        <v>62108</v>
      </c>
      <c r="I173" s="72"/>
    </row>
    <row r="174" spans="1:9" s="35" customFormat="1" ht="47.25">
      <c r="A174" s="41" t="s">
        <v>127</v>
      </c>
      <c r="B174" s="42" t="s">
        <v>39</v>
      </c>
      <c r="C174" s="8"/>
      <c r="D174" s="43">
        <f>SUM(D175:D178)</f>
        <v>2411617</v>
      </c>
      <c r="E174" s="9"/>
      <c r="F174" s="46">
        <f>SUM(F175:F176)</f>
        <v>0</v>
      </c>
      <c r="G174" s="46">
        <f>SUM(G175:G178)</f>
        <v>2411617</v>
      </c>
      <c r="I174" s="72">
        <f>H174-F174</f>
        <v>0</v>
      </c>
    </row>
    <row r="175" spans="1:9" s="35" customFormat="1" ht="36" customHeight="1" hidden="1">
      <c r="A175" s="33" t="s">
        <v>142</v>
      </c>
      <c r="B175" s="8" t="s">
        <v>143</v>
      </c>
      <c r="C175" s="8" t="s">
        <v>153</v>
      </c>
      <c r="D175" s="28"/>
      <c r="E175" s="8"/>
      <c r="F175" s="13"/>
      <c r="G175" s="13">
        <f>F175+D175</f>
        <v>0</v>
      </c>
      <c r="I175" s="72">
        <f>H175-F175</f>
        <v>0</v>
      </c>
    </row>
    <row r="176" spans="1:9" s="35" customFormat="1" ht="63">
      <c r="A176" s="87">
        <v>250404</v>
      </c>
      <c r="B176" s="87" t="s">
        <v>76</v>
      </c>
      <c r="C176" s="8" t="s">
        <v>237</v>
      </c>
      <c r="D176" s="39">
        <f>'[1]Місто'!$C$341</f>
        <v>120000</v>
      </c>
      <c r="E176" s="13"/>
      <c r="F176" s="53"/>
      <c r="G176" s="13">
        <f>F176+D176</f>
        <v>120000</v>
      </c>
      <c r="I176" s="72"/>
    </row>
    <row r="177" spans="1:9" s="35" customFormat="1" ht="51" customHeight="1">
      <c r="A177" s="88"/>
      <c r="B177" s="88"/>
      <c r="C177" s="8" t="s">
        <v>238</v>
      </c>
      <c r="D177" s="39">
        <f>'[1]Місто'!$C$342</f>
        <v>1268500</v>
      </c>
      <c r="E177" s="13"/>
      <c r="F177" s="53"/>
      <c r="G177" s="13">
        <f>F177+D177</f>
        <v>1268500</v>
      </c>
      <c r="I177" s="72"/>
    </row>
    <row r="178" spans="1:9" s="35" customFormat="1" ht="48.75" customHeight="1">
      <c r="A178" s="89"/>
      <c r="B178" s="90"/>
      <c r="C178" s="8" t="s">
        <v>239</v>
      </c>
      <c r="D178" s="39">
        <f>'[1]Місто'!$C$343</f>
        <v>1023117</v>
      </c>
      <c r="E178" s="8"/>
      <c r="F178" s="13"/>
      <c r="G178" s="13">
        <f>F178+D178</f>
        <v>1023117</v>
      </c>
      <c r="I178" s="72"/>
    </row>
    <row r="179" spans="1:9" s="35" customFormat="1" ht="31.5" hidden="1">
      <c r="A179" s="41">
        <v>50</v>
      </c>
      <c r="B179" s="42" t="s">
        <v>167</v>
      </c>
      <c r="C179" s="8"/>
      <c r="D179" s="43">
        <f>D180</f>
        <v>0</v>
      </c>
      <c r="E179" s="9"/>
      <c r="F179" s="46">
        <f>F180</f>
        <v>0</v>
      </c>
      <c r="G179" s="46">
        <f>G180</f>
        <v>0</v>
      </c>
      <c r="I179" s="72">
        <f>H179-F179</f>
        <v>0</v>
      </c>
    </row>
    <row r="180" spans="1:9" s="35" customFormat="1" ht="48.75" customHeight="1" hidden="1">
      <c r="A180" s="33" t="s">
        <v>142</v>
      </c>
      <c r="B180" s="32" t="s">
        <v>143</v>
      </c>
      <c r="C180" s="8" t="s">
        <v>159</v>
      </c>
      <c r="D180" s="39"/>
      <c r="E180" s="8"/>
      <c r="F180" s="13"/>
      <c r="G180" s="13">
        <f>F180+D180</f>
        <v>0</v>
      </c>
      <c r="I180" s="72">
        <f>H180-F180</f>
        <v>0</v>
      </c>
    </row>
    <row r="181" spans="1:9" s="35" customFormat="1" ht="31.5">
      <c r="A181" s="41" t="s">
        <v>131</v>
      </c>
      <c r="B181" s="42" t="s">
        <v>43</v>
      </c>
      <c r="C181" s="42"/>
      <c r="D181" s="43">
        <f>D183+D182</f>
        <v>0</v>
      </c>
      <c r="E181" s="54"/>
      <c r="F181" s="43">
        <f>F183+F182</f>
        <v>1736056</v>
      </c>
      <c r="G181" s="43">
        <f>G183+G182</f>
        <v>1736056</v>
      </c>
      <c r="H181" s="73">
        <f>'[1]Місто'!$K$347+'[1]Місто'!$G$347</f>
        <v>1736056</v>
      </c>
      <c r="I181" s="72">
        <f>H181-F181</f>
        <v>0</v>
      </c>
    </row>
    <row r="182" spans="1:9" s="35" customFormat="1" ht="47.25">
      <c r="A182" s="33" t="s">
        <v>142</v>
      </c>
      <c r="B182" s="32" t="s">
        <v>143</v>
      </c>
      <c r="C182" s="8"/>
      <c r="D182" s="28"/>
      <c r="E182" s="8" t="s">
        <v>262</v>
      </c>
      <c r="F182" s="28">
        <f>'[1]Місто'!$F$349</f>
        <v>29000</v>
      </c>
      <c r="G182" s="13">
        <f>F182+D182</f>
        <v>29000</v>
      </c>
      <c r="I182" s="72"/>
    </row>
    <row r="183" spans="1:9" s="35" customFormat="1" ht="47.25">
      <c r="A183" s="33" t="s">
        <v>25</v>
      </c>
      <c r="B183" s="8" t="s">
        <v>26</v>
      </c>
      <c r="C183" s="8"/>
      <c r="D183" s="28"/>
      <c r="E183" s="8" t="s">
        <v>246</v>
      </c>
      <c r="F183" s="34">
        <f>'[1]Місто'!$F$351</f>
        <v>1707056</v>
      </c>
      <c r="G183" s="13">
        <f>F183+D183</f>
        <v>1707056</v>
      </c>
      <c r="I183" s="72"/>
    </row>
    <row r="184" spans="1:9" s="35" customFormat="1" ht="33" customHeight="1">
      <c r="A184" s="41" t="s">
        <v>128</v>
      </c>
      <c r="B184" s="42" t="s">
        <v>40</v>
      </c>
      <c r="C184" s="8"/>
      <c r="D184" s="43">
        <f>SUM(D185:D187)</f>
        <v>16733</v>
      </c>
      <c r="E184" s="9"/>
      <c r="F184" s="43">
        <f>SUM(F185:F187)</f>
        <v>41395595</v>
      </c>
      <c r="G184" s="54">
        <f>SUM(G185:G187)</f>
        <v>41412328</v>
      </c>
      <c r="H184" s="73">
        <f>'[1]Місто'!$F$352</f>
        <v>41395595</v>
      </c>
      <c r="I184" s="72">
        <f>H184-F184</f>
        <v>0</v>
      </c>
    </row>
    <row r="185" spans="1:9" s="35" customFormat="1" ht="33" customHeight="1" hidden="1">
      <c r="A185" s="33" t="s">
        <v>142</v>
      </c>
      <c r="B185" s="32" t="s">
        <v>143</v>
      </c>
      <c r="C185" s="8" t="s">
        <v>162</v>
      </c>
      <c r="D185" s="28"/>
      <c r="E185" s="8"/>
      <c r="F185" s="34"/>
      <c r="G185" s="13">
        <f>F185+D185</f>
        <v>0</v>
      </c>
      <c r="I185" s="72">
        <f>H185-F185</f>
        <v>0</v>
      </c>
    </row>
    <row r="186" spans="1:9" s="35" customFormat="1" ht="47.25">
      <c r="A186" s="8">
        <v>240601</v>
      </c>
      <c r="B186" s="8" t="s">
        <v>90</v>
      </c>
      <c r="C186" s="8"/>
      <c r="D186" s="9"/>
      <c r="E186" s="8" t="s">
        <v>248</v>
      </c>
      <c r="F186" s="34">
        <f>'[1]Місто'!$F$356</f>
        <v>41395595</v>
      </c>
      <c r="G186" s="13">
        <f>F186+D186</f>
        <v>41395595</v>
      </c>
      <c r="I186" s="72"/>
    </row>
    <row r="187" spans="1:9" s="35" customFormat="1" ht="33" customHeight="1">
      <c r="A187" s="8">
        <v>250404</v>
      </c>
      <c r="B187" s="8" t="s">
        <v>187</v>
      </c>
      <c r="C187" s="8" t="s">
        <v>258</v>
      </c>
      <c r="D187" s="28">
        <f>'[1]Місто'!$C$360</f>
        <v>16733</v>
      </c>
      <c r="E187" s="8"/>
      <c r="F187" s="34"/>
      <c r="G187" s="13">
        <f>F187+D187</f>
        <v>16733</v>
      </c>
      <c r="I187" s="72"/>
    </row>
    <row r="188" spans="1:9" s="35" customFormat="1" ht="47.25">
      <c r="A188" s="41" t="s">
        <v>126</v>
      </c>
      <c r="B188" s="42" t="s">
        <v>41</v>
      </c>
      <c r="C188" s="8"/>
      <c r="D188" s="43">
        <f>SUM(D189:D196)</f>
        <v>7182987</v>
      </c>
      <c r="E188" s="9"/>
      <c r="F188" s="43">
        <f>SUM(F189:F196)</f>
        <v>5701826</v>
      </c>
      <c r="G188" s="43">
        <f>SUM(G189:G196)</f>
        <v>12884813</v>
      </c>
      <c r="H188" s="73">
        <f>'[1]Місто'!$F$361</f>
        <v>5701826</v>
      </c>
      <c r="I188" s="72">
        <f>H188-F188</f>
        <v>0</v>
      </c>
    </row>
    <row r="189" spans="1:9" s="35" customFormat="1" ht="69" customHeight="1" hidden="1">
      <c r="A189" s="33" t="s">
        <v>142</v>
      </c>
      <c r="B189" s="32" t="s">
        <v>143</v>
      </c>
      <c r="C189" s="8" t="s">
        <v>165</v>
      </c>
      <c r="D189" s="28"/>
      <c r="E189" s="9"/>
      <c r="F189" s="13"/>
      <c r="G189" s="13">
        <f aca="true" t="shared" si="8" ref="G189:G196">F189+D189</f>
        <v>0</v>
      </c>
      <c r="I189" s="72">
        <f>H189-F189</f>
        <v>0</v>
      </c>
    </row>
    <row r="190" spans="1:9" s="35" customFormat="1" ht="63">
      <c r="A190" s="33" t="s">
        <v>15</v>
      </c>
      <c r="B190" s="8" t="s">
        <v>16</v>
      </c>
      <c r="C190" s="8" t="s">
        <v>240</v>
      </c>
      <c r="D190" s="28">
        <f>'[1]Місто'!$C$365</f>
        <v>2200000</v>
      </c>
      <c r="E190" s="8"/>
      <c r="F190" s="34">
        <f>'[1]Місто'!$F$365</f>
        <v>0</v>
      </c>
      <c r="G190" s="13">
        <f t="shared" si="8"/>
        <v>2200000</v>
      </c>
      <c r="I190" s="72"/>
    </row>
    <row r="191" spans="1:9" s="35" customFormat="1" ht="41.25" customHeight="1" hidden="1">
      <c r="A191" s="33" t="s">
        <v>66</v>
      </c>
      <c r="B191" s="8" t="s">
        <v>67</v>
      </c>
      <c r="C191" s="8" t="s">
        <v>109</v>
      </c>
      <c r="D191" s="28">
        <f>'[1]Місто'!$C$371</f>
        <v>0</v>
      </c>
      <c r="E191" s="8"/>
      <c r="F191" s="13"/>
      <c r="G191" s="13">
        <f t="shared" si="8"/>
        <v>0</v>
      </c>
      <c r="I191" s="72"/>
    </row>
    <row r="192" spans="1:9" s="35" customFormat="1" ht="63">
      <c r="A192" s="33" t="s">
        <v>68</v>
      </c>
      <c r="B192" s="8" t="s">
        <v>69</v>
      </c>
      <c r="C192" s="8"/>
      <c r="D192" s="28"/>
      <c r="E192" s="55" t="s">
        <v>241</v>
      </c>
      <c r="F192" s="34">
        <f>'[1]Місто'!$F$367</f>
        <v>2355141</v>
      </c>
      <c r="G192" s="13">
        <f t="shared" si="8"/>
        <v>2355141</v>
      </c>
      <c r="I192" s="72"/>
    </row>
    <row r="193" spans="1:9" s="35" customFormat="1" ht="62.25" customHeight="1">
      <c r="A193" s="77" t="s">
        <v>82</v>
      </c>
      <c r="B193" s="80" t="s">
        <v>202</v>
      </c>
      <c r="C193" s="8"/>
      <c r="D193" s="28"/>
      <c r="E193" s="8" t="s">
        <v>241</v>
      </c>
      <c r="F193" s="34">
        <f>'[1]Місто'!$F$373-F194</f>
        <v>1833673</v>
      </c>
      <c r="G193" s="13">
        <f t="shared" si="8"/>
        <v>1833673</v>
      </c>
      <c r="I193" s="72"/>
    </row>
    <row r="194" spans="1:9" s="35" customFormat="1" ht="63">
      <c r="A194" s="79"/>
      <c r="B194" s="82"/>
      <c r="C194" s="8"/>
      <c r="D194" s="28"/>
      <c r="E194" s="55" t="s">
        <v>282</v>
      </c>
      <c r="F194" s="34">
        <v>634942</v>
      </c>
      <c r="G194" s="13">
        <f t="shared" si="8"/>
        <v>634942</v>
      </c>
      <c r="I194" s="72"/>
    </row>
    <row r="195" spans="1:9" s="35" customFormat="1" ht="69" customHeight="1">
      <c r="A195" s="33" t="s">
        <v>191</v>
      </c>
      <c r="B195" s="8" t="s">
        <v>192</v>
      </c>
      <c r="C195" s="8" t="s">
        <v>241</v>
      </c>
      <c r="D195" s="28">
        <f>'[1]Місто'!$C$370</f>
        <v>217929</v>
      </c>
      <c r="E195" s="55" t="s">
        <v>282</v>
      </c>
      <c r="F195" s="34">
        <f>'[1]Місто'!$F$370</f>
        <v>878070</v>
      </c>
      <c r="G195" s="13">
        <f t="shared" si="8"/>
        <v>1095999</v>
      </c>
      <c r="I195" s="72"/>
    </row>
    <row r="196" spans="1:9" s="35" customFormat="1" ht="63">
      <c r="A196" s="33" t="s">
        <v>61</v>
      </c>
      <c r="B196" s="8" t="s">
        <v>76</v>
      </c>
      <c r="C196" s="55" t="s">
        <v>282</v>
      </c>
      <c r="D196" s="28">
        <f>'[1]Місто'!$C$376</f>
        <v>4765058</v>
      </c>
      <c r="E196" s="8"/>
      <c r="F196" s="13"/>
      <c r="G196" s="13">
        <f t="shared" si="8"/>
        <v>4765058</v>
      </c>
      <c r="I196" s="72"/>
    </row>
    <row r="197" spans="1:9" s="35" customFormat="1" ht="69" customHeight="1">
      <c r="A197" s="41" t="s">
        <v>121</v>
      </c>
      <c r="B197" s="42" t="s">
        <v>36</v>
      </c>
      <c r="C197" s="8"/>
      <c r="D197" s="43">
        <f>SUM(D198:D200)</f>
        <v>6190989</v>
      </c>
      <c r="E197" s="9"/>
      <c r="F197" s="47">
        <f>SUM(F198:F200)</f>
        <v>7055024</v>
      </c>
      <c r="G197" s="47">
        <f>SUM(G198:G200)</f>
        <v>13246013</v>
      </c>
      <c r="H197" s="73">
        <f>'[1]Місто'!$K$378</f>
        <v>6922539</v>
      </c>
      <c r="I197" s="72">
        <f>H197-F197</f>
        <v>-132485</v>
      </c>
    </row>
    <row r="198" spans="1:9" s="35" customFormat="1" ht="65.25" customHeight="1" hidden="1">
      <c r="A198" s="33" t="s">
        <v>142</v>
      </c>
      <c r="B198" s="32" t="s">
        <v>143</v>
      </c>
      <c r="C198" s="8" t="s">
        <v>156</v>
      </c>
      <c r="D198" s="28"/>
      <c r="E198" s="8"/>
      <c r="F198" s="19"/>
      <c r="G198" s="13">
        <f>F198+D198</f>
        <v>0</v>
      </c>
      <c r="I198" s="72">
        <f>H198-F198</f>
        <v>0</v>
      </c>
    </row>
    <row r="199" spans="1:9" s="35" customFormat="1" ht="66" customHeight="1">
      <c r="A199" s="33" t="s">
        <v>72</v>
      </c>
      <c r="B199" s="8" t="s">
        <v>73</v>
      </c>
      <c r="C199" s="8" t="s">
        <v>269</v>
      </c>
      <c r="D199" s="28">
        <f>'[1]Місто'!$C$382</f>
        <v>3263537</v>
      </c>
      <c r="E199" s="8" t="s">
        <v>269</v>
      </c>
      <c r="F199" s="19">
        <f>'[1]Місто'!$F$382</f>
        <v>6932583</v>
      </c>
      <c r="G199" s="13">
        <f>F199+D199</f>
        <v>10196120</v>
      </c>
      <c r="I199" s="72"/>
    </row>
    <row r="200" spans="1:9" s="35" customFormat="1" ht="78.75">
      <c r="A200" s="77" t="s">
        <v>74</v>
      </c>
      <c r="B200" s="80" t="s">
        <v>75</v>
      </c>
      <c r="C200" s="8" t="s">
        <v>269</v>
      </c>
      <c r="D200" s="28">
        <f>'[1]Місто'!$C$385-D201</f>
        <v>2927452</v>
      </c>
      <c r="E200" s="8" t="s">
        <v>269</v>
      </c>
      <c r="F200" s="19">
        <f>'[1]Місто'!$F$385</f>
        <v>122441</v>
      </c>
      <c r="G200" s="13">
        <f>F200+D200</f>
        <v>3049893</v>
      </c>
      <c r="I200" s="72"/>
    </row>
    <row r="201" spans="1:9" s="35" customFormat="1" ht="68.25" customHeight="1">
      <c r="A201" s="79"/>
      <c r="B201" s="82"/>
      <c r="C201" s="8" t="s">
        <v>285</v>
      </c>
      <c r="D201" s="28">
        <v>1957</v>
      </c>
      <c r="E201" s="8"/>
      <c r="F201" s="19"/>
      <c r="G201" s="34">
        <f>F201+D201</f>
        <v>1957</v>
      </c>
      <c r="I201" s="72"/>
    </row>
    <row r="202" spans="1:9" s="35" customFormat="1" ht="31.5">
      <c r="A202" s="41" t="s">
        <v>130</v>
      </c>
      <c r="B202" s="42" t="s">
        <v>42</v>
      </c>
      <c r="C202" s="8"/>
      <c r="D202" s="43">
        <f>SUM(D203:D207)</f>
        <v>82584</v>
      </c>
      <c r="E202" s="9"/>
      <c r="F202" s="43">
        <f>SUM(F203:F207)</f>
        <v>39754748</v>
      </c>
      <c r="G202" s="54">
        <f>SUM(G203:G207)</f>
        <v>39837332</v>
      </c>
      <c r="H202" s="73">
        <f>'[1]Місто'!$K$386</f>
        <v>39754748</v>
      </c>
      <c r="I202" s="72">
        <f>H202-F202</f>
        <v>0</v>
      </c>
    </row>
    <row r="203" spans="1:9" s="35" customFormat="1" ht="31.5">
      <c r="A203" s="33" t="s">
        <v>142</v>
      </c>
      <c r="B203" s="32" t="s">
        <v>143</v>
      </c>
      <c r="C203" s="8"/>
      <c r="D203" s="28"/>
      <c r="E203" s="8" t="s">
        <v>236</v>
      </c>
      <c r="F203" s="28">
        <f>'[1]Місто'!$F$388</f>
        <v>30000</v>
      </c>
      <c r="G203" s="13">
        <f>F203+D203</f>
        <v>30000</v>
      </c>
      <c r="I203" s="72"/>
    </row>
    <row r="204" spans="1:9" s="35" customFormat="1" ht="63">
      <c r="A204" s="33" t="s">
        <v>68</v>
      </c>
      <c r="B204" s="8" t="s">
        <v>69</v>
      </c>
      <c r="C204" s="8"/>
      <c r="D204" s="9"/>
      <c r="E204" s="8" t="s">
        <v>270</v>
      </c>
      <c r="F204" s="19">
        <f>'[1]Місто'!$F$393</f>
        <v>8714594</v>
      </c>
      <c r="G204" s="13">
        <f>F204+D204</f>
        <v>8714594</v>
      </c>
      <c r="I204" s="72"/>
    </row>
    <row r="205" spans="1:9" s="35" customFormat="1" ht="79.5" customHeight="1">
      <c r="A205" s="33" t="s">
        <v>83</v>
      </c>
      <c r="B205" s="8" t="s">
        <v>84</v>
      </c>
      <c r="C205" s="8"/>
      <c r="D205" s="9"/>
      <c r="E205" s="8" t="s">
        <v>270</v>
      </c>
      <c r="F205" s="34">
        <f>'[1]Місто'!$F$398</f>
        <v>11010154</v>
      </c>
      <c r="G205" s="13">
        <f>F205+D205</f>
        <v>11010154</v>
      </c>
      <c r="I205" s="72"/>
    </row>
    <row r="206" spans="1:9" s="35" customFormat="1" ht="63">
      <c r="A206" s="33" t="s">
        <v>72</v>
      </c>
      <c r="B206" s="8" t="s">
        <v>196</v>
      </c>
      <c r="C206" s="8"/>
      <c r="D206" s="28"/>
      <c r="E206" s="8" t="s">
        <v>269</v>
      </c>
      <c r="F206" s="34">
        <f>'[1]Місто'!$F$400</f>
        <v>20000000</v>
      </c>
      <c r="G206" s="13">
        <f>F206+D206</f>
        <v>20000000</v>
      </c>
      <c r="I206" s="72"/>
    </row>
    <row r="207" spans="1:9" s="35" customFormat="1" ht="53.25" customHeight="1">
      <c r="A207" s="33" t="s">
        <v>61</v>
      </c>
      <c r="B207" s="8" t="s">
        <v>76</v>
      </c>
      <c r="C207" s="8" t="s">
        <v>250</v>
      </c>
      <c r="D207" s="28">
        <f>'[1]Місто'!$C$403</f>
        <v>82584</v>
      </c>
      <c r="E207" s="8"/>
      <c r="F207" s="34"/>
      <c r="G207" s="13">
        <f>F207+D207</f>
        <v>82584</v>
      </c>
      <c r="I207" s="72"/>
    </row>
    <row r="208" spans="1:9" s="35" customFormat="1" ht="46.5" customHeight="1">
      <c r="A208" s="41" t="s">
        <v>129</v>
      </c>
      <c r="B208" s="42" t="s">
        <v>21</v>
      </c>
      <c r="C208" s="8"/>
      <c r="D208" s="43">
        <f>SUM(D209:D213)</f>
        <v>13928721</v>
      </c>
      <c r="E208" s="9"/>
      <c r="F208" s="46">
        <f>SUM(F209:F213)</f>
        <v>0</v>
      </c>
      <c r="G208" s="47">
        <f>SUM(G209:G213)</f>
        <v>13928721</v>
      </c>
      <c r="I208" s="72"/>
    </row>
    <row r="209" spans="1:9" s="35" customFormat="1" ht="46.5" customHeight="1" hidden="1">
      <c r="A209" s="45" t="s">
        <v>142</v>
      </c>
      <c r="B209" s="8" t="s">
        <v>143</v>
      </c>
      <c r="C209" s="8" t="s">
        <v>166</v>
      </c>
      <c r="D209" s="39"/>
      <c r="E209" s="9"/>
      <c r="F209" s="34"/>
      <c r="G209" s="34">
        <f>F209+D209</f>
        <v>0</v>
      </c>
      <c r="I209" s="72"/>
    </row>
    <row r="210" spans="1:9" s="35" customFormat="1" ht="70.5" customHeight="1">
      <c r="A210" s="33" t="s">
        <v>142</v>
      </c>
      <c r="B210" s="32" t="s">
        <v>143</v>
      </c>
      <c r="C210" s="8" t="s">
        <v>285</v>
      </c>
      <c r="D210" s="39">
        <v>2068</v>
      </c>
      <c r="E210" s="9"/>
      <c r="F210" s="34"/>
      <c r="G210" s="34">
        <f>F210+D210</f>
        <v>2068</v>
      </c>
      <c r="I210" s="72"/>
    </row>
    <row r="211" spans="1:9" s="35" customFormat="1" ht="15.75">
      <c r="A211" s="45">
        <v>230000</v>
      </c>
      <c r="B211" s="8" t="s">
        <v>175</v>
      </c>
      <c r="C211" s="80" t="s">
        <v>242</v>
      </c>
      <c r="D211" s="39">
        <f>'[1]Місто'!$C$407</f>
        <v>13874400</v>
      </c>
      <c r="E211" s="9"/>
      <c r="F211" s="46"/>
      <c r="G211" s="34">
        <f>F211+D211</f>
        <v>13874400</v>
      </c>
      <c r="I211" s="72"/>
    </row>
    <row r="212" spans="1:9" s="35" customFormat="1" ht="48" customHeight="1" hidden="1">
      <c r="A212" s="45">
        <v>210105</v>
      </c>
      <c r="B212" s="8"/>
      <c r="C212" s="81"/>
      <c r="D212" s="39">
        <f>'[1]Місто'!$C$412</f>
        <v>0</v>
      </c>
      <c r="E212" s="9"/>
      <c r="F212" s="34">
        <f>'[1]Місто'!$F$412</f>
        <v>0</v>
      </c>
      <c r="G212" s="34">
        <f>F212+D212</f>
        <v>0</v>
      </c>
      <c r="I212" s="72"/>
    </row>
    <row r="213" spans="1:9" s="35" customFormat="1" ht="33" customHeight="1">
      <c r="A213" s="36" t="s">
        <v>61</v>
      </c>
      <c r="B213" s="37" t="s">
        <v>76</v>
      </c>
      <c r="C213" s="82"/>
      <c r="D213" s="28">
        <f>'[1]Місто'!$C$414</f>
        <v>52253</v>
      </c>
      <c r="E213" s="8"/>
      <c r="F213" s="13"/>
      <c r="G213" s="34">
        <f>F213+D213</f>
        <v>52253</v>
      </c>
      <c r="I213" s="72"/>
    </row>
    <row r="214" spans="1:9" s="35" customFormat="1" ht="39" customHeight="1" hidden="1">
      <c r="A214" s="41" t="s">
        <v>174</v>
      </c>
      <c r="B214" s="42" t="s">
        <v>21</v>
      </c>
      <c r="C214" s="8"/>
      <c r="D214" s="54">
        <f>SUM(D215:D216)</f>
        <v>0</v>
      </c>
      <c r="E214" s="8"/>
      <c r="F214" s="43">
        <f>SUM(F215:F216)</f>
        <v>0</v>
      </c>
      <c r="G214" s="54">
        <f>SUM(G215:G216)</f>
        <v>0</v>
      </c>
      <c r="I214" s="72">
        <f>H214-F214</f>
        <v>0</v>
      </c>
    </row>
    <row r="215" spans="1:9" s="35" customFormat="1" ht="45" customHeight="1" hidden="1">
      <c r="A215" s="36" t="s">
        <v>85</v>
      </c>
      <c r="B215" s="37" t="s">
        <v>176</v>
      </c>
      <c r="C215" s="8"/>
      <c r="D215" s="9"/>
      <c r="E215" s="8" t="s">
        <v>184</v>
      </c>
      <c r="F215" s="19">
        <f>'[1]Місто'!$F$419</f>
        <v>0</v>
      </c>
      <c r="G215" s="13">
        <f>D215+F215</f>
        <v>0</v>
      </c>
      <c r="I215" s="72">
        <f>H215-F215</f>
        <v>0</v>
      </c>
    </row>
    <row r="216" spans="1:9" s="35" customFormat="1" ht="51.75" customHeight="1" hidden="1">
      <c r="A216" s="45">
        <v>240900</v>
      </c>
      <c r="B216" s="8" t="s">
        <v>7</v>
      </c>
      <c r="C216" s="8"/>
      <c r="D216" s="9"/>
      <c r="E216" s="8"/>
      <c r="F216" s="13">
        <f>600000-600000</f>
        <v>0</v>
      </c>
      <c r="G216" s="13">
        <f>F216+D216</f>
        <v>0</v>
      </c>
      <c r="I216" s="72">
        <f>H216-F216</f>
        <v>0</v>
      </c>
    </row>
    <row r="217" spans="1:9" s="35" customFormat="1" ht="31.5">
      <c r="A217" s="41" t="s">
        <v>111</v>
      </c>
      <c r="B217" s="42" t="s">
        <v>24</v>
      </c>
      <c r="C217" s="8"/>
      <c r="D217" s="43">
        <f>SUM(D219:D230)</f>
        <v>1138083</v>
      </c>
      <c r="E217" s="8"/>
      <c r="F217" s="43">
        <f>SUM(F218:F230)</f>
        <v>7257</v>
      </c>
      <c r="G217" s="54">
        <f>SUM(G218:G230)</f>
        <v>1145340</v>
      </c>
      <c r="H217" s="73">
        <f>'[1]Місто'!$K$420</f>
        <v>74788</v>
      </c>
      <c r="I217" s="72">
        <f>H217-F217</f>
        <v>67531</v>
      </c>
    </row>
    <row r="218" spans="1:9" s="35" customFormat="1" ht="49.5" customHeight="1" hidden="1">
      <c r="A218" s="33" t="s">
        <v>142</v>
      </c>
      <c r="B218" s="32" t="s">
        <v>143</v>
      </c>
      <c r="C218" s="8" t="s">
        <v>148</v>
      </c>
      <c r="D218" s="28"/>
      <c r="E218" s="8" t="s">
        <v>148</v>
      </c>
      <c r="F218" s="34"/>
      <c r="G218" s="13">
        <f aca="true" t="shared" si="9" ref="G218:G224">D218+F218</f>
        <v>0</v>
      </c>
      <c r="I218" s="72">
        <f>H218-F218</f>
        <v>0</v>
      </c>
    </row>
    <row r="219" spans="1:9" s="35" customFormat="1" ht="68.25" customHeight="1">
      <c r="A219" s="33" t="s">
        <v>142</v>
      </c>
      <c r="B219" s="32" t="s">
        <v>143</v>
      </c>
      <c r="C219" s="8" t="s">
        <v>285</v>
      </c>
      <c r="D219" s="28">
        <v>300</v>
      </c>
      <c r="E219" s="8"/>
      <c r="F219" s="34"/>
      <c r="G219" s="34">
        <f>D219+F219</f>
        <v>300</v>
      </c>
      <c r="I219" s="72"/>
    </row>
    <row r="220" spans="1:9" s="35" customFormat="1" ht="47.25" customHeight="1">
      <c r="A220" s="33" t="s">
        <v>78</v>
      </c>
      <c r="B220" s="32" t="s">
        <v>79</v>
      </c>
      <c r="C220" s="8" t="s">
        <v>268</v>
      </c>
      <c r="D220" s="28">
        <f>'[1]Місто'!$C$424</f>
        <v>634490</v>
      </c>
      <c r="E220" s="8"/>
      <c r="F220" s="34">
        <f>'[1]Місто'!$F$424</f>
        <v>0</v>
      </c>
      <c r="G220" s="34">
        <f>D220+F220</f>
        <v>634490</v>
      </c>
      <c r="I220" s="72"/>
    </row>
    <row r="221" spans="1:9" s="35" customFormat="1" ht="42.75" customHeight="1" hidden="1">
      <c r="A221" s="36" t="s">
        <v>68</v>
      </c>
      <c r="B221" s="31" t="s">
        <v>69</v>
      </c>
      <c r="C221" s="8"/>
      <c r="D221" s="28"/>
      <c r="E221" s="8" t="s">
        <v>180</v>
      </c>
      <c r="F221" s="34">
        <f>'[1]Місто'!$K$426</f>
        <v>0</v>
      </c>
      <c r="G221" s="13">
        <f t="shared" si="9"/>
        <v>0</v>
      </c>
      <c r="I221" s="72"/>
    </row>
    <row r="222" spans="1:9" s="35" customFormat="1" ht="62.25" customHeight="1">
      <c r="A222" s="36" t="s">
        <v>55</v>
      </c>
      <c r="B222" s="8" t="s">
        <v>198</v>
      </c>
      <c r="C222" s="8"/>
      <c r="D222" s="28"/>
      <c r="E222" s="8" t="s">
        <v>280</v>
      </c>
      <c r="F222" s="34">
        <f>'[1]Місто'!$F$428</f>
        <v>7257</v>
      </c>
      <c r="G222" s="13">
        <f t="shared" si="9"/>
        <v>7257</v>
      </c>
      <c r="I222" s="72"/>
    </row>
    <row r="223" spans="1:9" s="35" customFormat="1" ht="47.25">
      <c r="A223" s="77" t="s">
        <v>61</v>
      </c>
      <c r="B223" s="80" t="s">
        <v>76</v>
      </c>
      <c r="C223" s="8" t="s">
        <v>243</v>
      </c>
      <c r="D223" s="28">
        <f>'[1]Місто'!$C$431</f>
        <v>132118</v>
      </c>
      <c r="E223" s="8"/>
      <c r="F223" s="13"/>
      <c r="G223" s="13">
        <f t="shared" si="9"/>
        <v>132118</v>
      </c>
      <c r="I223" s="72"/>
    </row>
    <row r="224" spans="1:9" s="35" customFormat="1" ht="47.25">
      <c r="A224" s="78"/>
      <c r="B224" s="81"/>
      <c r="C224" s="8" t="s">
        <v>268</v>
      </c>
      <c r="D224" s="28">
        <f>'[1]Місто'!$C$432</f>
        <v>99900</v>
      </c>
      <c r="E224" s="8"/>
      <c r="F224" s="13"/>
      <c r="G224" s="13">
        <f t="shared" si="9"/>
        <v>99900</v>
      </c>
      <c r="I224" s="72"/>
    </row>
    <row r="225" spans="1:9" s="35" customFormat="1" ht="63">
      <c r="A225" s="78"/>
      <c r="B225" s="81"/>
      <c r="C225" s="8" t="s">
        <v>251</v>
      </c>
      <c r="D225" s="28">
        <f>'[1]Місто'!$C$433</f>
        <v>238824</v>
      </c>
      <c r="E225" s="8"/>
      <c r="F225" s="13"/>
      <c r="G225" s="13">
        <f aca="true" t="shared" si="10" ref="G225:G230">D225+F225</f>
        <v>238824</v>
      </c>
      <c r="I225" s="72"/>
    </row>
    <row r="226" spans="1:9" s="35" customFormat="1" ht="47.25">
      <c r="A226" s="78"/>
      <c r="B226" s="81"/>
      <c r="C226" s="8" t="s">
        <v>259</v>
      </c>
      <c r="D226" s="28">
        <f>'[1]Місто'!$C$434</f>
        <v>8337</v>
      </c>
      <c r="E226" s="8"/>
      <c r="F226" s="13"/>
      <c r="G226" s="34">
        <f t="shared" si="10"/>
        <v>8337</v>
      </c>
      <c r="I226" s="72"/>
    </row>
    <row r="227" spans="1:9" s="35" customFormat="1" ht="45.75" customHeight="1" hidden="1">
      <c r="A227" s="78"/>
      <c r="B227" s="81"/>
      <c r="C227" s="8"/>
      <c r="D227" s="9"/>
      <c r="E227" s="8"/>
      <c r="F227" s="13"/>
      <c r="G227" s="34">
        <f t="shared" si="10"/>
        <v>0</v>
      </c>
      <c r="I227" s="72">
        <f>H227-F227</f>
        <v>0</v>
      </c>
    </row>
    <row r="228" spans="1:9" s="35" customFormat="1" ht="56.25" customHeight="1" hidden="1">
      <c r="A228" s="78"/>
      <c r="B228" s="81"/>
      <c r="C228" s="8"/>
      <c r="D228" s="9"/>
      <c r="E228" s="8"/>
      <c r="F228" s="13"/>
      <c r="G228" s="34">
        <f t="shared" si="10"/>
        <v>0</v>
      </c>
      <c r="I228" s="72">
        <f>H228-F228</f>
        <v>0</v>
      </c>
    </row>
    <row r="229" spans="1:9" s="35" customFormat="1" ht="63">
      <c r="A229" s="78"/>
      <c r="B229" s="81"/>
      <c r="C229" s="8" t="s">
        <v>272</v>
      </c>
      <c r="D229" s="28">
        <f>'[1]Місто'!$C$435</f>
        <v>20000</v>
      </c>
      <c r="E229" s="8"/>
      <c r="F229" s="13"/>
      <c r="G229" s="34">
        <f t="shared" si="10"/>
        <v>20000</v>
      </c>
      <c r="I229" s="72"/>
    </row>
    <row r="230" spans="1:9" s="35" customFormat="1" ht="63.75" customHeight="1">
      <c r="A230" s="79"/>
      <c r="B230" s="82"/>
      <c r="C230" s="8" t="s">
        <v>285</v>
      </c>
      <c r="D230" s="28">
        <v>4114</v>
      </c>
      <c r="E230" s="8"/>
      <c r="F230" s="13"/>
      <c r="G230" s="34">
        <f t="shared" si="10"/>
        <v>4114</v>
      </c>
      <c r="I230" s="72"/>
    </row>
    <row r="231" spans="1:9" s="35" customFormat="1" ht="47.25">
      <c r="A231" s="41" t="s">
        <v>112</v>
      </c>
      <c r="B231" s="42" t="s">
        <v>27</v>
      </c>
      <c r="C231" s="8"/>
      <c r="D231" s="43">
        <f>SUM(D232:D242)</f>
        <v>739333</v>
      </c>
      <c r="E231" s="42"/>
      <c r="F231" s="43">
        <f>SUM(F232:F240)</f>
        <v>50149</v>
      </c>
      <c r="G231" s="54">
        <f>SUM(G232:G242)</f>
        <v>789482</v>
      </c>
      <c r="H231" s="73">
        <f>'[1]Місто'!$K$437</f>
        <v>11000</v>
      </c>
      <c r="I231" s="72">
        <f>H231-F231</f>
        <v>-39149</v>
      </c>
    </row>
    <row r="232" spans="1:9" s="35" customFormat="1" ht="27.75" customHeight="1" hidden="1">
      <c r="A232" s="33" t="s">
        <v>142</v>
      </c>
      <c r="B232" s="32" t="s">
        <v>143</v>
      </c>
      <c r="C232" s="8" t="s">
        <v>149</v>
      </c>
      <c r="D232" s="28"/>
      <c r="E232" s="8"/>
      <c r="F232" s="34"/>
      <c r="G232" s="13">
        <f>D232+F232</f>
        <v>0</v>
      </c>
      <c r="I232" s="72">
        <f>H232-F232</f>
        <v>0</v>
      </c>
    </row>
    <row r="233" spans="1:9" s="35" customFormat="1" ht="50.25" customHeight="1">
      <c r="A233" s="77" t="s">
        <v>78</v>
      </c>
      <c r="B233" s="80" t="s">
        <v>79</v>
      </c>
      <c r="C233" s="8" t="s">
        <v>268</v>
      </c>
      <c r="D233" s="28">
        <f>'[1]Місто'!$C$441</f>
        <v>573411</v>
      </c>
      <c r="E233" s="8" t="s">
        <v>268</v>
      </c>
      <c r="F233" s="34">
        <f>'[1]Місто'!$F$441-F234</f>
        <v>4901</v>
      </c>
      <c r="G233" s="34">
        <f>F233+D233</f>
        <v>578312</v>
      </c>
      <c r="I233" s="72"/>
    </row>
    <row r="234" spans="1:9" s="35" customFormat="1" ht="47.25">
      <c r="A234" s="79"/>
      <c r="B234" s="82"/>
      <c r="C234" s="8"/>
      <c r="D234" s="28"/>
      <c r="E234" s="59" t="s">
        <v>261</v>
      </c>
      <c r="F234" s="64">
        <v>11000</v>
      </c>
      <c r="G234" s="64">
        <f>F234+D234</f>
        <v>11000</v>
      </c>
      <c r="I234" s="72"/>
    </row>
    <row r="235" spans="1:9" s="35" customFormat="1" ht="21.75" customHeight="1" hidden="1">
      <c r="A235" s="36" t="s">
        <v>68</v>
      </c>
      <c r="B235" s="8" t="s">
        <v>69</v>
      </c>
      <c r="C235" s="8"/>
      <c r="D235" s="28"/>
      <c r="E235" s="8"/>
      <c r="F235" s="34"/>
      <c r="G235" s="34">
        <f>F235+D235</f>
        <v>0</v>
      </c>
      <c r="I235" s="72"/>
    </row>
    <row r="236" spans="1:9" s="35" customFormat="1" ht="66.75" customHeight="1">
      <c r="A236" s="36" t="s">
        <v>55</v>
      </c>
      <c r="B236" s="37" t="s">
        <v>198</v>
      </c>
      <c r="C236" s="8"/>
      <c r="D236" s="28"/>
      <c r="E236" s="8" t="s">
        <v>280</v>
      </c>
      <c r="F236" s="34">
        <f>'[1]Місто'!$F$445</f>
        <v>34248</v>
      </c>
      <c r="G236" s="34">
        <f>F236+D236</f>
        <v>34248</v>
      </c>
      <c r="I236" s="72"/>
    </row>
    <row r="237" spans="1:9" s="35" customFormat="1" ht="47.25">
      <c r="A237" s="77" t="s">
        <v>61</v>
      </c>
      <c r="B237" s="80" t="s">
        <v>76</v>
      </c>
      <c r="C237" s="8" t="s">
        <v>243</v>
      </c>
      <c r="D237" s="28">
        <f>'[1]Місто'!$C$448</f>
        <v>5735</v>
      </c>
      <c r="E237" s="8"/>
      <c r="F237" s="13"/>
      <c r="G237" s="13">
        <f>F237+D237</f>
        <v>5735</v>
      </c>
      <c r="I237" s="72"/>
    </row>
    <row r="238" spans="1:9" s="35" customFormat="1" ht="34.5" customHeight="1" hidden="1">
      <c r="A238" s="78"/>
      <c r="B238" s="81"/>
      <c r="C238" s="8"/>
      <c r="D238" s="28"/>
      <c r="E238" s="8"/>
      <c r="F238" s="13"/>
      <c r="G238" s="13"/>
      <c r="I238" s="72"/>
    </row>
    <row r="239" spans="1:9" s="35" customFormat="1" ht="63">
      <c r="A239" s="78"/>
      <c r="B239" s="81"/>
      <c r="C239" s="8" t="s">
        <v>251</v>
      </c>
      <c r="D239" s="28">
        <f>'[1]Місто'!$C$449</f>
        <v>31950</v>
      </c>
      <c r="E239" s="8"/>
      <c r="F239" s="13"/>
      <c r="G239" s="13">
        <f>F239+D239</f>
        <v>31950</v>
      </c>
      <c r="I239" s="72"/>
    </row>
    <row r="240" spans="1:9" s="35" customFormat="1" ht="47.25">
      <c r="A240" s="78"/>
      <c r="B240" s="81"/>
      <c r="C240" s="8" t="s">
        <v>259</v>
      </c>
      <c r="D240" s="28">
        <f>'[1]Місто'!$C$451</f>
        <v>8337</v>
      </c>
      <c r="E240" s="8"/>
      <c r="F240" s="13"/>
      <c r="G240" s="34">
        <f>F240+D240</f>
        <v>8337</v>
      </c>
      <c r="I240" s="72"/>
    </row>
    <row r="241" spans="1:9" s="35" customFormat="1" ht="47.25">
      <c r="A241" s="78"/>
      <c r="B241" s="81"/>
      <c r="C241" s="8" t="s">
        <v>268</v>
      </c>
      <c r="D241" s="28">
        <f>'[1]Місто'!$C$450</f>
        <v>99900</v>
      </c>
      <c r="E241" s="8"/>
      <c r="F241" s="13"/>
      <c r="G241" s="34">
        <f>F241+D241</f>
        <v>99900</v>
      </c>
      <c r="I241" s="72"/>
    </row>
    <row r="242" spans="1:9" s="35" customFormat="1" ht="63">
      <c r="A242" s="79"/>
      <c r="B242" s="82"/>
      <c r="C242" s="8" t="s">
        <v>272</v>
      </c>
      <c r="D242" s="28">
        <f>'[1]Місто'!$C$452</f>
        <v>20000</v>
      </c>
      <c r="E242" s="8"/>
      <c r="F242" s="13"/>
      <c r="G242" s="34">
        <f>F242+D242</f>
        <v>20000</v>
      </c>
      <c r="I242" s="72"/>
    </row>
    <row r="243" spans="1:9" s="35" customFormat="1" ht="47.25">
      <c r="A243" s="41" t="s">
        <v>113</v>
      </c>
      <c r="B243" s="42" t="s">
        <v>28</v>
      </c>
      <c r="C243" s="8"/>
      <c r="D243" s="43">
        <f>SUM(D244:D254)</f>
        <v>1073132</v>
      </c>
      <c r="E243" s="42"/>
      <c r="F243" s="43">
        <f>SUM(F244:F254)</f>
        <v>4983947</v>
      </c>
      <c r="G243" s="43">
        <f>SUM(G244:G254)</f>
        <v>6057079</v>
      </c>
      <c r="H243" s="73">
        <f>'[1]Місто'!$K$454</f>
        <v>4852199</v>
      </c>
      <c r="I243" s="72">
        <f>H243-F243</f>
        <v>-131748</v>
      </c>
    </row>
    <row r="244" spans="1:9" s="35" customFormat="1" ht="63" customHeight="1" hidden="1">
      <c r="A244" s="33" t="s">
        <v>142</v>
      </c>
      <c r="B244" s="32" t="s">
        <v>143</v>
      </c>
      <c r="C244" s="8" t="s">
        <v>150</v>
      </c>
      <c r="D244" s="28"/>
      <c r="E244" s="8" t="s">
        <v>150</v>
      </c>
      <c r="F244" s="34"/>
      <c r="G244" s="13">
        <f>D244+F244</f>
        <v>0</v>
      </c>
      <c r="I244" s="72">
        <f>H244-F244</f>
        <v>0</v>
      </c>
    </row>
    <row r="245" spans="1:9" s="35" customFormat="1" ht="56.25" customHeight="1">
      <c r="A245" s="33" t="s">
        <v>78</v>
      </c>
      <c r="B245" s="32" t="s">
        <v>79</v>
      </c>
      <c r="C245" s="8" t="s">
        <v>268</v>
      </c>
      <c r="D245" s="28">
        <f>'[1]Місто'!$C$458</f>
        <v>813709</v>
      </c>
      <c r="E245" s="8" t="s">
        <v>268</v>
      </c>
      <c r="F245" s="34">
        <f>'[1]Місто'!$F$458</f>
        <v>147972</v>
      </c>
      <c r="G245" s="13">
        <f aca="true" t="shared" si="11" ref="G245:G264">D245+F245</f>
        <v>961681</v>
      </c>
      <c r="I245" s="72"/>
    </row>
    <row r="246" spans="1:9" s="35" customFormat="1" ht="47.25">
      <c r="A246" s="36" t="s">
        <v>68</v>
      </c>
      <c r="B246" s="8" t="s">
        <v>69</v>
      </c>
      <c r="C246" s="8"/>
      <c r="D246" s="28"/>
      <c r="E246" s="8" t="s">
        <v>268</v>
      </c>
      <c r="F246" s="34">
        <f>'[1]Місто'!$F$460</f>
        <v>4813292</v>
      </c>
      <c r="G246" s="13">
        <f t="shared" si="11"/>
        <v>4813292</v>
      </c>
      <c r="I246" s="72"/>
    </row>
    <row r="247" spans="1:9" s="35" customFormat="1" ht="78.75">
      <c r="A247" s="36" t="s">
        <v>55</v>
      </c>
      <c r="B247" s="8" t="s">
        <v>198</v>
      </c>
      <c r="C247" s="8"/>
      <c r="D247" s="28"/>
      <c r="E247" s="8" t="s">
        <v>280</v>
      </c>
      <c r="F247" s="34">
        <f>'[1]Місто'!$F$462</f>
        <v>22683</v>
      </c>
      <c r="G247" s="13">
        <f t="shared" si="11"/>
        <v>22683</v>
      </c>
      <c r="I247" s="72"/>
    </row>
    <row r="248" spans="1:9" s="35" customFormat="1" ht="47.25">
      <c r="A248" s="77" t="s">
        <v>61</v>
      </c>
      <c r="B248" s="80" t="s">
        <v>76</v>
      </c>
      <c r="C248" s="8" t="s">
        <v>243</v>
      </c>
      <c r="D248" s="28">
        <f>'[1]Місто'!$C$465</f>
        <v>86135</v>
      </c>
      <c r="E248" s="8"/>
      <c r="F248" s="13"/>
      <c r="G248" s="13">
        <f t="shared" si="11"/>
        <v>86135</v>
      </c>
      <c r="I248" s="72"/>
    </row>
    <row r="249" spans="1:9" s="35" customFormat="1" ht="47.25">
      <c r="A249" s="78"/>
      <c r="B249" s="81"/>
      <c r="C249" s="8" t="s">
        <v>268</v>
      </c>
      <c r="D249" s="28">
        <f>'[1]Місто'!$C$466</f>
        <v>99900</v>
      </c>
      <c r="E249" s="8"/>
      <c r="F249" s="13"/>
      <c r="G249" s="13">
        <f t="shared" si="11"/>
        <v>99900</v>
      </c>
      <c r="I249" s="72"/>
    </row>
    <row r="250" spans="1:9" s="35" customFormat="1" ht="63">
      <c r="A250" s="78"/>
      <c r="B250" s="81"/>
      <c r="C250" s="8" t="s">
        <v>251</v>
      </c>
      <c r="D250" s="28">
        <f>'[1]Місто'!$C$467</f>
        <v>38505</v>
      </c>
      <c r="E250" s="8"/>
      <c r="F250" s="13"/>
      <c r="G250" s="13">
        <f t="shared" si="11"/>
        <v>38505</v>
      </c>
      <c r="I250" s="72"/>
    </row>
    <row r="251" spans="1:9" s="35" customFormat="1" ht="47.25">
      <c r="A251" s="78"/>
      <c r="B251" s="81"/>
      <c r="C251" s="8" t="s">
        <v>259</v>
      </c>
      <c r="D251" s="28">
        <f>'[1]Місто'!$C$468</f>
        <v>7527</v>
      </c>
      <c r="E251" s="8"/>
      <c r="F251" s="13"/>
      <c r="G251" s="34">
        <f>D251+F251</f>
        <v>7527</v>
      </c>
      <c r="I251" s="72"/>
    </row>
    <row r="252" spans="1:9" s="35" customFormat="1" ht="21.75" customHeight="1" hidden="1">
      <c r="A252" s="78"/>
      <c r="B252" s="81"/>
      <c r="C252" s="8"/>
      <c r="D252" s="9"/>
      <c r="E252" s="8"/>
      <c r="F252" s="13"/>
      <c r="G252" s="34">
        <f>D252+F252</f>
        <v>0</v>
      </c>
      <c r="I252" s="72"/>
    </row>
    <row r="253" spans="1:9" s="35" customFormat="1" ht="63">
      <c r="A253" s="78"/>
      <c r="B253" s="81"/>
      <c r="C253" s="8" t="s">
        <v>272</v>
      </c>
      <c r="D253" s="28">
        <f>'[1]Місто'!$C$469</f>
        <v>20000</v>
      </c>
      <c r="E253" s="8"/>
      <c r="F253" s="13"/>
      <c r="G253" s="34">
        <f>D253+F253</f>
        <v>20000</v>
      </c>
      <c r="I253" s="72"/>
    </row>
    <row r="254" spans="1:9" s="35" customFormat="1" ht="66.75" customHeight="1">
      <c r="A254" s="79"/>
      <c r="B254" s="82"/>
      <c r="C254" s="8" t="s">
        <v>285</v>
      </c>
      <c r="D254" s="28">
        <v>7356</v>
      </c>
      <c r="E254" s="8"/>
      <c r="F254" s="13"/>
      <c r="G254" s="34">
        <f>D254+F254</f>
        <v>7356</v>
      </c>
      <c r="I254" s="72"/>
    </row>
    <row r="255" spans="1:9" s="35" customFormat="1" ht="31.5">
      <c r="A255" s="41" t="s">
        <v>114</v>
      </c>
      <c r="B255" s="42" t="s">
        <v>29</v>
      </c>
      <c r="C255" s="8"/>
      <c r="D255" s="43">
        <f>SUM(D256:D264)</f>
        <v>804400</v>
      </c>
      <c r="E255" s="42"/>
      <c r="F255" s="43">
        <f>SUM(F256:F264)</f>
        <v>1008022</v>
      </c>
      <c r="G255" s="47">
        <f>SUM(G256:G264)</f>
        <v>1812422</v>
      </c>
      <c r="H255" s="74">
        <f>'[1]Місто'!$K$471</f>
        <v>998692</v>
      </c>
      <c r="I255" s="72">
        <f>H255-F255</f>
        <v>-9330</v>
      </c>
    </row>
    <row r="256" spans="1:9" s="35" customFormat="1" ht="47.25" hidden="1">
      <c r="A256" s="33" t="s">
        <v>142</v>
      </c>
      <c r="B256" s="32" t="s">
        <v>143</v>
      </c>
      <c r="C256" s="8" t="s">
        <v>151</v>
      </c>
      <c r="D256" s="28"/>
      <c r="E256" s="8" t="s">
        <v>151</v>
      </c>
      <c r="F256" s="34"/>
      <c r="G256" s="34">
        <f>D256+F256</f>
        <v>0</v>
      </c>
      <c r="H256" s="56"/>
      <c r="I256" s="72">
        <f>H256-F256</f>
        <v>0</v>
      </c>
    </row>
    <row r="257" spans="1:9" s="35" customFormat="1" ht="66" customHeight="1">
      <c r="A257" s="33" t="s">
        <v>78</v>
      </c>
      <c r="B257" s="32" t="s">
        <v>79</v>
      </c>
      <c r="C257" s="8" t="s">
        <v>268</v>
      </c>
      <c r="D257" s="28">
        <f>'[1]Місто'!$C$475</f>
        <v>562173</v>
      </c>
      <c r="E257" s="8" t="s">
        <v>268</v>
      </c>
      <c r="F257" s="34">
        <f>'[1]Місто'!$F$475</f>
        <v>9330</v>
      </c>
      <c r="G257" s="13">
        <f t="shared" si="11"/>
        <v>571503</v>
      </c>
      <c r="I257" s="72"/>
    </row>
    <row r="258" spans="1:9" s="35" customFormat="1" ht="55.5" customHeight="1">
      <c r="A258" s="36" t="s">
        <v>68</v>
      </c>
      <c r="B258" s="8" t="s">
        <v>69</v>
      </c>
      <c r="C258" s="8"/>
      <c r="D258" s="28"/>
      <c r="E258" s="8" t="s">
        <v>268</v>
      </c>
      <c r="F258" s="34">
        <f>'[1]Місто'!$F$477</f>
        <v>998692</v>
      </c>
      <c r="G258" s="13">
        <f t="shared" si="11"/>
        <v>998692</v>
      </c>
      <c r="I258" s="72"/>
    </row>
    <row r="259" spans="1:9" s="35" customFormat="1" ht="47.25">
      <c r="A259" s="77" t="s">
        <v>61</v>
      </c>
      <c r="B259" s="80" t="s">
        <v>76</v>
      </c>
      <c r="C259" s="8" t="s">
        <v>243</v>
      </c>
      <c r="D259" s="28">
        <f>'[1]Місто'!$C$482</f>
        <v>86135</v>
      </c>
      <c r="E259" s="8"/>
      <c r="F259" s="13"/>
      <c r="G259" s="13">
        <f t="shared" si="11"/>
        <v>86135</v>
      </c>
      <c r="I259" s="72"/>
    </row>
    <row r="260" spans="1:9" s="35" customFormat="1" ht="47.25">
      <c r="A260" s="78"/>
      <c r="B260" s="81"/>
      <c r="C260" s="8" t="s">
        <v>268</v>
      </c>
      <c r="D260" s="28">
        <f>'[1]Місто'!$C$483</f>
        <v>99900</v>
      </c>
      <c r="E260" s="8"/>
      <c r="F260" s="13"/>
      <c r="G260" s="13">
        <f t="shared" si="11"/>
        <v>99900</v>
      </c>
      <c r="I260" s="72"/>
    </row>
    <row r="261" spans="1:9" s="35" customFormat="1" ht="63">
      <c r="A261" s="78"/>
      <c r="B261" s="81"/>
      <c r="C261" s="8" t="s">
        <v>251</v>
      </c>
      <c r="D261" s="28">
        <f>'[1]Місто'!$C$484</f>
        <v>20991</v>
      </c>
      <c r="E261" s="8"/>
      <c r="F261" s="13"/>
      <c r="G261" s="13">
        <f t="shared" si="11"/>
        <v>20991</v>
      </c>
      <c r="I261" s="72"/>
    </row>
    <row r="262" spans="1:9" s="35" customFormat="1" ht="47.25">
      <c r="A262" s="78"/>
      <c r="B262" s="81"/>
      <c r="C262" s="8" t="s">
        <v>259</v>
      </c>
      <c r="D262" s="28">
        <f>'[1]Місто'!$C$485</f>
        <v>8336</v>
      </c>
      <c r="E262" s="8"/>
      <c r="F262" s="13"/>
      <c r="G262" s="13">
        <f t="shared" si="11"/>
        <v>8336</v>
      </c>
      <c r="I262" s="72"/>
    </row>
    <row r="263" spans="1:9" s="35" customFormat="1" ht="63">
      <c r="A263" s="78"/>
      <c r="B263" s="81"/>
      <c r="C263" s="8" t="s">
        <v>272</v>
      </c>
      <c r="D263" s="28">
        <f>'[1]Місто'!$C$486</f>
        <v>20000</v>
      </c>
      <c r="E263" s="8"/>
      <c r="F263" s="13"/>
      <c r="G263" s="13">
        <f t="shared" si="11"/>
        <v>20000</v>
      </c>
      <c r="I263" s="72"/>
    </row>
    <row r="264" spans="1:9" s="35" customFormat="1" ht="63.75" customHeight="1">
      <c r="A264" s="79"/>
      <c r="B264" s="82"/>
      <c r="C264" s="8" t="s">
        <v>285</v>
      </c>
      <c r="D264" s="28">
        <v>6865</v>
      </c>
      <c r="E264" s="8"/>
      <c r="F264" s="13"/>
      <c r="G264" s="13">
        <f t="shared" si="11"/>
        <v>6865</v>
      </c>
      <c r="I264" s="72"/>
    </row>
    <row r="265" spans="1:9" s="56" customFormat="1" ht="47.25">
      <c r="A265" s="41" t="s">
        <v>115</v>
      </c>
      <c r="B265" s="42" t="s">
        <v>30</v>
      </c>
      <c r="C265" s="42"/>
      <c r="D265" s="43">
        <f>SUM(D266:D279)</f>
        <v>1505696</v>
      </c>
      <c r="E265" s="42"/>
      <c r="F265" s="43">
        <f>SUM(F266:F279)</f>
        <v>133610</v>
      </c>
      <c r="G265" s="43">
        <f>SUM(G266:G279)</f>
        <v>1639306</v>
      </c>
      <c r="H265" s="74">
        <f>'[1]Місто'!$K$488</f>
        <v>5200</v>
      </c>
      <c r="I265" s="72">
        <f>H265-F265</f>
        <v>-128410</v>
      </c>
    </row>
    <row r="266" spans="1:9" s="56" customFormat="1" ht="55.5" customHeight="1" hidden="1">
      <c r="A266" s="33" t="s">
        <v>142</v>
      </c>
      <c r="B266" s="32" t="s">
        <v>143</v>
      </c>
      <c r="C266" s="8" t="s">
        <v>152</v>
      </c>
      <c r="D266" s="28"/>
      <c r="E266" s="8" t="s">
        <v>152</v>
      </c>
      <c r="F266" s="34"/>
      <c r="G266" s="34">
        <f>D266+F266</f>
        <v>0</v>
      </c>
      <c r="I266" s="72">
        <f>H266-F266</f>
        <v>0</v>
      </c>
    </row>
    <row r="267" spans="1:9" s="56" customFormat="1" ht="69" customHeight="1">
      <c r="A267" s="33" t="s">
        <v>142</v>
      </c>
      <c r="B267" s="32" t="s">
        <v>143</v>
      </c>
      <c r="C267" s="8" t="s">
        <v>285</v>
      </c>
      <c r="D267" s="28">
        <v>7270</v>
      </c>
      <c r="E267" s="8"/>
      <c r="F267" s="34"/>
      <c r="G267" s="13">
        <f aca="true" t="shared" si="12" ref="G267:G285">D267+F267</f>
        <v>7270</v>
      </c>
      <c r="I267" s="72"/>
    </row>
    <row r="268" spans="1:9" s="35" customFormat="1" ht="49.5" customHeight="1">
      <c r="A268" s="77" t="s">
        <v>78</v>
      </c>
      <c r="B268" s="83" t="s">
        <v>79</v>
      </c>
      <c r="C268" s="8" t="s">
        <v>268</v>
      </c>
      <c r="D268" s="28">
        <f>'[1]Місто'!$C$492</f>
        <v>858449</v>
      </c>
      <c r="E268" s="8"/>
      <c r="F268" s="34">
        <f>'[1]Місто'!$F$492</f>
        <v>0</v>
      </c>
      <c r="G268" s="13">
        <f t="shared" si="12"/>
        <v>858449</v>
      </c>
      <c r="I268" s="72"/>
    </row>
    <row r="269" spans="1:9" s="35" customFormat="1" ht="47.25">
      <c r="A269" s="79"/>
      <c r="B269" s="83"/>
      <c r="C269" s="8"/>
      <c r="D269" s="28"/>
      <c r="E269" s="59" t="s">
        <v>261</v>
      </c>
      <c r="F269" s="64">
        <v>5200</v>
      </c>
      <c r="G269" s="64">
        <f t="shared" si="12"/>
        <v>5200</v>
      </c>
      <c r="I269" s="72"/>
    </row>
    <row r="270" spans="1:9" s="35" customFormat="1" ht="47.25">
      <c r="A270" s="36" t="s">
        <v>215</v>
      </c>
      <c r="B270" s="8" t="s">
        <v>76</v>
      </c>
      <c r="C270" s="8" t="s">
        <v>254</v>
      </c>
      <c r="D270" s="28">
        <f>'[1]Місто'!$C$494</f>
        <v>246500</v>
      </c>
      <c r="E270" s="8"/>
      <c r="F270" s="34"/>
      <c r="G270" s="13">
        <f t="shared" si="12"/>
        <v>246500</v>
      </c>
      <c r="I270" s="72"/>
    </row>
    <row r="271" spans="1:9" s="35" customFormat="1" ht="64.5" customHeight="1">
      <c r="A271" s="36" t="s">
        <v>55</v>
      </c>
      <c r="B271" s="37" t="s">
        <v>198</v>
      </c>
      <c r="C271" s="8"/>
      <c r="D271" s="28"/>
      <c r="E271" s="8" t="s">
        <v>280</v>
      </c>
      <c r="F271" s="34">
        <f>'[1]Місто'!$F$496</f>
        <v>128410</v>
      </c>
      <c r="G271" s="13">
        <f t="shared" si="12"/>
        <v>128410</v>
      </c>
      <c r="I271" s="72"/>
    </row>
    <row r="272" spans="1:9" s="35" customFormat="1" ht="47.25">
      <c r="A272" s="77" t="s">
        <v>61</v>
      </c>
      <c r="B272" s="80" t="s">
        <v>76</v>
      </c>
      <c r="C272" s="8" t="s">
        <v>243</v>
      </c>
      <c r="D272" s="28">
        <f>'[1]Місто'!$C$499</f>
        <v>195238</v>
      </c>
      <c r="E272" s="8"/>
      <c r="F272" s="13"/>
      <c r="G272" s="13">
        <f t="shared" si="12"/>
        <v>195238</v>
      </c>
      <c r="I272" s="72"/>
    </row>
    <row r="273" spans="1:9" s="35" customFormat="1" ht="21" customHeight="1" hidden="1">
      <c r="A273" s="78"/>
      <c r="B273" s="81"/>
      <c r="C273" s="8"/>
      <c r="D273" s="28"/>
      <c r="E273" s="8"/>
      <c r="F273" s="13"/>
      <c r="G273" s="13"/>
      <c r="I273" s="72"/>
    </row>
    <row r="274" spans="1:9" s="35" customFormat="1" ht="63">
      <c r="A274" s="78"/>
      <c r="B274" s="81"/>
      <c r="C274" s="8" t="s">
        <v>252</v>
      </c>
      <c r="D274" s="28">
        <f>'[1]Місто'!$C$500</f>
        <v>1000</v>
      </c>
      <c r="E274" s="8"/>
      <c r="F274" s="13"/>
      <c r="G274" s="13">
        <f t="shared" si="12"/>
        <v>1000</v>
      </c>
      <c r="I274" s="72"/>
    </row>
    <row r="275" spans="1:9" s="35" customFormat="1" ht="63">
      <c r="A275" s="78"/>
      <c r="B275" s="81"/>
      <c r="C275" s="8" t="s">
        <v>251</v>
      </c>
      <c r="D275" s="28">
        <f>'[1]Місто'!$C$501</f>
        <v>63468</v>
      </c>
      <c r="E275" s="8"/>
      <c r="F275" s="13"/>
      <c r="G275" s="13">
        <f t="shared" si="12"/>
        <v>63468</v>
      </c>
      <c r="I275" s="72"/>
    </row>
    <row r="276" spans="1:9" s="35" customFormat="1" ht="47.25">
      <c r="A276" s="78"/>
      <c r="B276" s="81"/>
      <c r="C276" s="8" t="s">
        <v>259</v>
      </c>
      <c r="D276" s="28">
        <f>'[1]Місто'!$C$503</f>
        <v>12424</v>
      </c>
      <c r="E276" s="8"/>
      <c r="F276" s="13"/>
      <c r="G276" s="13">
        <f t="shared" si="12"/>
        <v>12424</v>
      </c>
      <c r="I276" s="72"/>
    </row>
    <row r="277" spans="1:9" s="35" customFormat="1" ht="63">
      <c r="A277" s="78"/>
      <c r="B277" s="81"/>
      <c r="C277" s="8" t="s">
        <v>272</v>
      </c>
      <c r="D277" s="28">
        <f>'[1]Місто'!$C$504</f>
        <v>20000</v>
      </c>
      <c r="E277" s="8"/>
      <c r="F277" s="13"/>
      <c r="G277" s="13">
        <f t="shared" si="12"/>
        <v>20000</v>
      </c>
      <c r="I277" s="72"/>
    </row>
    <row r="278" spans="1:9" s="35" customFormat="1" ht="47.25">
      <c r="A278" s="78"/>
      <c r="B278" s="81"/>
      <c r="C278" s="8" t="s">
        <v>268</v>
      </c>
      <c r="D278" s="28">
        <f>'[1]Місто'!$C$502</f>
        <v>99900</v>
      </c>
      <c r="E278" s="8"/>
      <c r="F278" s="13"/>
      <c r="G278" s="13">
        <f t="shared" si="12"/>
        <v>99900</v>
      </c>
      <c r="I278" s="72"/>
    </row>
    <row r="279" spans="1:9" s="35" customFormat="1" ht="65.25" customHeight="1">
      <c r="A279" s="79"/>
      <c r="B279" s="82"/>
      <c r="C279" s="8" t="s">
        <v>285</v>
      </c>
      <c r="D279" s="28">
        <v>1447</v>
      </c>
      <c r="E279" s="8"/>
      <c r="F279" s="13"/>
      <c r="G279" s="13">
        <f t="shared" si="12"/>
        <v>1447</v>
      </c>
      <c r="I279" s="72"/>
    </row>
    <row r="280" spans="1:9" s="56" customFormat="1" ht="31.5">
      <c r="A280" s="41" t="s">
        <v>116</v>
      </c>
      <c r="B280" s="42" t="s">
        <v>31</v>
      </c>
      <c r="C280" s="42"/>
      <c r="D280" s="43">
        <f>SUM(D281:D291)</f>
        <v>964749</v>
      </c>
      <c r="E280" s="42"/>
      <c r="F280" s="43">
        <f>SUM(F281:F291)</f>
        <v>1218631</v>
      </c>
      <c r="G280" s="47">
        <f>SUM(G281:G291)</f>
        <v>2183380</v>
      </c>
      <c r="H280" s="74">
        <f>'[1]Місто'!$K$506</f>
        <v>1168469</v>
      </c>
      <c r="I280" s="72">
        <f>H280-F280</f>
        <v>-50162</v>
      </c>
    </row>
    <row r="281" spans="1:9" s="56" customFormat="1" ht="49.5" customHeight="1">
      <c r="A281" s="33" t="s">
        <v>142</v>
      </c>
      <c r="B281" s="32" t="s">
        <v>143</v>
      </c>
      <c r="C281" s="8"/>
      <c r="D281" s="28"/>
      <c r="E281" s="8" t="s">
        <v>262</v>
      </c>
      <c r="F281" s="34">
        <v>2896</v>
      </c>
      <c r="G281" s="34">
        <f>D281+F281</f>
        <v>2896</v>
      </c>
      <c r="I281" s="72"/>
    </row>
    <row r="282" spans="1:9" s="56" customFormat="1" ht="49.5" customHeight="1">
      <c r="A282" s="33" t="s">
        <v>68</v>
      </c>
      <c r="B282" s="32" t="s">
        <v>69</v>
      </c>
      <c r="C282" s="8"/>
      <c r="D282" s="28"/>
      <c r="E282" s="8" t="s">
        <v>268</v>
      </c>
      <c r="F282" s="34">
        <f>'[1]Місто'!$F$512</f>
        <v>1145573</v>
      </c>
      <c r="G282" s="34">
        <f>D282+F282</f>
        <v>1145573</v>
      </c>
      <c r="I282" s="72"/>
    </row>
    <row r="283" spans="1:9" s="35" customFormat="1" ht="48" customHeight="1">
      <c r="A283" s="33" t="s">
        <v>78</v>
      </c>
      <c r="B283" s="32" t="s">
        <v>79</v>
      </c>
      <c r="C283" s="8" t="s">
        <v>268</v>
      </c>
      <c r="D283" s="28">
        <f>'[1]Місто'!$C$510</f>
        <v>753893</v>
      </c>
      <c r="E283" s="8" t="s">
        <v>268</v>
      </c>
      <c r="F283" s="34">
        <f>'[1]Місто'!$F$510</f>
        <v>20000</v>
      </c>
      <c r="G283" s="13">
        <f t="shared" si="12"/>
        <v>773893</v>
      </c>
      <c r="I283" s="72"/>
    </row>
    <row r="284" spans="1:9" s="35" customFormat="1" ht="69.75" customHeight="1">
      <c r="A284" s="36" t="s">
        <v>55</v>
      </c>
      <c r="B284" s="37" t="s">
        <v>198</v>
      </c>
      <c r="C284" s="8"/>
      <c r="D284" s="28"/>
      <c r="E284" s="8" t="s">
        <v>280</v>
      </c>
      <c r="F284" s="34">
        <f>'[1]Місто'!$F$514</f>
        <v>50162</v>
      </c>
      <c r="G284" s="13">
        <f t="shared" si="12"/>
        <v>50162</v>
      </c>
      <c r="I284" s="72"/>
    </row>
    <row r="285" spans="1:9" s="35" customFormat="1" ht="47.25">
      <c r="A285" s="77" t="s">
        <v>61</v>
      </c>
      <c r="B285" s="80" t="s">
        <v>76</v>
      </c>
      <c r="C285" s="8" t="s">
        <v>243</v>
      </c>
      <c r="D285" s="28">
        <f>'[1]Місто'!$C$517</f>
        <v>57447</v>
      </c>
      <c r="E285" s="8"/>
      <c r="F285" s="13"/>
      <c r="G285" s="13">
        <f t="shared" si="12"/>
        <v>57447</v>
      </c>
      <c r="I285" s="72"/>
    </row>
    <row r="286" spans="1:9" s="35" customFormat="1" ht="30.75" customHeight="1" hidden="1">
      <c r="A286" s="78"/>
      <c r="B286" s="81"/>
      <c r="C286" s="8"/>
      <c r="D286" s="28"/>
      <c r="E286" s="8"/>
      <c r="F286" s="13"/>
      <c r="G286" s="13">
        <f aca="true" t="shared" si="13" ref="G286:G296">D286+F286</f>
        <v>0</v>
      </c>
      <c r="I286" s="72">
        <f>H286-F286</f>
        <v>0</v>
      </c>
    </row>
    <row r="287" spans="1:9" s="35" customFormat="1" ht="63">
      <c r="A287" s="78"/>
      <c r="B287" s="81"/>
      <c r="C287" s="8" t="s">
        <v>251</v>
      </c>
      <c r="D287" s="28">
        <f>'[1]Місто'!$C$519</f>
        <v>22955</v>
      </c>
      <c r="E287" s="8"/>
      <c r="F287" s="13"/>
      <c r="G287" s="13">
        <f t="shared" si="13"/>
        <v>22955</v>
      </c>
      <c r="I287" s="72"/>
    </row>
    <row r="288" spans="1:9" s="35" customFormat="1" ht="47.25">
      <c r="A288" s="78"/>
      <c r="B288" s="81"/>
      <c r="C288" s="8" t="s">
        <v>259</v>
      </c>
      <c r="D288" s="28">
        <f>'[1]Місто'!$C$521</f>
        <v>8336</v>
      </c>
      <c r="E288" s="8"/>
      <c r="F288" s="13"/>
      <c r="G288" s="13">
        <f t="shared" si="13"/>
        <v>8336</v>
      </c>
      <c r="I288" s="72"/>
    </row>
    <row r="289" spans="1:9" s="35" customFormat="1" ht="63">
      <c r="A289" s="78"/>
      <c r="B289" s="81"/>
      <c r="C289" s="8" t="s">
        <v>272</v>
      </c>
      <c r="D289" s="28">
        <f>'[1]Місто'!$C$522</f>
        <v>20000</v>
      </c>
      <c r="E289" s="8"/>
      <c r="F289" s="13"/>
      <c r="G289" s="13">
        <f t="shared" si="13"/>
        <v>20000</v>
      </c>
      <c r="I289" s="72"/>
    </row>
    <row r="290" spans="1:9" s="35" customFormat="1" ht="47.25">
      <c r="A290" s="78"/>
      <c r="B290" s="81"/>
      <c r="C290" s="8" t="s">
        <v>268</v>
      </c>
      <c r="D290" s="28">
        <f>'[1]Місто'!$C$520</f>
        <v>99900</v>
      </c>
      <c r="E290" s="8"/>
      <c r="F290" s="13"/>
      <c r="G290" s="13">
        <f t="shared" si="13"/>
        <v>99900</v>
      </c>
      <c r="I290" s="72"/>
    </row>
    <row r="291" spans="1:9" s="35" customFormat="1" ht="69" customHeight="1">
      <c r="A291" s="79"/>
      <c r="B291" s="82"/>
      <c r="C291" s="8" t="s">
        <v>285</v>
      </c>
      <c r="D291" s="28">
        <v>2218</v>
      </c>
      <c r="E291" s="8"/>
      <c r="F291" s="13"/>
      <c r="G291" s="13">
        <f t="shared" si="13"/>
        <v>2218</v>
      </c>
      <c r="I291" s="72"/>
    </row>
    <row r="292" spans="1:9" s="35" customFormat="1" ht="46.5" customHeight="1">
      <c r="A292" s="41" t="s">
        <v>117</v>
      </c>
      <c r="B292" s="42" t="s">
        <v>32</v>
      </c>
      <c r="C292" s="8"/>
      <c r="D292" s="43">
        <f>SUM(D293:D302)</f>
        <v>923568</v>
      </c>
      <c r="E292" s="8"/>
      <c r="F292" s="43">
        <f>SUM(F293:F302)</f>
        <v>146388</v>
      </c>
      <c r="G292" s="43">
        <f>SUM(G293:G302)</f>
        <v>1069956</v>
      </c>
      <c r="H292" s="73">
        <f>'[1]Місто'!$K$524</f>
        <v>146388</v>
      </c>
      <c r="I292" s="72">
        <f>H292-F292</f>
        <v>0</v>
      </c>
    </row>
    <row r="293" spans="1:9" s="35" customFormat="1" ht="64.5" customHeight="1">
      <c r="A293" s="33" t="s">
        <v>142</v>
      </c>
      <c r="B293" s="32" t="s">
        <v>143</v>
      </c>
      <c r="C293" s="8" t="s">
        <v>285</v>
      </c>
      <c r="D293" s="28">
        <v>4359</v>
      </c>
      <c r="E293" s="8" t="s">
        <v>262</v>
      </c>
      <c r="F293" s="34">
        <v>146388</v>
      </c>
      <c r="G293" s="34">
        <f>D293+F293</f>
        <v>150747</v>
      </c>
      <c r="I293" s="72"/>
    </row>
    <row r="294" spans="1:9" s="35" customFormat="1" ht="45.75" customHeight="1">
      <c r="A294" s="33" t="s">
        <v>78</v>
      </c>
      <c r="B294" s="32" t="s">
        <v>79</v>
      </c>
      <c r="C294" s="8" t="s">
        <v>268</v>
      </c>
      <c r="D294" s="28">
        <f>'[1]Місто'!$C$528</f>
        <v>646283</v>
      </c>
      <c r="E294" s="8"/>
      <c r="F294" s="34">
        <f>'[1]Місто'!$F$528</f>
        <v>0</v>
      </c>
      <c r="G294" s="13">
        <f t="shared" si="13"/>
        <v>646283</v>
      </c>
      <c r="I294" s="72"/>
    </row>
    <row r="295" spans="1:9" s="35" customFormat="1" ht="47.25">
      <c r="A295" s="77" t="s">
        <v>61</v>
      </c>
      <c r="B295" s="80" t="s">
        <v>76</v>
      </c>
      <c r="C295" s="8" t="s">
        <v>243</v>
      </c>
      <c r="D295" s="28">
        <f>'[1]Місто'!$C$533</f>
        <v>80392</v>
      </c>
      <c r="E295" s="8"/>
      <c r="F295" s="13"/>
      <c r="G295" s="13">
        <f t="shared" si="13"/>
        <v>80392</v>
      </c>
      <c r="I295" s="72"/>
    </row>
    <row r="296" spans="1:9" s="35" customFormat="1" ht="15.75" customHeight="1" hidden="1">
      <c r="A296" s="78"/>
      <c r="B296" s="81"/>
      <c r="C296" s="8"/>
      <c r="D296" s="28"/>
      <c r="E296" s="8"/>
      <c r="F296" s="34">
        <f>'[1]Місто'!$F$536</f>
        <v>0</v>
      </c>
      <c r="G296" s="13">
        <f t="shared" si="13"/>
        <v>0</v>
      </c>
      <c r="I296" s="72"/>
    </row>
    <row r="297" spans="1:9" s="35" customFormat="1" ht="63">
      <c r="A297" s="78"/>
      <c r="B297" s="81"/>
      <c r="C297" s="8" t="s">
        <v>251</v>
      </c>
      <c r="D297" s="28">
        <f>'[1]Місто'!$C$534</f>
        <v>60000</v>
      </c>
      <c r="E297" s="8"/>
      <c r="F297" s="13"/>
      <c r="G297" s="34">
        <f aca="true" t="shared" si="14" ref="G297:G302">D297+F297</f>
        <v>60000</v>
      </c>
      <c r="I297" s="72"/>
    </row>
    <row r="298" spans="1:9" s="35" customFormat="1" ht="47.25">
      <c r="A298" s="78"/>
      <c r="B298" s="81"/>
      <c r="C298" s="8" t="s">
        <v>259</v>
      </c>
      <c r="D298" s="28">
        <f>'[1]Місто'!$C$536</f>
        <v>8500</v>
      </c>
      <c r="E298" s="8"/>
      <c r="F298" s="13"/>
      <c r="G298" s="34">
        <f t="shared" si="14"/>
        <v>8500</v>
      </c>
      <c r="I298" s="72"/>
    </row>
    <row r="299" spans="1:9" s="35" customFormat="1" ht="24.75" customHeight="1" hidden="1">
      <c r="A299" s="78"/>
      <c r="B299" s="81"/>
      <c r="C299" s="8"/>
      <c r="D299" s="9"/>
      <c r="E299" s="8"/>
      <c r="F299" s="13"/>
      <c r="G299" s="34">
        <f t="shared" si="14"/>
        <v>0</v>
      </c>
      <c r="I299" s="72"/>
    </row>
    <row r="300" spans="1:9" s="35" customFormat="1" ht="63">
      <c r="A300" s="78"/>
      <c r="B300" s="81"/>
      <c r="C300" s="8" t="s">
        <v>272</v>
      </c>
      <c r="D300" s="28">
        <f>'[1]Місто'!$C$537</f>
        <v>20000</v>
      </c>
      <c r="E300" s="8"/>
      <c r="F300" s="13"/>
      <c r="G300" s="34">
        <f t="shared" si="14"/>
        <v>20000</v>
      </c>
      <c r="I300" s="72"/>
    </row>
    <row r="301" spans="1:9" s="35" customFormat="1" ht="47.25">
      <c r="A301" s="78"/>
      <c r="B301" s="81"/>
      <c r="C301" s="8" t="s">
        <v>268</v>
      </c>
      <c r="D301" s="28">
        <f>'[1]Місто'!$C$535</f>
        <v>99900</v>
      </c>
      <c r="E301" s="8"/>
      <c r="F301" s="13"/>
      <c r="G301" s="34">
        <f t="shared" si="14"/>
        <v>99900</v>
      </c>
      <c r="I301" s="72"/>
    </row>
    <row r="302" spans="1:9" s="35" customFormat="1" ht="68.25" customHeight="1">
      <c r="A302" s="79"/>
      <c r="B302" s="82"/>
      <c r="C302" s="8" t="s">
        <v>285</v>
      </c>
      <c r="D302" s="28">
        <v>4134</v>
      </c>
      <c r="E302" s="8"/>
      <c r="F302" s="13"/>
      <c r="G302" s="34">
        <f t="shared" si="14"/>
        <v>4134</v>
      </c>
      <c r="I302" s="72"/>
    </row>
    <row r="303" spans="1:9" s="57" customFormat="1" ht="15.75">
      <c r="A303" s="42"/>
      <c r="B303" s="42" t="s">
        <v>50</v>
      </c>
      <c r="C303" s="42"/>
      <c r="D303" s="47">
        <f>D11+D30+D72+D94+D117+D119+D121+D140+D145+D147+D171+D174+D179+D181+D184+D188+D197+D202+D208+D217+D231+D243+D255+D265+D280+D292+D214+D168</f>
        <v>248761612</v>
      </c>
      <c r="E303" s="46"/>
      <c r="F303" s="47">
        <f>F11+F30+F72+F94+F117+F119+F121+F140+F145+F147+F171+F174+F179+F181+F184+F188+F197+F202+F208+F217+F231+F243+F255+F265+F280+F292+F214+F168</f>
        <v>345751194</v>
      </c>
      <c r="G303" s="47">
        <f>F303+D303</f>
        <v>594512806</v>
      </c>
      <c r="I303" s="72"/>
    </row>
    <row r="304" spans="1:7" ht="15" customHeight="1">
      <c r="A304" s="1"/>
      <c r="B304" s="1"/>
      <c r="C304" s="1"/>
      <c r="D304" s="1"/>
      <c r="E304" s="1"/>
      <c r="F304" s="1"/>
      <c r="G304" s="1"/>
    </row>
    <row r="305" spans="1:6" s="16" customFormat="1" ht="35.25" customHeight="1">
      <c r="A305" s="91" t="s">
        <v>181</v>
      </c>
      <c r="B305" s="91"/>
      <c r="C305" s="23"/>
      <c r="D305" s="24"/>
      <c r="E305" s="25"/>
      <c r="F305" s="25" t="s">
        <v>182</v>
      </c>
    </row>
    <row r="306" spans="4:7" ht="18" customHeight="1">
      <c r="D306" s="14">
        <f>D14+D23+D24+D26+D28+D29+D44+D45+D59+D66+D96+D106+D108+D113+D115+D116+D133+D143+D144+D149+D150+D156+D166+D173+D176+D177+D178+D190+D195+D196+D199+D200+D207+D211+D213+D220+D223+D225+D226+D233+D237+D239+D240+D245+D248+D250+D251+D257+D259+D261+D262+D268+D272+D274+D275+D276+D283+D285+D287+D288+D294+D295+D297+D224+D249+D260+D109+D270+D151+D157+D54+D187+D298+D229+D242+D253+D263+D277+D289+D300+D107+D230+D254+D264+D279+D291+D302+D241+D278+D290+D301+D55+D201</f>
        <v>204653435</v>
      </c>
      <c r="F306" s="57">
        <f>('[3]свод'!$D$124+'[3]свод'!$D$199+'[3]свод'!$D$201+'[3]свод'!$D$203+'[3]свод'!$D$205)*1000</f>
        <v>343118176</v>
      </c>
      <c r="G306" s="70">
        <f>F306-F303</f>
        <v>-2633018</v>
      </c>
    </row>
    <row r="307" spans="4:7" ht="18" customHeight="1">
      <c r="D307" s="14"/>
      <c r="F307" s="57"/>
      <c r="G307" s="70"/>
    </row>
    <row r="308" spans="4:7" ht="18" customHeight="1">
      <c r="D308" s="2">
        <f>'[3]свод'!$D$111*1000</f>
        <v>204653435</v>
      </c>
      <c r="F308" s="2">
        <f>'[3]свод'!$D$123*1000</f>
        <v>398881753.99999994</v>
      </c>
      <c r="G308" s="2" t="s">
        <v>278</v>
      </c>
    </row>
    <row r="309" spans="4:9" ht="18" customHeight="1">
      <c r="D309" s="14">
        <f>D308-D306</f>
        <v>0</v>
      </c>
      <c r="F309" s="66"/>
      <c r="G309" s="67">
        <v>55763578</v>
      </c>
      <c r="H309" s="66">
        <f>G309-F309</f>
        <v>55763578</v>
      </c>
      <c r="I309" s="14" t="e">
        <f>G309-#REF!</f>
        <v>#REF!</v>
      </c>
    </row>
    <row r="310" spans="4:8" ht="18" customHeight="1">
      <c r="D310" s="14"/>
      <c r="E310" s="2">
        <v>10116</v>
      </c>
      <c r="F310" s="14">
        <f>F12+F95+F141+F146+F148+F172+F182+F203+F281+F293</f>
        <v>2403360</v>
      </c>
      <c r="H310" s="2">
        <f>('[3]свод'!$D$138+'[3]свод'!$D$172)*1000</f>
        <v>2478148</v>
      </c>
    </row>
    <row r="311" spans="4:8" ht="18" customHeight="1">
      <c r="D311" s="14"/>
      <c r="E311" s="2">
        <v>70000</v>
      </c>
      <c r="F311" s="14">
        <f>F33+F34+F36+F39+F40+F42+F43+F44+F45+F54</f>
        <v>7987963</v>
      </c>
      <c r="H311" s="2">
        <f>('[3]свод'!$D$139+'[3]свод'!$D$173)*1000</f>
        <v>7483013</v>
      </c>
    </row>
    <row r="312" spans="4:8" ht="15.75">
      <c r="D312" s="14"/>
      <c r="E312" s="2">
        <v>80000</v>
      </c>
      <c r="F312" s="14">
        <f>F74+F75+F76+F77+F79+F80+F82+F83+F85+F86+F88+F90</f>
        <v>11835778</v>
      </c>
      <c r="G312" s="2">
        <v>541571</v>
      </c>
      <c r="H312" s="2">
        <f>('[3]свод'!$D$143+'[3]свод'!$D$176)*1000</f>
        <v>11294207</v>
      </c>
    </row>
    <row r="313" spans="3:8" ht="15.75">
      <c r="C313" s="5"/>
      <c r="E313" s="2">
        <v>90000</v>
      </c>
      <c r="F313" s="14">
        <f>F58+F59+F98+F99+F101+F102+F104+F106+F107+F108+F109+F149</f>
        <v>1204173</v>
      </c>
      <c r="H313" s="2">
        <f>('[3]свод'!$D$145+'[3]свод'!$D$147+'[3]свод'!$D$149+'[3]свод'!$D$179)*1000</f>
        <v>1204173</v>
      </c>
    </row>
    <row r="314" spans="5:8" ht="15.75">
      <c r="E314" s="2">
        <v>100102</v>
      </c>
      <c r="F314" s="14">
        <f>F152+F154</f>
        <v>56924475</v>
      </c>
      <c r="H314" s="2">
        <f>('[3]свод'!$D$135+'[3]свод'!$D$166)*1000</f>
        <v>56924475</v>
      </c>
    </row>
    <row r="315" spans="5:8" ht="15.75">
      <c r="E315" s="2">
        <v>100106</v>
      </c>
      <c r="F315" s="14">
        <f>F155</f>
        <v>951177</v>
      </c>
      <c r="H315" s="2">
        <f>('[3]свод'!$D$137)*1000</f>
        <v>951177</v>
      </c>
    </row>
    <row r="316" spans="5:8" ht="15.75">
      <c r="E316" s="2">
        <v>100203</v>
      </c>
      <c r="F316" s="14">
        <f>F156+F157+F220+F233+F245+F257+F268+F269+F283+F294+F234</f>
        <v>3867497</v>
      </c>
      <c r="H316" s="2">
        <f>('[3]свод'!$D$133+'[3]свод'!$D$169)*1000</f>
        <v>3744201</v>
      </c>
    </row>
    <row r="317" spans="5:8" ht="15.75">
      <c r="E317" s="2">
        <v>110000</v>
      </c>
      <c r="F317" s="14">
        <f>F123+F125+F126+F128+F129+F130+F131+F133+F134+F135+F136+F138</f>
        <v>5519339</v>
      </c>
      <c r="H317" s="2">
        <f>('[3]свод'!$D$150+'[3]свод'!$D$181)*1000</f>
        <v>4494674</v>
      </c>
    </row>
    <row r="318" spans="5:8" ht="15.75">
      <c r="E318" s="2">
        <v>120000</v>
      </c>
      <c r="F318" s="14">
        <f>F14+F15+F190</f>
        <v>58800</v>
      </c>
      <c r="H318" s="2">
        <f>('[3]свод'!$D$152+'[3]свод'!$D$183)*1000</f>
        <v>58800</v>
      </c>
    </row>
    <row r="319" spans="5:8" ht="15.75">
      <c r="E319" s="2">
        <v>130000</v>
      </c>
      <c r="F319" s="14">
        <f>F60+F61+F62+F63+F65+F66</f>
        <v>86580</v>
      </c>
      <c r="H319" s="2">
        <f>('[3]свод'!$D$141+'[3]свод'!$D$185)*1000</f>
        <v>44500</v>
      </c>
    </row>
    <row r="320" spans="5:8" ht="15.75">
      <c r="E320" s="2">
        <v>150000</v>
      </c>
      <c r="F320" s="14">
        <f>F16+F20+F67+F68+F69+F91+F110+F111+F139+F142+F158+F159+F204+F205+F246+F258+F282+F160+F192</f>
        <v>116585102</v>
      </c>
      <c r="H320" s="2">
        <f>('[3]свод'!$D$128+'[3]свод'!$D$187)*1000</f>
        <v>116585102</v>
      </c>
    </row>
    <row r="321" spans="5:8" ht="15.75">
      <c r="E321" s="2">
        <v>160000</v>
      </c>
      <c r="F321" s="14">
        <f>F183</f>
        <v>1707056</v>
      </c>
      <c r="H321" s="2">
        <f>'[2]свод'!$D$202*1000</f>
        <v>1707056</v>
      </c>
    </row>
    <row r="322" spans="5:8" ht="15.75">
      <c r="E322" s="2">
        <v>170000</v>
      </c>
      <c r="F322" s="14">
        <f>F113+F115+F116+F161+F195</f>
        <v>45133051</v>
      </c>
      <c r="H322" s="2">
        <f>('[3]свод'!$D$199+'[3]свод'!$D$154)*1000</f>
        <v>45133051</v>
      </c>
    </row>
    <row r="323" spans="5:8" ht="15.75">
      <c r="E323" s="2">
        <v>180000</v>
      </c>
      <c r="F323" s="14">
        <f>F144+F163+F193+F194</f>
        <v>14110113</v>
      </c>
      <c r="H323" s="2">
        <f>('[3]свод'!$D$132)*1000</f>
        <v>16798213</v>
      </c>
    </row>
    <row r="324" spans="5:8" ht="15.75">
      <c r="E324" s="2">
        <v>210000</v>
      </c>
      <c r="F324" s="14">
        <f>F199+F200+F206</f>
        <v>27055024</v>
      </c>
      <c r="H324" s="2">
        <f>('[3]свод'!$D$155+'[3]свод'!$D$190)*1000</f>
        <v>26922539</v>
      </c>
    </row>
    <row r="325" spans="5:8" ht="15.75">
      <c r="E325" s="2">
        <v>240000</v>
      </c>
      <c r="F325" s="14">
        <f>F21+F70+F165+F186+F222+F236+F247+F271+F284</f>
        <v>45389027</v>
      </c>
      <c r="H325" s="2">
        <f>('[3]свод'!$D$201+'[3]свод'!$D$205)*1000</f>
        <v>45389027</v>
      </c>
    </row>
    <row r="326" spans="5:8" ht="15.75">
      <c r="E326" s="2">
        <v>250000</v>
      </c>
      <c r="F326" s="14">
        <f>F23+F24+F26+F28+F29+F71+F143+F166+F173+F196+F207+F213+F223+F224+F225+F226+F237+F239+F240+F248+F249+F250+F251+F259+F260+F261+F262+F272+F274+F275+F276+F285+F287+F288+F295+F297</f>
        <v>2244579</v>
      </c>
      <c r="H326" s="2">
        <f>('[3]свод'!$D$156+'[3]свод'!$D$192+494.759)*1000</f>
        <v>2244578.9999999995</v>
      </c>
    </row>
    <row r="327" spans="5:8" ht="15.75">
      <c r="E327" s="11" t="s">
        <v>50</v>
      </c>
      <c r="F327" s="14">
        <f>SUM(F310:F326)</f>
        <v>343063094</v>
      </c>
      <c r="H327" s="14">
        <f>SUM(H310:H326)</f>
        <v>343456935</v>
      </c>
    </row>
    <row r="329" spans="3:7" ht="15.75">
      <c r="C329" s="68" t="s">
        <v>271</v>
      </c>
      <c r="D329" s="69">
        <f>D28+D34+D40+D54+D63+D77+D80+D83+D104+D107+D109+D126+D129+D151+D157</f>
        <v>4184236</v>
      </c>
      <c r="E329" s="68"/>
      <c r="F329" s="69">
        <f>F15+F34+F40+F43+F54+F63+F77+F80+F83+F86+F104+F107+F126+F129+F131+F138+F154+F157+F159+F234+F269</f>
        <v>3786285</v>
      </c>
      <c r="G329" s="68"/>
    </row>
    <row r="330" spans="3:7" ht="15.75">
      <c r="C330" s="68"/>
      <c r="D330" s="69">
        <f>4500000-D329</f>
        <v>315764</v>
      </c>
      <c r="E330" s="68"/>
      <c r="F330" s="69">
        <f>F329-D330</f>
        <v>3470521</v>
      </c>
      <c r="G330" s="68">
        <v>3337521</v>
      </c>
    </row>
    <row r="331" spans="3:7" ht="15.75">
      <c r="C331" s="68"/>
      <c r="D331" s="68"/>
      <c r="E331" s="68"/>
      <c r="F331" s="68"/>
      <c r="G331" s="69">
        <f>G330-F330</f>
        <v>-133000</v>
      </c>
    </row>
  </sheetData>
  <sheetProtection/>
  <mergeCells count="93">
    <mergeCell ref="A85:A87"/>
    <mergeCell ref="B85:B87"/>
    <mergeCell ref="A12:A13"/>
    <mergeCell ref="B12:B13"/>
    <mergeCell ref="B42:B43"/>
    <mergeCell ref="B16:B19"/>
    <mergeCell ref="A82:A84"/>
    <mergeCell ref="B82:B84"/>
    <mergeCell ref="B67:B69"/>
    <mergeCell ref="A33:A35"/>
    <mergeCell ref="A95:A97"/>
    <mergeCell ref="A128:A129"/>
    <mergeCell ref="B128:B129"/>
    <mergeCell ref="B108:B109"/>
    <mergeCell ref="B95:B97"/>
    <mergeCell ref="A110:A111"/>
    <mergeCell ref="B110:B111"/>
    <mergeCell ref="A113:A114"/>
    <mergeCell ref="B112:B114"/>
    <mergeCell ref="A305:B305"/>
    <mergeCell ref="A5:G5"/>
    <mergeCell ref="C16:C19"/>
    <mergeCell ref="A16:A19"/>
    <mergeCell ref="B23:B29"/>
    <mergeCell ref="A23:A29"/>
    <mergeCell ref="A14:A15"/>
    <mergeCell ref="E8:F8"/>
    <mergeCell ref="A134:A138"/>
    <mergeCell ref="B134:B138"/>
    <mergeCell ref="B8:B9"/>
    <mergeCell ref="C8:D8"/>
    <mergeCell ref="B14:B15"/>
    <mergeCell ref="A176:A178"/>
    <mergeCell ref="B176:B178"/>
    <mergeCell ref="B92:B93"/>
    <mergeCell ref="A79:A81"/>
    <mergeCell ref="B79:B81"/>
    <mergeCell ref="A152:A154"/>
    <mergeCell ref="B152:B154"/>
    <mergeCell ref="B33:B35"/>
    <mergeCell ref="A36:A41"/>
    <mergeCell ref="B36:B41"/>
    <mergeCell ref="A42:A43"/>
    <mergeCell ref="B44:B55"/>
    <mergeCell ref="A44:A55"/>
    <mergeCell ref="B62:B64"/>
    <mergeCell ref="A62:A64"/>
    <mergeCell ref="B259:B264"/>
    <mergeCell ref="B74:B78"/>
    <mergeCell ref="A74:A78"/>
    <mergeCell ref="A67:A69"/>
    <mergeCell ref="A158:A159"/>
    <mergeCell ref="B158:B159"/>
    <mergeCell ref="A92:A93"/>
    <mergeCell ref="B101:B105"/>
    <mergeCell ref="A130:A132"/>
    <mergeCell ref="B130:B132"/>
    <mergeCell ref="A156:A157"/>
    <mergeCell ref="B156:B157"/>
    <mergeCell ref="C211:C213"/>
    <mergeCell ref="A268:A269"/>
    <mergeCell ref="B268:B269"/>
    <mergeCell ref="A193:A194"/>
    <mergeCell ref="A237:A242"/>
    <mergeCell ref="B237:B242"/>
    <mergeCell ref="B193:B194"/>
    <mergeCell ref="A248:A254"/>
    <mergeCell ref="A233:A234"/>
    <mergeCell ref="B233:B234"/>
    <mergeCell ref="A200:A201"/>
    <mergeCell ref="B200:B201"/>
    <mergeCell ref="B223:B230"/>
    <mergeCell ref="A223:A230"/>
    <mergeCell ref="A150:A151"/>
    <mergeCell ref="B150:B151"/>
    <mergeCell ref="A101:A105"/>
    <mergeCell ref="B123:B124"/>
    <mergeCell ref="A123:A124"/>
    <mergeCell ref="A125:A127"/>
    <mergeCell ref="B125:B127"/>
    <mergeCell ref="A108:A109"/>
    <mergeCell ref="A106:A107"/>
    <mergeCell ref="B106:B107"/>
    <mergeCell ref="A295:A302"/>
    <mergeCell ref="B295:B302"/>
    <mergeCell ref="A163:A164"/>
    <mergeCell ref="B163:B164"/>
    <mergeCell ref="A259:A264"/>
    <mergeCell ref="B272:B279"/>
    <mergeCell ref="A272:A279"/>
    <mergeCell ref="A285:A291"/>
    <mergeCell ref="B285:B291"/>
    <mergeCell ref="B248:B254"/>
  </mergeCells>
  <printOptions/>
  <pageMargins left="0.3937007874015748" right="0.2362204724409449" top="0.65" bottom="0.26" header="0.43" footer="0.23"/>
  <pageSetup fitToHeight="15" fitToWidth="1" horizontalDpi="600" verticalDpi="600" orientation="landscape" paperSize="9" scale="61" r:id="rId1"/>
  <headerFooter alignWithMargins="0">
    <oddHeader>&amp;C&amp;P</oddHeader>
  </headerFooter>
  <rowBreaks count="1" manualBreakCount="1">
    <brk id="2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2013-04-30T07:28:45Z</cp:lastPrinted>
  <dcterms:created xsi:type="dcterms:W3CDTF">1996-10-08T23:32:33Z</dcterms:created>
  <dcterms:modified xsi:type="dcterms:W3CDTF">2013-05-13T12:24:36Z</dcterms:modified>
  <cp:category/>
  <cp:version/>
  <cp:contentType/>
  <cp:contentStatus/>
</cp:coreProperties>
</file>