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activeTab="0"/>
  </bookViews>
  <sheets>
    <sheet name="24.12.2012" sheetId="1" r:id="rId1"/>
  </sheets>
  <externalReferences>
    <externalReference r:id="rId4"/>
  </externalReferences>
  <definedNames>
    <definedName name="_xlnm.Print_Titles" localSheetId="0">'24.12.2012'!$11:$11</definedName>
    <definedName name="_xlnm.Print_Area" localSheetId="0">'24.12.2012'!$A$1:$G$532</definedName>
  </definedNames>
  <calcPr fullCalcOnLoad="1"/>
</workbook>
</file>

<file path=xl/sharedStrings.xml><?xml version="1.0" encoding="utf-8"?>
<sst xmlns="http://schemas.openxmlformats.org/spreadsheetml/2006/main" count="871" uniqueCount="452">
  <si>
    <t>вул. Горького, 55</t>
  </si>
  <si>
    <t>вул. Грязнова, 4</t>
  </si>
  <si>
    <t>вул. Історична, 20 а</t>
  </si>
  <si>
    <t>вул. Зестафонівська, 1</t>
  </si>
  <si>
    <t>вул.Ладозька, 32</t>
  </si>
  <si>
    <t>вул. Руставі, 3а</t>
  </si>
  <si>
    <t>бул. Гвардійський, 136</t>
  </si>
  <si>
    <t>вул. Запорізького козацтва, 3</t>
  </si>
  <si>
    <t>бул. Будівельників, 19</t>
  </si>
  <si>
    <t>бул. Будівельників, 13</t>
  </si>
  <si>
    <t>пр. Моторобудівників, 26</t>
  </si>
  <si>
    <t>вул.Уральська, 27</t>
  </si>
  <si>
    <t>вул. Грязнова, 2</t>
  </si>
  <si>
    <t>вул. Козача, 47</t>
  </si>
  <si>
    <t>пр. Леніна, 148</t>
  </si>
  <si>
    <t>вул. Комунарівська, 64</t>
  </si>
  <si>
    <t>вул.Свердлова, 39</t>
  </si>
  <si>
    <t>пр. Леніна, 96</t>
  </si>
  <si>
    <t>вул. Історична, 37а</t>
  </si>
  <si>
    <t>вул.Молодіжна, 85</t>
  </si>
  <si>
    <t>вул.Чернівецька, 5</t>
  </si>
  <si>
    <t>вул.Дніпропетровське шосе, 54</t>
  </si>
  <si>
    <t>вул. Ногіна, 5а</t>
  </si>
  <si>
    <t>вул. Ладозька, 14</t>
  </si>
  <si>
    <t>вул.Кремлівська, 17</t>
  </si>
  <si>
    <t>вул.Гребельна, 1</t>
  </si>
  <si>
    <t>пр. Леніна, 192</t>
  </si>
  <si>
    <t>вул.14 Жовтня, 9</t>
  </si>
  <si>
    <t>пр.Ювілейний,29</t>
  </si>
  <si>
    <t>пр.Ювілейний, 24/1</t>
  </si>
  <si>
    <t>вул.Задніпровська, 36</t>
  </si>
  <si>
    <t>вул.Лахтинська, 7</t>
  </si>
  <si>
    <t>пр.Моторобудівників, 3</t>
  </si>
  <si>
    <t>вул.Грязнова, 90а</t>
  </si>
  <si>
    <t>вул.Деповська, 85</t>
  </si>
  <si>
    <t>вул.Перемоги, 87а</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</si>
  <si>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</si>
  <si>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</si>
  <si>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вул. Істоміна</t>
  </si>
  <si>
    <t>Реконструкція мереж зовнішнього освітлення по вул. Силова</t>
  </si>
  <si>
    <t xml:space="preserve">Реконструкція мереж зовнішнього освітлення по вул. Дніпропетровське шосе </t>
  </si>
  <si>
    <t xml:space="preserve">Реконструкція мереж зовнішнього освітлення по вул. Славутича </t>
  </si>
  <si>
    <t xml:space="preserve">Реконструкція мереж зовнішнього освітлення по вул. Санаторна </t>
  </si>
  <si>
    <t>Реконструкція мереж зовнішнього освітлення по пров. Арбатський</t>
  </si>
  <si>
    <t>Реконструкція мереж зовнішнього освітлення по вул. Оборонна</t>
  </si>
  <si>
    <t xml:space="preserve">Реконструкція мереж зовнішнього освітлення по вул. Павлика Морозова </t>
  </si>
  <si>
    <t>Реконструкція мереж зовнішнього освітлення по вул. Вольська</t>
  </si>
  <si>
    <t>Реконструкція мереж зовнішнього освітлення по вул. Полєтаєва</t>
  </si>
  <si>
    <t>Реконструкція мереж зовнішнього освітлення по вул. Памірська</t>
  </si>
  <si>
    <t>Реконструкція мереж зовнішнього освітлення по вул. Теплова</t>
  </si>
  <si>
    <t xml:space="preserve">Реконструкція мереж зовнішнього освітлення по вул. Владивостоцька </t>
  </si>
  <si>
    <t>Реконструкція мереж зовнішнього освітлення по вул. Іртишська</t>
  </si>
  <si>
    <t xml:space="preserve">Реконструкція мереж зовнішнього освітлення по вул. Карбишева </t>
  </si>
  <si>
    <t xml:space="preserve">Реконструкція мереж зовнішнього освітлення по вул. Деповська </t>
  </si>
  <si>
    <t>Реконструкція мереж зовнішнього освітлення по вул. Компресорна</t>
  </si>
  <si>
    <t xml:space="preserve">Реконструкція мереж зовнішнього освітлення по вул. Автодорівська </t>
  </si>
  <si>
    <t xml:space="preserve">Реконструкція мереж зовнішнього освітлення по вул. Редакційна </t>
  </si>
  <si>
    <t>Реконструкція мереж зовнішнього освітлення по вул. Синельниківська</t>
  </si>
  <si>
    <t>Реконструкція мереж зовнішнього освітлення по вул. Причальна</t>
  </si>
  <si>
    <t>Реконструкція мереж зовнішнього освітлення по вул. Армавірська</t>
  </si>
  <si>
    <t>Реконструкція мереж зовнішнього освітлення по вул. Кустанайська</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</si>
  <si>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</si>
  <si>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</si>
  <si>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</si>
  <si>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</si>
  <si>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</si>
  <si>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</si>
  <si>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</si>
  <si>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</si>
  <si>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</si>
  <si>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</si>
  <si>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вул.Зестафонська,10-б</t>
  </si>
  <si>
    <t>вул.Дніпровські пороги,21</t>
  </si>
  <si>
    <t>вул.Зернова,30а</t>
  </si>
  <si>
    <t>вул.Кремлівська,81</t>
  </si>
  <si>
    <t>вул. Історична, 29</t>
  </si>
  <si>
    <t>вул.Глазунова,6</t>
  </si>
  <si>
    <t xml:space="preserve">Додаток 7                        </t>
  </si>
  <si>
    <t>до рішення  міської ради</t>
  </si>
  <si>
    <t>Перелік об'єктів, видатки на які у 2013 році будуть проводитися за рахунок коштів бюджету розвитку</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</si>
  <si>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</si>
  <si>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</si>
  <si>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</si>
  <si>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</si>
  <si>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</si>
  <si>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</si>
  <si>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</si>
  <si>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</si>
  <si>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</si>
  <si>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03</t>
  </si>
  <si>
    <t>Виконавчий комітет міської ради</t>
  </si>
  <si>
    <t>010116</t>
  </si>
  <si>
    <t>Органи місцевого самоврядування</t>
  </si>
  <si>
    <t>капітальні видатки</t>
  </si>
  <si>
    <t>Капітальні вкладення</t>
  </si>
  <si>
    <t>Реконструкція вул. Рекордної м.Запоріжжя (від вул.Заводська до вул.Алюмінева)  (проектні та будівельні роботи)</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</si>
  <si>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</si>
  <si>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</si>
  <si>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</si>
  <si>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 —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</si>
  <si>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</si>
  <si>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</si>
  <si>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</si>
  <si>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</si>
  <si>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</si>
  <si>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</si>
  <si>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</si>
  <si>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</si>
  <si>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</si>
  <si>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</si>
  <si>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</si>
  <si>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</si>
  <si>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Будівництво житлового будинку № 25 в кварталі  по вул.Алмазній у сел. Павло-Кічкас м. Запоріжжя (проектні та будівельні роботи) </t>
  </si>
  <si>
    <t>Будівництво житлового будинку № 10 в мікрорайоні 5 житлового масиву "Південний", м. Запоріжжя (пілотний проект)</t>
  </si>
  <si>
    <t xml:space="preserve">Будівництво позаквартальних інженерних мереж та споруд по вул. Алмазній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</si>
  <si>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</si>
  <si>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</si>
  <si>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080800</t>
  </si>
  <si>
    <t>29.05.2013 №15</t>
  </si>
  <si>
    <t>Центри первинної медичної (медико-санітарної) допомоги</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</si>
  <si>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</si>
  <si>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</si>
  <si>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 Рекордної від вул. Портова до вул. Алюмінева (проектні роботи)</t>
  </si>
  <si>
    <t>Завершення будівництва по вул. Калнишевського, вул. Дорошенко, вул. Рубана (зовнішнє освітлення та дороги)</t>
  </si>
  <si>
    <t xml:space="preserve">Реконструкція скверу ім.60-річчя СРСР та прилеглої території в м.Запоріжжі (ескізний проект) </t>
  </si>
  <si>
    <t>070804</t>
  </si>
  <si>
    <t>Централізовані бухгалтерії обласних, міських, районних відділів освіти</t>
  </si>
  <si>
    <t xml:space="preserve">Реконструкція мереж зовнішнього освітлення по бул.Шевченка (центральна алея від пр.Леніна до вул.Перемоги) </t>
  </si>
  <si>
    <t>Комунальне підприємство "Експлуатаційне лінійне управління автомобільних шляхів" (придбання тротуароприбиральної машини Джонстон CN 101 - 2 одиниці, підмітально-прибиральної машини Brod Sweeden AB Scandia 2 - 1 одиниця, дорожньо-розміточної машини Graco Line Lazer IV 5900 - 1 одиниця)</t>
  </si>
  <si>
    <t>Реконструкція автошляхопроводу  по вул. Карпенка-Карого (проектні та будівельні роботи)</t>
  </si>
  <si>
    <t>Заходи, пов'язані з поліпшенням питної води</t>
  </si>
  <si>
    <t>Реконструкція шляхопроводу через р. Мокра Московка на автошляху Харків-Сімферополь (проектні та будівельні роботи)</t>
  </si>
  <si>
    <t>Реконструкція розділювальної смуги на Прибрежній магістралі від вул.Української до вул.Глісерної з будівництвом 2-х світлофорних об'єктів в м.Запоріжжя (проектні роботи)</t>
  </si>
  <si>
    <t>Міське комунальне підприємство "Основаніє" (придбання деревоподрібнюючої машини - 6 од., піскорозкидувачу - 5 од., відбійних молотків "Макіта" - 13 од., мотокоси "Husgvarna"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 бензопил "Мотор Січ МС - 370" - 49 од., верстатів для заточування ланцюгів пільних "Мотор Січ СЗ - 150" - 9 од., візків "Мотор Січ ТС - 1" - 40 од., мотоблоків "Мотор Січ МБ - 4,05" - 40 од., інструментів для роботи з трубами ПВХ - 11 од., перфораторів - 14 од., наборів інструментів слюсаря-сантехніка - 18 од., зварювальних інверторів - 14 од.)</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</si>
  <si>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</si>
  <si>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</si>
  <si>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</si>
  <si>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Будівництво теплиці "Запорізького міського ботанічного саду" І черга (проектні роботи та будівництво)</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</si>
  <si>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</si>
  <si>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Реконструкція будівлі дошкільного навчального закладу №186 по вул.12 Квітня, 2а (проектні та будівельні роботи)</t>
  </si>
  <si>
    <t>Будівництво дитячого садку по вул. Дорошенка  у мікрорайоні №17 Хортицького району м.Запоріжжя  (проектні роботи, експертиза)</t>
  </si>
  <si>
    <t>Прибудова до загальноосвітньої школи І-ІІІ ступенів №104 по вул. Кремлівська, 65в Ленінського району - будівництво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</si>
  <si>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</si>
  <si>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</si>
  <si>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</si>
  <si>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</si>
  <si>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</si>
  <si>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</si>
  <si>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</si>
  <si>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</si>
  <si>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080704</t>
  </si>
  <si>
    <t>Центри здоров'я і заходи у сфері  санітарної освіти</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</si>
  <si>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</si>
  <si>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</si>
  <si>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</si>
  <si>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 — погашення заборгованості за минулі роки</t>
  </si>
  <si>
    <t>Реконструкція прибудови до житлової будівлі під амбулаторію сімейного лікаря по вул. Дорошенко, 3 в Хортицькому районі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</si>
  <si>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</si>
  <si>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</si>
  <si>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</si>
  <si>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Управління соціального захисту населення Запорізької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</si>
  <si>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</si>
  <si>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</si>
  <si>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</si>
  <si>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</si>
  <si>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</si>
  <si>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</si>
  <si>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</si>
  <si>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091204</t>
  </si>
  <si>
    <t>Реконструкція мереж зовнішнього освітлення дитячого майданчика по вул.Дорошенка,6 у м.Запоріжжя (проектні роботи, експертиза)</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</si>
  <si>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</si>
  <si>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</si>
  <si>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</si>
  <si>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</si>
  <si>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</si>
  <si>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Служба (управління) у справах дітей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</si>
  <si>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</si>
  <si>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</si>
  <si>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</si>
  <si>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</si>
  <si>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</si>
  <si>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</si>
  <si>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</si>
  <si>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</si>
  <si>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</si>
  <si>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</si>
  <si>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</si>
  <si>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</si>
  <si>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</si>
  <si>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</si>
  <si>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</si>
  <si>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</si>
  <si>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</si>
  <si>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</si>
  <si>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</si>
  <si>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</si>
  <si>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</si>
  <si>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</si>
  <si>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</si>
  <si>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 xml:space="preserve">Реконструкція, переобладнання та перепланування гуртожитку під житловий будинок  по вул. Нахімова, 6  — погашення заборгованості за минулі роки </t>
  </si>
  <si>
    <t>Реконструкція мереж зовнішнього освітлення по вул. Новгородська (гуртожиток по вул. Новгородська)</t>
  </si>
  <si>
    <t>Реконструкція мереж зовнішнього освітлення по вул. Новгородська (від вул. Жукова до шляхопроводу)</t>
  </si>
  <si>
    <t>Будівництво дитячих майданчиків  (проектні та будівельні роботи)</t>
  </si>
  <si>
    <t xml:space="preserve">Будівництво спортивних майданчиків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</si>
  <si>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</si>
  <si>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</si>
  <si>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Реконструкція житлового будинку по пл.Профспілок, 4</t>
  </si>
  <si>
    <t>Винос водогону з під житлової забудови по вул.Первомайській (від вул.Кооперативної до вул.Української,92) (проектні та будівельні роботи)</t>
  </si>
  <si>
    <t>Реконструкція водопроводу Д-630мм по вул. Первомайській (від ЗЦП до вул. Кооперативної) (проектні та будівельні роботи)</t>
  </si>
  <si>
    <t>Ліквідація аварійного стану житлового будинку по вул. Гудименко,3 (проектно-вишукувальні роботи)</t>
  </si>
  <si>
    <t>Попередження створення аварійної ситуацій житлових будинків по вул. Нагнибіди, 11, 11а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</si>
  <si>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</si>
  <si>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Реконстуркція автодороги Запоріжжя-Підпорожнянка в районі шлакових відвалів ВАТ "Запоріжсталь"</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</si>
  <si>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</si>
  <si>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Будівництво світлофорного об"єкту на перехресті вул. Грязнова - вул. Артема</t>
  </si>
  <si>
    <t>Реконструкція тротуару по вул. Новокузнецькій (непарна сторона)</t>
  </si>
  <si>
    <t>Реконстуркція вул. Лермонтова (від вул.Правди до вул.Заводської ) м.Запоріжжя (проектні та будівельні роботи)</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</si>
  <si>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</si>
  <si>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</si>
  <si>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світлофорного об'єкту на перехресті вул. Сєдова - виїзд з 7 медсанчастини</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</si>
  <si>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</si>
  <si>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скверуТеатрального в м.Запоріжжі (проектні та будівельні роботи)</t>
  </si>
  <si>
    <t>Реконструкція скверу на пл.Театральній зі спорудженням пам'ятника Т.Г.Шевченку (проектні роботи та експертиза) - погашення кредиторської заборгованості</t>
  </si>
  <si>
    <t>150118</t>
  </si>
  <si>
    <t>Житлове будівництво та придбання житла для окремих категорій населення</t>
  </si>
  <si>
    <t>Придбання житла для окремих категорій громадян</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</si>
  <si>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</si>
  <si>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</si>
  <si>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Реконструкція Набережної магістралі (проектні та будівельні роботи)</t>
  </si>
  <si>
    <t>Реконструкція зовнішнього електропостачання будівлі Палацу спорту "Юність" (проектні роботи, експертиза)</t>
  </si>
  <si>
    <t>Будівництво теплової мережі до 3 - ої секції житлового будинку по вул.Дзержинського, 114 (проектні та будівельні роботи)</t>
  </si>
  <si>
    <t>Інженерне забезпечення (електропостачання) об'єкту "Будівництво та облаштування притулку для утримання безпритульних тварин м.Запоріжжя"</t>
  </si>
  <si>
    <t>Будівництво дитячого будинку сімейного типу (проектно-вишукувальні роботи)</t>
  </si>
  <si>
    <t xml:space="preserve">Реконструкція частини центральної пішохідної алеї по пр. Ювілейному в м.Запоріжжі (проектні робота, експертиза)
</t>
  </si>
  <si>
    <t>Будівництво дорожнього полотна провулку Ставропольського (проектні та будівельні роботи) — погашення заборгованості минулих років</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</si>
  <si>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минулих років</t>
  </si>
  <si>
    <t xml:space="preserve">Реконструкція мереж зовнішнього освітлення вул. Перемоги, 80 (КУ «Міська клінічна лікарня екстреної та швидкої медичної допомоги») </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</si>
  <si>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</si>
  <si>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Бородінська - погашення заборгованості за минулі роки</t>
  </si>
  <si>
    <t>Будівництво мереж зовнішнього освітлення по вул. Вогнетривка, 1-11 (проектні роботи та експертиза)</t>
  </si>
  <si>
    <t>Будівництво мереж зовнішнього освітлення по вул.Прияружна, 4а-12 (проектні роботи та експертиза)</t>
  </si>
  <si>
    <t>Будівництво мереж зовнішнього освітлення по вул. Свердлова (від вул. Жуковського до вул. Гоголя) (проектні та будівельні роботи)  — погашення заборгованості минулих років</t>
  </si>
  <si>
    <t>Будівництво мереж зовнішнього освітлення вулиці Історична від буд. 1 до буд. 5 (проектні роботи)  — погашення заборгованості минулих років</t>
  </si>
  <si>
    <t>Будівництво мереж зовнішнього освітлення вулиці  Косарєва (проектні роботи)  — погашення заборгованості минулих років</t>
  </si>
  <si>
    <t>Будівництво мереж зовнішнього освітлення  пров.Кедровий (проектні роботи) — погашення заборгованості минулих років</t>
  </si>
  <si>
    <t>Будівництво мереж зовнішнього освітлення пров.Якутський (проектні роботи)  — погашення заборгованості минулих років</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</si>
  <si>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 погашення заборгованості минулих років</t>
  </si>
  <si>
    <t xml:space="preserve">Реконструкція пр. Леніна на ділянці від вул. Кірова до залізничній станції «Запоріжжя-1» (ділянка від вул. Кірова до вул. Космічної)  — погашення заборгованості минулих років
</t>
  </si>
  <si>
    <t xml:space="preserve">Реконструкція вул. Шамотної в межах від вул. Електричної до вул. Шламової (проектні та будівельні роботи)  — погашення заборгованості минулих років
</t>
  </si>
  <si>
    <t xml:space="preserve">Реконструкція вул. Фінальної в межах від вул. Північне шосе до вул. Історичної (проектні та будівельні роботи)  — погашення заборгованості минулих років
</t>
  </si>
  <si>
    <t xml:space="preserve">Реконструкція вул. Ніжинської в межах від вул. Олександра Невського до вул. Шмідта (проектні та будівельні роботи)  — погашення заборгованості минулих років
</t>
  </si>
  <si>
    <t>Інші субвенції</t>
  </si>
  <si>
    <t xml:space="preserve">Реконструкція вул. Медичної в межах від вул. Айвазовського до вул. Панаса Мирного (проектні та будівельні роботи)  — погашення заборгованості минулих років
</t>
  </si>
  <si>
    <t>Будівництво каналізаційної насосної станції та мереж електропостачання в районі Прибрежної магістралі - вул.Тбіліська (проектні та будівельні роботи)</t>
  </si>
  <si>
    <t xml:space="preserve">Реконструкція парку   «Перемоги» в м. Запоріжжя (ІІ черга)  — погашення заборгованості минулих років
</t>
  </si>
  <si>
    <t xml:space="preserve">Котельня по вул.Панфьорова, 146а - технічне переоснащення  — погашення заборгованості минулих років
</t>
  </si>
  <si>
    <t>Внески органів місцевого самоврядування у статутні капітали суб'єктів підприємницької діяльності</t>
  </si>
  <si>
    <t>Управління комунального господарства та  дорожнього будівництва  Запорізької міської ради</t>
  </si>
  <si>
    <t>грн.</t>
  </si>
  <si>
    <t xml:space="preserve">                                                                                                                                                                                                                                                                                                                                                                                                                                                                                                                                                                                                                                                                                                                                                                                                                                                                                                                                                                                                                                                                                </t>
  </si>
  <si>
    <t>Департамент житлового господарства та розподілу житлової площі Запорізької міської ради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</si>
  <si>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</si>
  <si>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</si>
  <si>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</si>
  <si>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</si>
  <si>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</si>
  <si>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</si>
  <si>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Телебачення та радіомовлення</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</si>
  <si>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</si>
  <si>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</si>
  <si>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</si>
  <si>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</si>
  <si>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</si>
  <si>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</si>
  <si>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</si>
  <si>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Водогін Д=800 мм в балці "Панська" у районі кладовища "Бугайова", м.Запоріжжя - реконструкція</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</si>
  <si>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</si>
  <si>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</si>
  <si>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</si>
  <si>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</si>
  <si>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</si>
  <si>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</si>
  <si>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</si>
  <si>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</si>
  <si>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</si>
  <si>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</si>
  <si>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</si>
  <si>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</si>
  <si>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вул. Грязнова, 1а</t>
  </si>
  <si>
    <t>Районна адміністрація Запорізької міської ради по Орджонікідзевському району</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</si>
  <si>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</si>
  <si>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</si>
  <si>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</si>
  <si>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</si>
  <si>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</si>
  <si>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Правда-вул. Чубаря м.Запоріжжя (проектні та будівельні роботи)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</si>
  <si>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</si>
  <si>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Районна адміністрація Запорізької міської ради по Жовтневому району</t>
  </si>
  <si>
    <t>Реконструкція  центральної алеї парку "Дубовий гай" в м. Запоріжжя — погашення заборгованості за минулі роки</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</si>
  <si>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</si>
  <si>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</si>
  <si>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</si>
  <si>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Районна адміністрація Запорізької міської ради по Комунарському району</t>
  </si>
  <si>
    <t>Всього видатків</t>
  </si>
  <si>
    <t>Секретар міської ради</t>
  </si>
  <si>
    <t>Р.О.Таран</t>
  </si>
  <si>
    <t>Реконструкція ринку Соцміста КП "Запоріжринок" вул. Рекордна,2 м.Запоріжжя (проектні та будівельні роботи)</t>
  </si>
  <si>
    <t>капітальні видатки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</si>
  <si>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минулих років</t>
  </si>
  <si>
    <t xml:space="preserve">Реконструкція Палацу спорту "Юність" в м. Запоріжжя"(проектні роботи) </t>
  </si>
  <si>
    <t xml:space="preserve">Реконстуркція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роботи та експертиза) </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</si>
  <si>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</si>
  <si>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</si>
  <si>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</si>
  <si>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Попередження створенню аварійного стану прибудови комунального підприємства Палац культури "Орбіта"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</si>
  <si>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</si>
  <si>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</si>
  <si>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 Ракетній, 38а </t>
  </si>
  <si>
    <t xml:space="preserve">Житловий будинок по бул. Вінтера,50 - реконструкція  </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</si>
  <si>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</si>
  <si>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</si>
  <si>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 xml:space="preserve">Реконструкція контейнерного майданчика по пр.Маяковського,10 </t>
  </si>
  <si>
    <t xml:space="preserve">Реконструкція контейнерного майданчика по вул.Перемоги,59  </t>
  </si>
  <si>
    <t xml:space="preserve">Реконструкція контейнерного майданчика по вул.Південноукраїнська,19  </t>
  </si>
  <si>
    <t xml:space="preserve">Реконструкція контейнерного майданчика по вул.Південноукраїнська,13 </t>
  </si>
  <si>
    <t xml:space="preserve">Реконструкція контейнерного майданчика по вул.Патріотична,64б </t>
  </si>
  <si>
    <t xml:space="preserve">Реконструкція контейнерного майданчика по пр.Леніна,133 </t>
  </si>
  <si>
    <t xml:space="preserve">Реконструкція контейнерного майданчика по бул.Шевченко,42  </t>
  </si>
  <si>
    <t xml:space="preserve">Реконструкція контейнерного майданчика по вул.Тбіліська,9  </t>
  </si>
  <si>
    <t xml:space="preserve">Реконструкція системи диспетчеризації ліфтового господарства в Комунарському районі м. Запоріжжя  </t>
  </si>
  <si>
    <t xml:space="preserve">Ліквідація аварійного стану автодороги, зливової та побутової каналізації по вул. М.Судця, м. Запоріжжя  </t>
  </si>
  <si>
    <t xml:space="preserve">Реконструкція скидного зливового колектору в районі насосної станції № 29 в Хортицькому районі (проектні та будівельні роботи) </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</si>
  <si>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</si>
  <si>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 Запоріжжя  </t>
  </si>
  <si>
    <t>Будівництво спортивного майданчику у парку Перемоги (проектні та будівельні роботи)</t>
  </si>
  <si>
    <t>Реконструкція водопроводу Д=400 мм по вул. Родгоспній від вул. Парамонова до вул. Польової</t>
  </si>
  <si>
    <t xml:space="preserve">Газифікація житлових будинків по вул.Воєнбуд м.Запоріжжя  </t>
  </si>
  <si>
    <t>Термомодернізація будівлі комунальної установи "Центральна поліклініка Жовтневого району" по пр.Леніна, 88</t>
  </si>
  <si>
    <t>Періодичні видання (газети та журнали)</t>
  </si>
  <si>
    <t>080500</t>
  </si>
  <si>
    <t>Загальні і спеціалізовані стоматологічні поліклініки</t>
  </si>
  <si>
    <t xml:space="preserve">Реконстуркція скверу біля пам'ятника ім. Ф.Є.Дзержинського, в м.Запоріжжі </t>
  </si>
  <si>
    <t>Будівництво трамвайної колії від пр. Леніна до вул. Жовтневої в м.Запоріжжі (проектно-вишукувальні роботи, експертиза)</t>
  </si>
  <si>
    <t>Реконструкція самопливного каналізаціного колектору по пр.Металургів від вул.Рекордної до вул.Лучєвої</t>
  </si>
  <si>
    <t>в тому числі</t>
  </si>
  <si>
    <t>пр.Леніна, 143;</t>
  </si>
  <si>
    <t>вул. Перемоги, 65</t>
  </si>
  <si>
    <t>вул. Гагаріна, 8</t>
  </si>
  <si>
    <t>вул. Н.Містечка, 19 гол. фасад.</t>
  </si>
  <si>
    <t>вул. Запорізька, 6</t>
  </si>
  <si>
    <t>вул.Гудименко,9</t>
  </si>
  <si>
    <t>пр.Ювілейний,23А</t>
  </si>
  <si>
    <t>вул.Рубана,24</t>
  </si>
  <si>
    <t>вул.Задніпровська,21</t>
  </si>
  <si>
    <t>вул.Задніпровська,27</t>
  </si>
  <si>
    <t xml:space="preserve">вул. Портова, буд. 2                                                                                                                                          </t>
  </si>
  <si>
    <t xml:space="preserve">вул.Чарівна,95   </t>
  </si>
  <si>
    <t>вул.Військбуд,84</t>
  </si>
  <si>
    <t>вул.Памірська,91</t>
  </si>
  <si>
    <t>вул. Кузнецова,34а</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</si>
  <si>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</si>
  <si>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</si>
  <si>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</si>
  <si>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</si>
  <si>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</si>
  <si>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</si>
  <si>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</si>
  <si>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</si>
  <si>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</si>
  <si>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</si>
  <si>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</si>
  <si>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</si>
  <si>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</si>
  <si>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</si>
  <si>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</si>
  <si>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</si>
  <si>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</si>
  <si>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</si>
  <si>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</si>
  <si>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</si>
  <si>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</si>
  <si>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</si>
  <si>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</si>
  <si>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</si>
  <si>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</si>
  <si>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</si>
  <si>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</si>
  <si>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</si>
  <si>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</si>
  <si>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в тому числі за адресами:</t>
  </si>
  <si>
    <t>Внески у статутні капітали комунальних підприємств міста  - погашення заборгованості за минулі роки</t>
  </si>
  <si>
    <t>Комунальне підприємство "Запоріжміськсвітло" (придбання комп'ютерної техніки та автомобілів Vida SF 69YO-20 - 23 одиниці)</t>
  </si>
  <si>
    <t>вул. 40 років Радянської України, 49</t>
  </si>
  <si>
    <t xml:space="preserve">Комунальна установа «Запорізька міська багатопрофільна дитяча лікарня №5»  (відділення недоношених новонароджених)  - реконструкція  </t>
  </si>
  <si>
    <t>Реконструкція площі другого поверху травматологічного корпусу КУ "Міська багатопрофільна клінічна лікарня №9" (проектні роботи)</t>
  </si>
  <si>
    <t xml:space="preserve">Реконструкція ділянки пішохідної алеї від вул. Правда до вул. Патріотична (проектні та будівельні роботи) </t>
  </si>
  <si>
    <t xml:space="preserve">Будівництво декоративних підпірних стін від вул. Правда до вул. Перемога (проектні та будівельні роботи) </t>
  </si>
  <si>
    <t>070202</t>
  </si>
  <si>
    <t>Вечірні (змінні) школи</t>
  </si>
  <si>
    <t>Комунальне підприємство "Міжнародний аеропорт Запоріжжя" (проведення заходів для проходження чергової  сертифікаційної перевірки)</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</si>
  <si>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</si>
  <si>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t>
  </si>
  <si>
    <t>Реконструкція мереж зовнішнього освітлення на внутрішньоквартальній території по вул. Малиновського ТП-153</t>
  </si>
  <si>
    <t>Реконструкція мереж зовнішнього освітлення на внутрішньоквартальній території по вул. Малиновського ТП-158</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</si>
  <si>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</si>
  <si>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Калініна</t>
  </si>
  <si>
    <t>вул.Ніжинська, 68</t>
  </si>
  <si>
    <t>вул.Ніжинська,66</t>
  </si>
  <si>
    <t>вул.Історична,34</t>
  </si>
  <si>
    <t>Реконструкція мереж зовнішнього освітлення в сквері по вул. Космічній, 22 (біля Комунарського РВ ЗМУ)</t>
  </si>
  <si>
    <t>Реконструкція мереж зовнішнього освітлення по вул. Тополіна ТП-52</t>
  </si>
  <si>
    <t>Реконструкція мереж зовнішнього освітлення по вул. Крилова</t>
  </si>
  <si>
    <t>Реконструкція мереж зовнішнього освітлення по вул. Володарського</t>
  </si>
  <si>
    <t>Реконструкція мереж зовнішнього освітлення на внутрішньоквартальній території по вул. Героїв Сталінграду від ТП-311</t>
  </si>
  <si>
    <t>Реконструкція мереж зовнішнього освітлення на внутрішньоквартальній території по вул. Грязнова від ТП-312</t>
  </si>
  <si>
    <t>Реконструкція мереж зовнішнього освітлення на внутрішньоквартальній території по вул. Грязнова</t>
  </si>
  <si>
    <t>Реконструкція мереж зовнішнього освітлення скверу біля інституту «Запоріжцивільпроект» (сквер будинку побуту - пл. Пушкіна)</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</si>
  <si>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</si>
  <si>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по вул. Сталеварів</t>
  </si>
  <si>
    <t xml:space="preserve">Реконструкція мереж зовнішнього освітлення о. Хортиця, вул. Наукового містечка </t>
  </si>
  <si>
    <t>Реконструкція мереж зовнішнього освітлення кварталу 65 (вул. Сталеварів – вул. Рекордна – вул. Лермонтова – вул. Сорок років Радянської України)</t>
  </si>
  <si>
    <t xml:space="preserve">Реконструкція мереж зовнішнього освітлення по вул. Гагаріна </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</si>
  <si>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</si>
  <si>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</si>
  <si>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</si>
  <si>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контактної мережі тролейбусу на греблі "Дніпрогес" та дільниці від площі Леніна до естакади через шлюзи</t>
  </si>
  <si>
    <t>Комунальне підриємство "Титан" (придбання пляжеприбиральної машини "Ondina" (SCAM) - 1 одиниця)</t>
  </si>
  <si>
    <t>Реконструкція мереж зовнішнього освітлення по вул. Задніпровська (від вул. Новгородської до вул. Гудименка)</t>
  </si>
  <si>
    <t xml:space="preserve">Реконструкція мереж зовнішнього освітлення по вул. Ентузіастів </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</si>
  <si>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</si>
  <si>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</si>
  <si>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Шишкіна</t>
  </si>
  <si>
    <t>Реконструкція мереж зовнішнього освітлення по вул. Логінова</t>
  </si>
  <si>
    <t>130107</t>
  </si>
  <si>
    <t>Утримання та навчально-тренувальна робота дитячо-юнацьких спортивних шкіл</t>
  </si>
  <si>
    <t>Будівництво світлофорного об'єкту на перехресті вул.Чумаченка - вул.Олімпійська</t>
  </si>
  <si>
    <t>Реконструкція мереж зовнішнього освітлення по вул. Медвєдєва</t>
  </si>
  <si>
    <t>Реконструкція мереж зовнішнього освітлення по вул. Метрополітенівській</t>
  </si>
  <si>
    <t>Реконструкція мереж зовнішнього освітлення по вул. Яворницького</t>
  </si>
  <si>
    <t>Реконструкція мереж зовнішнього освітлення по вул. Трегубова</t>
  </si>
  <si>
    <t>Реконструкція дороги по вул. Глісерній з автомобільною стоянкою в районі парку «Дубовий гай» м. Запоріжжя -погашення заборгованості за минулі роки</t>
  </si>
  <si>
    <t>Будівництво світлофорного об'єкту на перехресті вул.Північне шосе - дорога на Сталіпрокатний завод</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</si>
  <si>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</si>
  <si>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</si>
  <si>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контейнерного майданчика по вул.Матросова,25 - погашення заборгованості за минулі роки</t>
  </si>
  <si>
    <t>Реконструкція житлових будинків по пр.Леніна, 171, пр.Леніна,171а, пр.Леніна, 173 (проектні роботи та експертиза)</t>
  </si>
  <si>
    <t>Реконструкція контейнерного майданчика по вул. Перемоги,22</t>
  </si>
  <si>
    <t>Реконструкція контейнерного майданчика по вул. Патріотична, 80</t>
  </si>
  <si>
    <t>Реконструкція контейнерного майданчика по вул. Кам'яногірська,2</t>
  </si>
  <si>
    <t>Концерн "Міські теплові мережі" (придбання автомобіль ЗАЗ Lanos - 2 одиниці, автомобіль Chevrolet Lacetti - 2 одиниці, автомобіль Chevrolet Epica - 1  одиниця)</t>
  </si>
  <si>
    <t>вул. Українська, 8</t>
  </si>
  <si>
    <t>вул. Гоголя, 124</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</si>
</sst>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s>
  <fonts count="39">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b/>
      <sz val="12"/>
      <color indexed="8"/>
      <name val="Arial"/>
      <family val="2"/>
    </font>
    <font>
      <sz val="10"/>
      <name val="Times New Roman"/>
      <family val="1"/>
    </font>
    <font>
      <sz val="12"/>
      <name val="Arial"/>
      <family val="2"/>
    </font>
    <font>
      <sz val="10"/>
      <color indexed="8"/>
      <name val="Arial"/>
      <family val="2"/>
    </font>
    <font>
      <b/>
      <sz val="12"/>
      <name val="Arial"/>
      <family val="2"/>
    </font>
    <font>
      <sz val="12"/>
      <color indexed="8"/>
      <name val="Calibri"/>
      <family val="2"/>
    </font>
    <font>
      <b/>
      <sz val="12"/>
      <name val="Arial Cyr"/>
      <family val="2"/>
    </font>
    <font>
      <sz val="8"/>
      <name val="Calibri"/>
      <family val="2"/>
    </font>
    <font>
      <sz val="11"/>
      <name val="Calibri"/>
      <family val="2"/>
    </font>
    <font>
      <b/>
      <sz val="11"/>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sz val="12"/>
      <color indexed="10"/>
      <name val="Arial"/>
      <family val="2"/>
    </font>
    <font>
      <b/>
      <sz val="11"/>
      <color indexed="10"/>
      <name val="Calibri"/>
      <family val="2"/>
    </font>
    <font>
      <b/>
      <u val="single"/>
      <sz val="2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32"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03">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21" fillId="22" borderId="10" xfId="0" applyFont="1" applyFill="1" applyBorder="1" applyAlignment="1">
      <alignment horizontal="right" wrapText="1"/>
    </xf>
    <xf numFmtId="0" fontId="21" fillId="22" borderId="10" xfId="0" applyFont="1" applyFill="1" applyBorder="1" applyAlignment="1">
      <alignment horizontal="left" wrapText="1"/>
    </xf>
    <xf numFmtId="3" fontId="21" fillId="22" borderId="10" xfId="0" applyNumberFormat="1" applyFont="1" applyFill="1" applyBorder="1" applyAlignment="1">
      <alignment horizontal="right" wrapText="1"/>
    </xf>
    <xf numFmtId="1" fontId="9" fillId="24" borderId="0" xfId="0" applyNumberFormat="1" applyFont="1" applyFill="1" applyAlignment="1">
      <alignment wrapText="1"/>
    </xf>
    <xf numFmtId="0" fontId="9" fillId="24" borderId="0" xfId="0" applyFont="1" applyFill="1" applyAlignment="1">
      <alignmen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0" borderId="10" xfId="0" applyNumberFormat="1" applyFont="1" applyFill="1" applyBorder="1" applyAlignment="1">
      <alignment horizontal="right" wrapText="1"/>
    </xf>
    <xf numFmtId="3" fontId="20" fillId="24" borderId="10" xfId="0" applyNumberFormat="1" applyFont="1" applyFill="1" applyBorder="1" applyAlignment="1">
      <alignment horizontal="right" wrapText="1"/>
    </xf>
    <xf numFmtId="172" fontId="20" fillId="24" borderId="10" xfId="0" applyNumberFormat="1" applyFont="1" applyFill="1" applyBorder="1" applyAlignment="1">
      <alignment horizontal="right" wrapText="1"/>
    </xf>
    <xf numFmtId="0" fontId="22" fillId="0" borderId="10" xfId="0" applyFont="1" applyFill="1" applyBorder="1" applyAlignment="1">
      <alignment vertical="top" wrapText="1"/>
    </xf>
    <xf numFmtId="172" fontId="21" fillId="22" borderId="10" xfId="0" applyNumberFormat="1" applyFont="1" applyFill="1" applyBorder="1" applyAlignment="1">
      <alignment horizontal="right" wrapText="1"/>
    </xf>
    <xf numFmtId="1" fontId="9" fillId="0" borderId="0" xfId="0" applyNumberFormat="1" applyFont="1" applyFill="1" applyAlignment="1">
      <alignment wrapText="1"/>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3" fillId="24" borderId="10" xfId="0" applyNumberFormat="1" applyFont="1" applyFill="1" applyBorder="1" applyAlignment="1">
      <alignment horizontal="right" wrapText="1"/>
    </xf>
    <xf numFmtId="0" fontId="20" fillId="0" borderId="10" xfId="0" applyFont="1" applyFill="1" applyBorder="1" applyAlignment="1">
      <alignment horizontal="right" wrapText="1"/>
    </xf>
    <xf numFmtId="0" fontId="20" fillId="0" borderId="10" xfId="0" applyFont="1" applyFill="1" applyBorder="1" applyAlignment="1">
      <alignment horizontal="left" wrapText="1"/>
    </xf>
    <xf numFmtId="172" fontId="20" fillId="0" borderId="10" xfId="0" applyNumberFormat="1" applyFont="1" applyFill="1" applyBorder="1" applyAlignment="1">
      <alignment horizontal="right" wrapText="1"/>
    </xf>
    <xf numFmtId="0" fontId="0" fillId="0" borderId="0" xfId="0" applyFill="1" applyAlignment="1">
      <alignment wrapText="1"/>
    </xf>
    <xf numFmtId="0" fontId="23" fillId="0" borderId="10" xfId="0" applyFont="1" applyFill="1" applyBorder="1" applyAlignment="1">
      <alignment horizontal="left" wrapText="1"/>
    </xf>
    <xf numFmtId="0" fontId="24" fillId="24" borderId="10" xfId="0" applyFont="1" applyFill="1" applyBorder="1" applyAlignment="1">
      <alignment horizontal="left" wrapText="1"/>
    </xf>
    <xf numFmtId="0" fontId="25" fillId="22" borderId="10" xfId="0" applyFont="1" applyFill="1" applyBorder="1" applyAlignment="1">
      <alignment horizontal="right" wrapText="1"/>
    </xf>
    <xf numFmtId="0" fontId="25" fillId="22" borderId="10" xfId="0" applyFont="1" applyFill="1" applyBorder="1" applyAlignment="1">
      <alignment horizontal="left" wrapText="1"/>
    </xf>
    <xf numFmtId="0" fontId="23" fillId="0" borderId="10" xfId="0" applyFont="1" applyFill="1" applyBorder="1" applyAlignment="1">
      <alignment horizontal="right" wrapText="1"/>
    </xf>
    <xf numFmtId="172" fontId="23" fillId="24" borderId="10" xfId="0" applyNumberFormat="1" applyFont="1" applyFill="1" applyBorder="1" applyAlignment="1">
      <alignment horizontal="right" wrapText="1"/>
    </xf>
    <xf numFmtId="0" fontId="23" fillId="24" borderId="10" xfId="0" applyFont="1" applyFill="1" applyBorder="1" applyAlignment="1">
      <alignment horizontal="left" wrapText="1"/>
    </xf>
    <xf numFmtId="0" fontId="21" fillId="0" borderId="10" xfId="0" applyFont="1" applyFill="1" applyBorder="1" applyAlignment="1">
      <alignment horizontal="left" wrapText="1"/>
    </xf>
    <xf numFmtId="3" fontId="21" fillId="0" borderId="10" xfId="0" applyNumberFormat="1" applyFont="1" applyFill="1" applyBorder="1" applyAlignment="1">
      <alignment horizontal="right" wrapText="1"/>
    </xf>
    <xf numFmtId="1" fontId="0" fillId="24" borderId="0" xfId="0" applyNumberFormat="1" applyFill="1" applyAlignment="1">
      <alignment wrapText="1"/>
    </xf>
    <xf numFmtId="49" fontId="26" fillId="0" borderId="10" xfId="0" applyNumberFormat="1" applyFont="1" applyBorder="1" applyAlignment="1">
      <alignment horizontal="center"/>
    </xf>
    <xf numFmtId="0" fontId="26" fillId="0" borderId="10" xfId="0" applyFont="1" applyBorder="1" applyAlignment="1">
      <alignment wrapText="1"/>
    </xf>
    <xf numFmtId="0" fontId="27" fillId="22" borderId="10" xfId="0" applyFont="1" applyFill="1" applyBorder="1" applyAlignment="1">
      <alignment horizontal="lef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72" fontId="20" fillId="22" borderId="10" xfId="0" applyNumberFormat="1" applyFont="1" applyFill="1" applyBorder="1" applyAlignment="1">
      <alignment horizontal="right" wrapText="1"/>
    </xf>
    <xf numFmtId="0" fontId="21" fillId="24" borderId="10" xfId="0" applyFont="1" applyFill="1" applyBorder="1" applyAlignment="1">
      <alignment horizontal="right" wrapText="1"/>
    </xf>
    <xf numFmtId="0" fontId="21" fillId="24" borderId="10" xfId="0" applyFont="1" applyFill="1" applyBorder="1" applyAlignment="1">
      <alignment horizontal="left" wrapText="1"/>
    </xf>
    <xf numFmtId="3" fontId="21" fillId="24" borderId="10" xfId="0" applyNumberFormat="1" applyFont="1" applyFill="1" applyBorder="1" applyAlignment="1">
      <alignment horizontal="right" wrapText="1"/>
    </xf>
    <xf numFmtId="3" fontId="9" fillId="24" borderId="0" xfId="0" applyNumberFormat="1" applyFont="1" applyFill="1" applyAlignment="1">
      <alignment wrapText="1"/>
    </xf>
    <xf numFmtId="0" fontId="24" fillId="24" borderId="0" xfId="0" applyFont="1" applyFill="1" applyAlignment="1">
      <alignment horizontal="right" wrapText="1"/>
    </xf>
    <xf numFmtId="0" fontId="24" fillId="24" borderId="0" xfId="0" applyFont="1" applyFill="1" applyAlignment="1">
      <alignment horizontal="left" wrapText="1"/>
    </xf>
    <xf numFmtId="3" fontId="23" fillId="0" borderId="10" xfId="0" applyNumberFormat="1" applyFont="1" applyFill="1" applyBorder="1" applyAlignment="1">
      <alignment horizontal="right" wrapText="1"/>
    </xf>
    <xf numFmtId="172" fontId="23" fillId="0" borderId="10" xfId="0" applyNumberFormat="1" applyFont="1" applyFill="1" applyBorder="1" applyAlignment="1">
      <alignment horizontal="right" wrapText="1"/>
    </xf>
    <xf numFmtId="49" fontId="20" fillId="24" borderId="10" xfId="0" applyNumberFormat="1" applyFont="1" applyFill="1" applyBorder="1" applyAlignment="1">
      <alignment horizontal="right" wrapText="1"/>
    </xf>
    <xf numFmtId="0" fontId="0" fillId="25" borderId="11" xfId="0" applyFill="1" applyBorder="1" applyAlignment="1">
      <alignment horizontal="left"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3" fontId="21" fillId="0" borderId="10" xfId="0" applyNumberFormat="1" applyFont="1" applyFill="1" applyBorder="1" applyAlignment="1">
      <alignment horizontal="left" wrapText="1"/>
    </xf>
    <xf numFmtId="0" fontId="24" fillId="0" borderId="0" xfId="0" applyFont="1" applyFill="1" applyAlignment="1">
      <alignment horizontal="right" wrapText="1"/>
    </xf>
    <xf numFmtId="0" fontId="27" fillId="22" borderId="10" xfId="0" applyFont="1" applyFill="1" applyBorder="1" applyAlignment="1">
      <alignment horizontal="right" wrapText="1"/>
    </xf>
    <xf numFmtId="0" fontId="23" fillId="24" borderId="10" xfId="0" applyFont="1" applyFill="1" applyBorder="1" applyAlignment="1">
      <alignment horizontal="right" wrapText="1"/>
    </xf>
    <xf numFmtId="0" fontId="29" fillId="24" borderId="0" xfId="0" applyFont="1" applyFill="1" applyAlignment="1">
      <alignment wrapText="1"/>
    </xf>
    <xf numFmtId="1" fontId="30" fillId="24" borderId="0" xfId="0" applyNumberFormat="1" applyFont="1" applyFill="1" applyAlignment="1">
      <alignment wrapText="1"/>
    </xf>
    <xf numFmtId="3" fontId="20" fillId="24" borderId="12" xfId="0" applyNumberFormat="1" applyFont="1" applyFill="1" applyBorder="1" applyAlignment="1">
      <alignment horizontal="right" wrapText="1"/>
    </xf>
    <xf numFmtId="0" fontId="20" fillId="24" borderId="13" xfId="0" applyFont="1" applyFill="1" applyBorder="1" applyAlignment="1">
      <alignment horizontal="right" wrapText="1"/>
    </xf>
    <xf numFmtId="0" fontId="20" fillId="24" borderId="13" xfId="0" applyFont="1" applyFill="1" applyBorder="1" applyAlignment="1">
      <alignment horizontal="left" wrapText="1"/>
    </xf>
    <xf numFmtId="3" fontId="20" fillId="24" borderId="13" xfId="0" applyNumberFormat="1" applyFont="1" applyFill="1" applyBorder="1" applyAlignment="1">
      <alignment horizontal="right" wrapText="1"/>
    </xf>
    <xf numFmtId="172"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172" fontId="20" fillId="24" borderId="14" xfId="0" applyNumberFormat="1" applyFont="1" applyFill="1" applyBorder="1" applyAlignment="1">
      <alignment horizontal="right" wrapText="1"/>
    </xf>
    <xf numFmtId="0" fontId="20" fillId="24" borderId="11" xfId="0" applyFont="1" applyFill="1" applyBorder="1" applyAlignment="1">
      <alignment horizontal="right" wrapText="1"/>
    </xf>
    <xf numFmtId="0" fontId="0" fillId="0" borderId="11" xfId="0" applyBorder="1" applyAlignment="1">
      <alignment/>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72" fontId="20" fillId="24" borderId="11" xfId="0" applyNumberFormat="1" applyFont="1" applyFill="1" applyBorder="1" applyAlignment="1">
      <alignment horizontal="right" wrapText="1"/>
    </xf>
    <xf numFmtId="0" fontId="33" fillId="24" borderId="10" xfId="0" applyFont="1" applyFill="1" applyBorder="1" applyAlignment="1">
      <alignment horizontal="center" vertical="center" wrapText="1"/>
    </xf>
    <xf numFmtId="0" fontId="34" fillId="24" borderId="0" xfId="0" applyFont="1" applyFill="1" applyAlignment="1">
      <alignment horizontal="right"/>
    </xf>
    <xf numFmtId="0" fontId="34" fillId="24" borderId="0" xfId="0" applyFont="1" applyFill="1" applyAlignment="1">
      <alignment horizontal="left" wrapText="1"/>
    </xf>
    <xf numFmtId="0" fontId="36" fillId="24" borderId="10" xfId="0" applyFont="1" applyFill="1" applyBorder="1" applyAlignment="1">
      <alignment horizontal="right" wrapText="1"/>
    </xf>
    <xf numFmtId="0" fontId="36" fillId="24" borderId="10" xfId="0" applyFont="1" applyFill="1" applyBorder="1" applyAlignment="1">
      <alignment horizontal="left" wrapText="1"/>
    </xf>
    <xf numFmtId="0" fontId="0" fillId="25" borderId="0" xfId="0" applyFill="1" applyBorder="1" applyAlignment="1">
      <alignment horizontal="left" wrapText="1"/>
    </xf>
    <xf numFmtId="0" fontId="20" fillId="24" borderId="10" xfId="0" applyFont="1" applyFill="1" applyBorder="1" applyAlignment="1">
      <alignment horizontal="left" vertical="center" wrapText="1"/>
    </xf>
    <xf numFmtId="0" fontId="20" fillId="24" borderId="10" xfId="0" applyFont="1" applyFill="1" applyBorder="1" applyAlignment="1" quotePrefix="1">
      <alignment horizontal="right" wrapText="1"/>
    </xf>
    <xf numFmtId="0" fontId="36" fillId="24" borderId="10" xfId="0" applyFont="1" applyFill="1" applyBorder="1" applyAlignment="1">
      <alignment horizontal="right" wrapText="1"/>
    </xf>
    <xf numFmtId="0" fontId="36" fillId="24" borderId="10" xfId="0" applyFont="1" applyFill="1" applyBorder="1" applyAlignment="1">
      <alignment horizontal="left" wrapText="1"/>
    </xf>
    <xf numFmtId="3" fontId="36" fillId="24" borderId="10" xfId="0" applyNumberFormat="1" applyFont="1" applyFill="1" applyBorder="1" applyAlignment="1">
      <alignment horizontal="right" wrapText="1"/>
    </xf>
    <xf numFmtId="172" fontId="36" fillId="24" borderId="10" xfId="0" applyNumberFormat="1" applyFont="1" applyFill="1" applyBorder="1" applyAlignment="1">
      <alignment horizontal="right" wrapText="1"/>
    </xf>
    <xf numFmtId="3" fontId="36" fillId="0" borderId="10" xfId="0" applyNumberFormat="1" applyFont="1" applyFill="1" applyBorder="1" applyAlignment="1">
      <alignment horizontal="right" wrapText="1"/>
    </xf>
    <xf numFmtId="0" fontId="17" fillId="24" borderId="0" xfId="0" applyFont="1" applyFill="1" applyAlignment="1">
      <alignment wrapText="1"/>
    </xf>
    <xf numFmtId="1" fontId="37" fillId="24" borderId="0" xfId="0" applyNumberFormat="1" applyFont="1" applyFill="1" applyAlignment="1">
      <alignment wrapText="1"/>
    </xf>
    <xf numFmtId="3" fontId="0" fillId="24" borderId="0" xfId="0" applyNumberFormat="1" applyFill="1" applyAlignment="1">
      <alignment wrapText="1"/>
    </xf>
    <xf numFmtId="0" fontId="29" fillId="0" borderId="0" xfId="0" applyFont="1" applyFill="1" applyAlignment="1">
      <alignment wrapText="1"/>
    </xf>
    <xf numFmtId="0" fontId="35" fillId="24" borderId="0" xfId="0" applyFont="1" applyFill="1" applyBorder="1" applyAlignment="1">
      <alignment horizontal="center" wrapText="1"/>
    </xf>
    <xf numFmtId="0" fontId="33" fillId="24"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8" fillId="24" borderId="0" xfId="0" applyFont="1" applyFill="1" applyAlignment="1">
      <alignment horizontal="left"/>
    </xf>
    <xf numFmtId="0" fontId="0" fillId="0" borderId="0" xfId="0" applyAlignment="1">
      <alignment horizontal="left"/>
    </xf>
    <xf numFmtId="0" fontId="34" fillId="24"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K11">
            <v>3542920</v>
          </cell>
        </row>
        <row r="13">
          <cell r="K13">
            <v>936931</v>
          </cell>
        </row>
        <row r="16">
          <cell r="K16">
            <v>58800</v>
          </cell>
        </row>
        <row r="39">
          <cell r="K39">
            <v>31147989</v>
          </cell>
        </row>
        <row r="43">
          <cell r="K43">
            <v>2201791</v>
          </cell>
        </row>
        <row r="45">
          <cell r="K45">
            <v>5165653</v>
          </cell>
        </row>
        <row r="47">
          <cell r="K47">
            <v>18000</v>
          </cell>
        </row>
        <row r="49">
          <cell r="K49">
            <v>231569</v>
          </cell>
        </row>
        <row r="53">
          <cell r="K53">
            <v>17500</v>
          </cell>
        </row>
        <row r="60">
          <cell r="K60">
            <v>0</v>
          </cell>
        </row>
        <row r="67">
          <cell r="K67">
            <v>52500</v>
          </cell>
        </row>
        <row r="79">
          <cell r="K79">
            <v>22564130</v>
          </cell>
        </row>
        <row r="83">
          <cell r="K83">
            <v>8381681</v>
          </cell>
        </row>
        <row r="85">
          <cell r="K85">
            <v>807520</v>
          </cell>
        </row>
        <row r="86">
          <cell r="K86">
            <v>1914136</v>
          </cell>
        </row>
        <row r="88">
          <cell r="K88">
            <v>5000</v>
          </cell>
        </row>
        <row r="90">
          <cell r="K90">
            <v>298900</v>
          </cell>
        </row>
        <row r="101">
          <cell r="K101">
            <v>10037640</v>
          </cell>
        </row>
        <row r="103">
          <cell r="K103">
            <v>1285484</v>
          </cell>
        </row>
        <row r="112">
          <cell r="K112">
            <v>156000</v>
          </cell>
        </row>
        <row r="156">
          <cell r="K156">
            <v>196550</v>
          </cell>
        </row>
        <row r="160">
          <cell r="K160">
            <v>973623</v>
          </cell>
        </row>
        <row r="162">
          <cell r="K162">
            <v>44000</v>
          </cell>
        </row>
        <row r="188">
          <cell r="K188">
            <v>0</v>
          </cell>
        </row>
        <row r="193">
          <cell r="K193">
            <v>0</v>
          </cell>
        </row>
        <row r="196">
          <cell r="K196">
            <v>4477796</v>
          </cell>
        </row>
        <row r="200">
          <cell r="K200">
            <v>194379</v>
          </cell>
        </row>
        <row r="201">
          <cell r="K201">
            <v>1231124</v>
          </cell>
        </row>
        <row r="202">
          <cell r="K202">
            <v>201556</v>
          </cell>
        </row>
        <row r="203">
          <cell r="K203">
            <v>2473467</v>
          </cell>
        </row>
        <row r="207">
          <cell r="K207">
            <v>182336</v>
          </cell>
        </row>
        <row r="215">
          <cell r="K215">
            <v>1108200</v>
          </cell>
        </row>
        <row r="217">
          <cell r="K217">
            <v>37000</v>
          </cell>
        </row>
        <row r="228">
          <cell r="K228">
            <v>43050</v>
          </cell>
        </row>
        <row r="230">
          <cell r="K230">
            <v>43050</v>
          </cell>
        </row>
        <row r="231">
          <cell r="K231">
            <v>117997763</v>
          </cell>
        </row>
        <row r="233">
          <cell r="K233">
            <v>60000</v>
          </cell>
        </row>
        <row r="243">
          <cell r="K243">
            <v>56931975</v>
          </cell>
        </row>
        <row r="245">
          <cell r="K245">
            <v>951177</v>
          </cell>
        </row>
        <row r="246">
          <cell r="K246">
            <v>3721899</v>
          </cell>
        </row>
        <row r="250">
          <cell r="F250">
            <v>1292780</v>
          </cell>
        </row>
        <row r="260">
          <cell r="K260">
            <v>1749820</v>
          </cell>
        </row>
        <row r="266">
          <cell r="K266">
            <v>0</v>
          </cell>
        </row>
        <row r="300">
          <cell r="K300">
            <v>0</v>
          </cell>
        </row>
        <row r="327">
          <cell r="K327">
            <v>46423</v>
          </cell>
        </row>
        <row r="329">
          <cell r="K329">
            <v>46423</v>
          </cell>
        </row>
        <row r="350">
          <cell r="K350">
            <v>29000</v>
          </cell>
        </row>
        <row r="352">
          <cell r="K352">
            <v>29000</v>
          </cell>
        </row>
        <row r="364">
          <cell r="K364">
            <v>7201826</v>
          </cell>
        </row>
        <row r="373">
          <cell r="J373">
            <v>1583500</v>
          </cell>
        </row>
        <row r="376">
          <cell r="K376">
            <v>3263185</v>
          </cell>
        </row>
        <row r="381">
          <cell r="K381">
            <v>6922539</v>
          </cell>
        </row>
        <row r="385">
          <cell r="K385">
            <v>6850000</v>
          </cell>
        </row>
        <row r="388">
          <cell r="K388">
            <v>72539</v>
          </cell>
        </row>
        <row r="389">
          <cell r="K389">
            <v>37261546</v>
          </cell>
        </row>
        <row r="391">
          <cell r="K391">
            <v>30000</v>
          </cell>
        </row>
        <row r="403">
          <cell r="K403">
            <v>20000000</v>
          </cell>
        </row>
        <row r="407">
          <cell r="K407">
            <v>0</v>
          </cell>
        </row>
        <row r="419">
          <cell r="K419">
            <v>620407</v>
          </cell>
        </row>
        <row r="424">
          <cell r="K424">
            <v>105037</v>
          </cell>
        </row>
        <row r="426">
          <cell r="K426">
            <v>105037</v>
          </cell>
        </row>
        <row r="441">
          <cell r="K441">
            <v>11000</v>
          </cell>
        </row>
        <row r="445">
          <cell r="K445">
            <v>11000</v>
          </cell>
        </row>
        <row r="458">
          <cell r="K458">
            <v>4919145</v>
          </cell>
        </row>
        <row r="461">
          <cell r="K461">
            <v>38907</v>
          </cell>
        </row>
        <row r="475">
          <cell r="K475">
            <v>1000228</v>
          </cell>
        </row>
        <row r="492">
          <cell r="K492">
            <v>5200</v>
          </cell>
        </row>
        <row r="496">
          <cell r="K496">
            <v>5200</v>
          </cell>
        </row>
        <row r="510">
          <cell r="K510">
            <v>1168469</v>
          </cell>
        </row>
        <row r="512">
          <cell r="K512">
            <v>2896</v>
          </cell>
        </row>
        <row r="514">
          <cell r="K514">
            <v>20000</v>
          </cell>
        </row>
        <row r="528">
          <cell r="K528">
            <v>146388</v>
          </cell>
        </row>
        <row r="530">
          <cell r="K530">
            <v>146388</v>
          </cell>
        </row>
        <row r="543">
          <cell r="K543">
            <v>250356696</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32"/>
  <sheetViews>
    <sheetView tabSelected="1" view="pageBreakPreview" zoomScale="70" zoomScaleNormal="74" zoomScaleSheetLayoutView="70" zoomScalePageLayoutView="0" workbookViewId="0" topLeftCell="A1">
      <pane xSplit="2" ySplit="10" topLeftCell="C370" activePane="bottomRight" state="frozen"/>
      <selection pane="topLeft" activeCell="A1" sqref="A1"/>
      <selection pane="topRight" activeCell="C1" sqref="C1"/>
      <selection pane="bottomLeft" activeCell="A11" sqref="A11"/>
      <selection pane="bottomRight" activeCell="C3" sqref="C3"/>
    </sheetView>
  </sheetViews>
  <sheetFormatPr defaultColWidth="9.140625" defaultRowHeight="15"/>
  <cols>
    <col min="1" max="1" width="13.8515625" style="1" customWidth="1"/>
    <col min="2" max="2" width="62.140625" style="2" customWidth="1"/>
    <col min="3" max="3" width="66.8515625" style="2" customWidth="1"/>
    <col min="4" max="4" width="18.7109375" style="1" customWidth="1"/>
    <col min="5" max="5" width="14.140625" style="1" customWidth="1"/>
    <col min="6" max="6" width="14.7109375" style="1" customWidth="1"/>
    <col min="7" max="7" width="15.57421875" style="57" customWidth="1"/>
    <col min="8" max="8" width="15.28125" style="3" customWidth="1"/>
    <col min="9" max="9" width="11.140625" style="3" customWidth="1"/>
    <col min="10" max="10" width="10.00390625" style="3" bestFit="1" customWidth="1"/>
    <col min="11" max="16384" width="9.140625" style="3" customWidth="1"/>
  </cols>
  <sheetData>
    <row r="1" spans="4:6" ht="27.75">
      <c r="D1" s="102" t="s">
        <v>77</v>
      </c>
      <c r="E1" s="101"/>
      <c r="F1" s="101"/>
    </row>
    <row r="2" spans="4:6" ht="27.75">
      <c r="D2" s="102" t="s">
        <v>78</v>
      </c>
      <c r="E2" s="101"/>
      <c r="F2" s="101"/>
    </row>
    <row r="3" spans="4:6" ht="27">
      <c r="D3" s="100" t="s">
        <v>118</v>
      </c>
      <c r="E3" s="101"/>
      <c r="F3" s="101"/>
    </row>
    <row r="4" spans="5:6" ht="21">
      <c r="E4" s="4"/>
      <c r="F4" s="4"/>
    </row>
    <row r="5" ht="15" hidden="1"/>
    <row r="6" spans="1:7" ht="20.25" customHeight="1">
      <c r="A6" s="97" t="s">
        <v>79</v>
      </c>
      <c r="B6" s="97"/>
      <c r="C6" s="97"/>
      <c r="D6" s="97"/>
      <c r="E6" s="97"/>
      <c r="F6" s="97"/>
      <c r="G6" s="97"/>
    </row>
    <row r="7" spans="1:7" ht="15">
      <c r="A7" s="5"/>
      <c r="B7" s="6"/>
      <c r="C7" s="6"/>
      <c r="D7" s="5"/>
      <c r="E7" s="5"/>
      <c r="F7" s="5"/>
      <c r="G7" s="58"/>
    </row>
    <row r="8" spans="1:7" ht="15">
      <c r="A8" s="5"/>
      <c r="B8" s="6"/>
      <c r="C8" s="6"/>
      <c r="D8" s="5"/>
      <c r="E8" s="5"/>
      <c r="F8" s="5"/>
      <c r="G8" s="58" t="s">
        <v>258</v>
      </c>
    </row>
    <row r="9" spans="1:7" s="8" customFormat="1" ht="94.5">
      <c r="A9" s="80" t="s">
        <v>80</v>
      </c>
      <c r="B9" s="80" t="s">
        <v>81</v>
      </c>
      <c r="C9" s="98" t="s">
        <v>82</v>
      </c>
      <c r="D9" s="98" t="s">
        <v>83</v>
      </c>
      <c r="E9" s="98" t="s">
        <v>84</v>
      </c>
      <c r="F9" s="98" t="s">
        <v>85</v>
      </c>
      <c r="G9" s="99" t="s">
        <v>86</v>
      </c>
    </row>
    <row r="10" spans="1:7" s="8" customFormat="1" ht="110.25">
      <c r="A10" s="80" t="s">
        <v>87</v>
      </c>
      <c r="B10" s="80" t="s">
        <v>88</v>
      </c>
      <c r="C10" s="98"/>
      <c r="D10" s="98"/>
      <c r="E10" s="98"/>
      <c r="F10" s="98"/>
      <c r="G10" s="99"/>
    </row>
    <row r="11" spans="1:7" s="8" customFormat="1" ht="15">
      <c r="A11" s="7">
        <v>1</v>
      </c>
      <c r="B11" s="7">
        <v>2</v>
      </c>
      <c r="C11" s="7">
        <v>3</v>
      </c>
      <c r="D11" s="7">
        <v>4</v>
      </c>
      <c r="E11" s="7">
        <v>5</v>
      </c>
      <c r="F11" s="7">
        <v>6</v>
      </c>
      <c r="G11" s="59">
        <v>7</v>
      </c>
    </row>
    <row r="12" spans="1:9" s="13" customFormat="1" ht="18.75" customHeight="1">
      <c r="A12" s="9" t="s">
        <v>89</v>
      </c>
      <c r="B12" s="10" t="s">
        <v>90</v>
      </c>
      <c r="C12" s="10"/>
      <c r="D12" s="11">
        <f>SUM(D16:D18)-D17</f>
        <v>2498718</v>
      </c>
      <c r="E12" s="11"/>
      <c r="F12" s="11">
        <f>SUM(F16:F18)-F17</f>
        <v>2497618</v>
      </c>
      <c r="G12" s="11">
        <f>SUM(G13:G18)-G17-G14</f>
        <v>3542920</v>
      </c>
      <c r="H12" s="12">
        <f>'[1]Місто'!$K$11</f>
        <v>3542920</v>
      </c>
      <c r="I12" s="12">
        <f>H12-G12</f>
        <v>0</v>
      </c>
    </row>
    <row r="13" spans="1:9" s="13" customFormat="1" ht="21" customHeight="1">
      <c r="A13" s="14" t="s">
        <v>91</v>
      </c>
      <c r="B13" s="15" t="s">
        <v>92</v>
      </c>
      <c r="C13" s="15" t="s">
        <v>93</v>
      </c>
      <c r="D13" s="16"/>
      <c r="E13" s="16"/>
      <c r="F13" s="16"/>
      <c r="G13" s="16">
        <f>'[1]Місто'!$K$13</f>
        <v>936931</v>
      </c>
      <c r="H13" s="12"/>
      <c r="I13" s="12"/>
    </row>
    <row r="14" spans="1:9" s="13" customFormat="1" ht="18" customHeight="1">
      <c r="A14" s="14"/>
      <c r="B14" s="15"/>
      <c r="C14" s="15" t="s">
        <v>97</v>
      </c>
      <c r="D14" s="16"/>
      <c r="E14" s="16"/>
      <c r="F14" s="16"/>
      <c r="G14" s="16">
        <v>231245</v>
      </c>
      <c r="H14" s="12"/>
      <c r="I14" s="12"/>
    </row>
    <row r="15" spans="1:9" s="13" customFormat="1" ht="18.75" customHeight="1">
      <c r="A15" s="14">
        <v>120201</v>
      </c>
      <c r="B15" s="15" t="s">
        <v>338</v>
      </c>
      <c r="C15" s="15" t="s">
        <v>93</v>
      </c>
      <c r="D15" s="16"/>
      <c r="E15" s="16"/>
      <c r="F15" s="16"/>
      <c r="G15" s="16">
        <f>'[1]Місто'!$K$16</f>
        <v>58800</v>
      </c>
      <c r="H15" s="12"/>
      <c r="I15" s="12"/>
    </row>
    <row r="16" spans="1:9" ht="30.75">
      <c r="A16" s="14">
        <v>150101</v>
      </c>
      <c r="B16" s="15" t="s">
        <v>94</v>
      </c>
      <c r="C16" s="15" t="s">
        <v>96</v>
      </c>
      <c r="D16" s="17">
        <v>2498718</v>
      </c>
      <c r="E16" s="18">
        <f>100-(F16/D16*100)</f>
        <v>0.04402257477634919</v>
      </c>
      <c r="F16" s="17">
        <v>2497618</v>
      </c>
      <c r="G16" s="16">
        <f>2155588+338049</f>
        <v>2493637</v>
      </c>
      <c r="I16" s="12"/>
    </row>
    <row r="17" spans="1:9" ht="15.75">
      <c r="A17" s="14"/>
      <c r="B17"/>
      <c r="C17" s="15" t="s">
        <v>97</v>
      </c>
      <c r="D17" s="17"/>
      <c r="E17" s="18"/>
      <c r="F17" s="17"/>
      <c r="G17" s="16">
        <v>338049</v>
      </c>
      <c r="I17" s="12"/>
    </row>
    <row r="18" spans="1:9" ht="84.75" customHeight="1">
      <c r="A18" s="14">
        <v>150107</v>
      </c>
      <c r="B18" s="19" t="s">
        <v>98</v>
      </c>
      <c r="C18" s="15" t="s">
        <v>99</v>
      </c>
      <c r="D18" s="17"/>
      <c r="E18" s="18"/>
      <c r="F18" s="17"/>
      <c r="G18" s="16">
        <v>53552</v>
      </c>
      <c r="I18" s="12"/>
    </row>
    <row r="19" spans="1:9" s="22" customFormat="1" ht="31.5">
      <c r="A19" s="9">
        <v>10</v>
      </c>
      <c r="B19" s="10" t="s">
        <v>100</v>
      </c>
      <c r="C19" s="10"/>
      <c r="D19" s="11">
        <f>SUM(D20:D54)-D31-D33-D35-D38-D41-D44-D21-D23-D28-D48-D51-D53</f>
        <v>64339472</v>
      </c>
      <c r="E19" s="20"/>
      <c r="F19" s="11">
        <f>SUM(F20:F54)-F31-F33-F35-F38-F41-F44-F21-F23-F28-F48-F51-F53</f>
        <v>53405399.3</v>
      </c>
      <c r="G19" s="11">
        <f>SUM(G20:G54)-G31-G33-G35-G38-G41-G44-G21-G23-G28-G48-G51-G53</f>
        <v>31147989</v>
      </c>
      <c r="H19" s="21">
        <f>'[1]Місто'!$K$39</f>
        <v>31147989</v>
      </c>
      <c r="I19" s="12">
        <f>H19-G19</f>
        <v>0</v>
      </c>
    </row>
    <row r="20" spans="1:9" ht="15.75">
      <c r="A20" s="23" t="s">
        <v>101</v>
      </c>
      <c r="B20" s="24" t="s">
        <v>102</v>
      </c>
      <c r="C20" s="15" t="s">
        <v>93</v>
      </c>
      <c r="D20" s="17"/>
      <c r="E20" s="18"/>
      <c r="F20" s="17"/>
      <c r="G20" s="16">
        <f>'[1]Місто'!$K$43</f>
        <v>2201791</v>
      </c>
      <c r="I20" s="12"/>
    </row>
    <row r="21" spans="1:9" ht="15.75">
      <c r="A21" s="23"/>
      <c r="B21" s="24"/>
      <c r="C21" s="15" t="s">
        <v>97</v>
      </c>
      <c r="D21" s="17"/>
      <c r="E21" s="18"/>
      <c r="F21" s="17"/>
      <c r="G21" s="16">
        <v>170836</v>
      </c>
      <c r="I21" s="12"/>
    </row>
    <row r="22" spans="1:9" ht="45.75">
      <c r="A22" s="23" t="s">
        <v>103</v>
      </c>
      <c r="B22" s="25" t="s">
        <v>104</v>
      </c>
      <c r="C22" s="15" t="s">
        <v>93</v>
      </c>
      <c r="D22" s="17"/>
      <c r="E22" s="18"/>
      <c r="F22" s="17"/>
      <c r="G22" s="16">
        <f>'[1]Місто'!$K$45</f>
        <v>5165653</v>
      </c>
      <c r="I22" s="12"/>
    </row>
    <row r="23" spans="1:9" ht="15.75">
      <c r="A23" s="23"/>
      <c r="B23" s="25"/>
      <c r="C23" s="15" t="s">
        <v>97</v>
      </c>
      <c r="D23" s="17"/>
      <c r="E23" s="18"/>
      <c r="F23" s="17"/>
      <c r="G23" s="16">
        <v>596572</v>
      </c>
      <c r="I23" s="12"/>
    </row>
    <row r="24" spans="1:9" ht="15.75">
      <c r="A24" s="23" t="s">
        <v>397</v>
      </c>
      <c r="B24" s="25" t="s">
        <v>398</v>
      </c>
      <c r="C24" s="15" t="s">
        <v>93</v>
      </c>
      <c r="D24" s="17"/>
      <c r="E24" s="18"/>
      <c r="F24" s="17"/>
      <c r="G24" s="16">
        <f>'[1]Місто'!$K$47</f>
        <v>18000</v>
      </c>
      <c r="I24" s="12"/>
    </row>
    <row r="25" spans="1:9" ht="30.75">
      <c r="A25" s="23" t="s">
        <v>105</v>
      </c>
      <c r="B25" s="25" t="s">
        <v>106</v>
      </c>
      <c r="C25" s="15" t="s">
        <v>93</v>
      </c>
      <c r="D25" s="17"/>
      <c r="E25" s="18"/>
      <c r="F25" s="17"/>
      <c r="G25" s="16">
        <f>'[1]Місто'!$K$49</f>
        <v>231569</v>
      </c>
      <c r="I25" s="12"/>
    </row>
    <row r="26" spans="1:9" ht="30.75">
      <c r="A26" s="23" t="s">
        <v>125</v>
      </c>
      <c r="B26" s="25" t="s">
        <v>126</v>
      </c>
      <c r="C26" s="15" t="s">
        <v>93</v>
      </c>
      <c r="D26" s="17"/>
      <c r="E26" s="18"/>
      <c r="F26" s="17"/>
      <c r="G26" s="16">
        <f>'[1]Місто'!$K$53</f>
        <v>17500</v>
      </c>
      <c r="I26" s="12"/>
    </row>
    <row r="27" spans="1:9" ht="28.5" customHeight="1" hidden="1">
      <c r="A27" s="23" t="s">
        <v>107</v>
      </c>
      <c r="B27" s="25" t="s">
        <v>108</v>
      </c>
      <c r="C27" s="15" t="s">
        <v>93</v>
      </c>
      <c r="D27" s="17"/>
      <c r="E27" s="18"/>
      <c r="F27" s="17"/>
      <c r="G27" s="16">
        <f>'[1]Місто'!$K$60</f>
        <v>0</v>
      </c>
      <c r="I27" s="12"/>
    </row>
    <row r="28" spans="1:9" ht="24.75" customHeight="1" hidden="1">
      <c r="A28" s="23"/>
      <c r="B28" s="25"/>
      <c r="C28" s="15" t="s">
        <v>97</v>
      </c>
      <c r="D28" s="17"/>
      <c r="E28" s="18"/>
      <c r="F28" s="17"/>
      <c r="G28" s="16"/>
      <c r="I28" s="12"/>
    </row>
    <row r="29" spans="1:9" ht="30.75">
      <c r="A29" s="23" t="s">
        <v>433</v>
      </c>
      <c r="B29" s="25" t="s">
        <v>434</v>
      </c>
      <c r="C29" s="15" t="s">
        <v>93</v>
      </c>
      <c r="D29" s="17"/>
      <c r="E29" s="18"/>
      <c r="F29" s="17"/>
      <c r="G29" s="16">
        <f>'[1]Місто'!$K$67</f>
        <v>52500</v>
      </c>
      <c r="I29" s="12"/>
    </row>
    <row r="30" spans="1:9" ht="30.75">
      <c r="A30" s="67">
        <v>150101</v>
      </c>
      <c r="B30" s="68" t="s">
        <v>94</v>
      </c>
      <c r="C30" s="68" t="s">
        <v>109</v>
      </c>
      <c r="D30" s="69">
        <v>6379139</v>
      </c>
      <c r="E30" s="70">
        <f>100-(F30/D30*100)</f>
        <v>57.21118241819154</v>
      </c>
      <c r="F30" s="17">
        <f>D30-(1687311+344040.21+44976.1+181131+636198.24+755924.3)</f>
        <v>2729558.1500000004</v>
      </c>
      <c r="G30" s="16">
        <f>213095+12354+500000+663098</f>
        <v>1388547</v>
      </c>
      <c r="I30" s="12"/>
    </row>
    <row r="31" spans="1:9" ht="15.75">
      <c r="A31" s="75"/>
      <c r="B31" s="76"/>
      <c r="C31" s="77" t="s">
        <v>97</v>
      </c>
      <c r="D31" s="78"/>
      <c r="E31" s="79"/>
      <c r="F31" s="66"/>
      <c r="G31" s="16">
        <v>12354</v>
      </c>
      <c r="I31" s="12"/>
    </row>
    <row r="32" spans="1:9" ht="30.75">
      <c r="A32" s="75">
        <v>150101</v>
      </c>
      <c r="B32" s="77" t="s">
        <v>94</v>
      </c>
      <c r="C32" s="77" t="s">
        <v>110</v>
      </c>
      <c r="D32" s="78">
        <v>7632826</v>
      </c>
      <c r="E32" s="79">
        <f>100-(F32/D32*100)</f>
        <v>16.721229725399226</v>
      </c>
      <c r="F32" s="66">
        <f>D32-(1069700+206469.24+133.13)</f>
        <v>6356523.63</v>
      </c>
      <c r="G32" s="16">
        <f>918440+4796-873236</f>
        <v>50000</v>
      </c>
      <c r="I32" s="12"/>
    </row>
    <row r="33" spans="1:9" ht="15.75">
      <c r="A33" s="71"/>
      <c r="B33" s="72"/>
      <c r="C33" s="72" t="s">
        <v>97</v>
      </c>
      <c r="D33" s="73"/>
      <c r="E33" s="74"/>
      <c r="F33" s="17"/>
      <c r="G33" s="16">
        <v>4796</v>
      </c>
      <c r="I33" s="12"/>
    </row>
    <row r="34" spans="1:9" ht="45.75">
      <c r="A34" s="14">
        <v>150101</v>
      </c>
      <c r="B34" s="15" t="s">
        <v>94</v>
      </c>
      <c r="C34" s="15" t="s">
        <v>226</v>
      </c>
      <c r="D34" s="17">
        <v>3519492</v>
      </c>
      <c r="E34" s="79">
        <f>100-(F34/D34*100)</f>
        <v>38.60082648291288</v>
      </c>
      <c r="F34" s="17">
        <v>2160939</v>
      </c>
      <c r="G34" s="53">
        <f>1040377+130816-1040377+1500000</f>
        <v>1630816</v>
      </c>
      <c r="I34" s="12"/>
    </row>
    <row r="35" spans="1:9" ht="15.75">
      <c r="A35" s="14"/>
      <c r="B35" s="15"/>
      <c r="C35" s="15" t="s">
        <v>97</v>
      </c>
      <c r="D35" s="17"/>
      <c r="E35" s="18"/>
      <c r="F35" s="26"/>
      <c r="G35" s="53">
        <v>130816</v>
      </c>
      <c r="I35" s="12"/>
    </row>
    <row r="36" spans="1:9" s="30" customFormat="1" ht="60.75">
      <c r="A36" s="27">
        <v>150101</v>
      </c>
      <c r="B36" s="28" t="s">
        <v>94</v>
      </c>
      <c r="C36" s="28" t="s">
        <v>111</v>
      </c>
      <c r="D36" s="16">
        <v>650000</v>
      </c>
      <c r="E36" s="29"/>
      <c r="F36" s="16">
        <v>650000</v>
      </c>
      <c r="G36" s="16">
        <v>250000</v>
      </c>
      <c r="I36" s="12"/>
    </row>
    <row r="37" spans="1:9" ht="45.75">
      <c r="A37" s="27">
        <v>150101</v>
      </c>
      <c r="B37" s="28" t="s">
        <v>94</v>
      </c>
      <c r="C37" s="28" t="s">
        <v>115</v>
      </c>
      <c r="D37" s="16">
        <v>1002696</v>
      </c>
      <c r="E37" s="29">
        <f>100-(F37/D37*100)</f>
        <v>54.722432322458644</v>
      </c>
      <c r="F37" s="16">
        <f>D37-(21297.19+527402.45)</f>
        <v>453996.3600000001</v>
      </c>
      <c r="G37" s="16">
        <f>111000+22606+2000+111000+207390</f>
        <v>453996</v>
      </c>
      <c r="I37" s="12"/>
    </row>
    <row r="38" spans="1:9" ht="15.75">
      <c r="A38" s="27"/>
      <c r="B38" s="28"/>
      <c r="C38" s="28" t="s">
        <v>97</v>
      </c>
      <c r="D38" s="16"/>
      <c r="E38" s="29"/>
      <c r="F38" s="16"/>
      <c r="G38" s="16">
        <v>133606</v>
      </c>
      <c r="I38" s="12"/>
    </row>
    <row r="39" spans="1:9" ht="30.75" hidden="1">
      <c r="A39" s="14">
        <v>150101</v>
      </c>
      <c r="B39" s="15" t="s">
        <v>94</v>
      </c>
      <c r="C39" s="15" t="s">
        <v>116</v>
      </c>
      <c r="D39" s="17"/>
      <c r="E39" s="18"/>
      <c r="F39" s="16"/>
      <c r="G39" s="16">
        <f>1260732-1260732</f>
        <v>0</v>
      </c>
      <c r="I39" s="12"/>
    </row>
    <row r="40" spans="1:9" ht="45.75">
      <c r="A40" s="14">
        <v>150101</v>
      </c>
      <c r="B40" s="15" t="s">
        <v>94</v>
      </c>
      <c r="C40" s="15" t="s">
        <v>134</v>
      </c>
      <c r="D40" s="17">
        <v>15889351</v>
      </c>
      <c r="E40" s="18">
        <f>100-(F40/D40*100)</f>
        <v>16.109992031770204</v>
      </c>
      <c r="F40" s="16">
        <f>D40-(202125.64+117937.06+2239710.48)</f>
        <v>13329577.82</v>
      </c>
      <c r="G40" s="16">
        <f>1226691+87775+12015112</f>
        <v>13329578</v>
      </c>
      <c r="I40" s="12"/>
    </row>
    <row r="41" spans="1:9" ht="15.75">
      <c r="A41" s="14"/>
      <c r="B41" s="15"/>
      <c r="C41" s="15" t="s">
        <v>97</v>
      </c>
      <c r="D41" s="17"/>
      <c r="E41" s="18"/>
      <c r="F41" s="17"/>
      <c r="G41" s="16">
        <v>87775</v>
      </c>
      <c r="I41" s="12"/>
    </row>
    <row r="42" spans="1:9" ht="45.75">
      <c r="A42" s="14">
        <v>150101</v>
      </c>
      <c r="B42" s="15" t="s">
        <v>94</v>
      </c>
      <c r="C42" s="15" t="s">
        <v>135</v>
      </c>
      <c r="D42" s="17">
        <v>4860000</v>
      </c>
      <c r="E42" s="18"/>
      <c r="F42" s="17">
        <v>4860000</v>
      </c>
      <c r="G42" s="16">
        <f>690000+4170000-1558961+1000000-4000000</f>
        <v>301039</v>
      </c>
      <c r="I42" s="12"/>
    </row>
    <row r="43" spans="1:9" ht="45.75">
      <c r="A43" s="14">
        <v>150101</v>
      </c>
      <c r="B43" s="15" t="s">
        <v>94</v>
      </c>
      <c r="C43" s="15" t="s">
        <v>136</v>
      </c>
      <c r="D43" s="17">
        <v>14127000</v>
      </c>
      <c r="E43" s="18">
        <f>100-(F43/D43*100)</f>
        <v>2.1235907128194214</v>
      </c>
      <c r="F43" s="17">
        <f>D43-(285872.66+14127)</f>
        <v>13827000.34</v>
      </c>
      <c r="G43" s="16">
        <f>1622577+20684-1593261+1415658</f>
        <v>1465658</v>
      </c>
      <c r="I43" s="12"/>
    </row>
    <row r="44" spans="1:9" ht="15.75">
      <c r="A44" s="14"/>
      <c r="B44" s="15"/>
      <c r="C44" s="15" t="s">
        <v>97</v>
      </c>
      <c r="D44" s="17"/>
      <c r="E44" s="18"/>
      <c r="F44" s="17"/>
      <c r="G44" s="16">
        <v>20684</v>
      </c>
      <c r="I44" s="12"/>
    </row>
    <row r="45" spans="1:9" s="30" customFormat="1" ht="30.75">
      <c r="A45" s="27">
        <v>150101</v>
      </c>
      <c r="B45" s="28" t="s">
        <v>94</v>
      </c>
      <c r="C45" s="15" t="s">
        <v>137</v>
      </c>
      <c r="D45" s="16">
        <v>600000</v>
      </c>
      <c r="E45" s="29">
        <f>100-(F45/D45*100)</f>
        <v>50</v>
      </c>
      <c r="F45" s="16">
        <v>300000</v>
      </c>
      <c r="G45" s="16">
        <v>300000</v>
      </c>
      <c r="I45" s="12"/>
    </row>
    <row r="46" spans="1:9" ht="60.75" hidden="1">
      <c r="A46" s="14">
        <v>150101</v>
      </c>
      <c r="B46" s="15" t="s">
        <v>94</v>
      </c>
      <c r="C46" s="15" t="s">
        <v>138</v>
      </c>
      <c r="D46" s="17"/>
      <c r="E46" s="18"/>
      <c r="F46" s="17"/>
      <c r="G46" s="16">
        <f>350000-300000-50000</f>
        <v>0</v>
      </c>
      <c r="I46" s="12"/>
    </row>
    <row r="47" spans="1:9" ht="30.75">
      <c r="A47" s="14">
        <v>150101</v>
      </c>
      <c r="B47" s="15" t="s">
        <v>94</v>
      </c>
      <c r="C47" s="15" t="s">
        <v>139</v>
      </c>
      <c r="D47" s="17">
        <v>6145630</v>
      </c>
      <c r="E47" s="18"/>
      <c r="F47" s="17">
        <v>6145630</v>
      </c>
      <c r="G47" s="16">
        <f>560000+105172+1000000</f>
        <v>1665172</v>
      </c>
      <c r="I47" s="12"/>
    </row>
    <row r="48" spans="1:9" ht="15.75">
      <c r="A48" s="14"/>
      <c r="B48" s="15"/>
      <c r="C48" s="15" t="s">
        <v>97</v>
      </c>
      <c r="D48" s="17"/>
      <c r="E48" s="18"/>
      <c r="F48" s="17"/>
      <c r="G48" s="16">
        <v>105172</v>
      </c>
      <c r="I48" s="12"/>
    </row>
    <row r="49" spans="1:9" ht="45.75" hidden="1">
      <c r="A49" s="14">
        <v>150101</v>
      </c>
      <c r="B49" s="15" t="s">
        <v>94</v>
      </c>
      <c r="C49" s="15" t="s">
        <v>140</v>
      </c>
      <c r="D49" s="17"/>
      <c r="E49" s="18"/>
      <c r="F49" s="17"/>
      <c r="G49" s="16">
        <f>600000-600000</f>
        <v>0</v>
      </c>
      <c r="I49" s="12"/>
    </row>
    <row r="50" spans="1:9" s="30" customFormat="1" ht="45.75">
      <c r="A50" s="27">
        <v>150101</v>
      </c>
      <c r="B50" s="28" t="s">
        <v>94</v>
      </c>
      <c r="C50" s="15" t="s">
        <v>141</v>
      </c>
      <c r="D50" s="16">
        <v>1000000</v>
      </c>
      <c r="E50" s="29"/>
      <c r="F50" s="16">
        <v>1000000</v>
      </c>
      <c r="G50" s="16">
        <v>1000000</v>
      </c>
      <c r="I50" s="12"/>
    </row>
    <row r="51" spans="1:9" s="30" customFormat="1" ht="15.75">
      <c r="A51" s="27"/>
      <c r="B51" s="28"/>
      <c r="C51" s="15" t="s">
        <v>97</v>
      </c>
      <c r="D51" s="16"/>
      <c r="E51" s="29"/>
      <c r="F51" s="16"/>
      <c r="G51" s="16">
        <v>181427</v>
      </c>
      <c r="I51" s="12"/>
    </row>
    <row r="52" spans="1:9" s="30" customFormat="1" ht="30.75">
      <c r="A52" s="27">
        <v>150101</v>
      </c>
      <c r="B52" s="28" t="s">
        <v>94</v>
      </c>
      <c r="C52" s="15" t="s">
        <v>309</v>
      </c>
      <c r="D52" s="16">
        <v>2533338</v>
      </c>
      <c r="E52" s="29">
        <f>100-(F52/D52*100)</f>
        <v>37.15114209000141</v>
      </c>
      <c r="F52" s="16">
        <v>1592174</v>
      </c>
      <c r="G52" s="16">
        <f>474681+1117493</f>
        <v>1592174</v>
      </c>
      <c r="I52" s="12"/>
    </row>
    <row r="53" spans="1:9" s="30" customFormat="1" ht="15.75">
      <c r="A53" s="27"/>
      <c r="B53" s="28"/>
      <c r="C53" s="15" t="s">
        <v>97</v>
      </c>
      <c r="D53" s="16"/>
      <c r="E53" s="29"/>
      <c r="F53" s="16"/>
      <c r="G53" s="16">
        <v>474681</v>
      </c>
      <c r="I53" s="12"/>
    </row>
    <row r="54" spans="1:9" s="30" customFormat="1" ht="60.75">
      <c r="A54" s="27">
        <v>150101</v>
      </c>
      <c r="B54" s="28" t="s">
        <v>94</v>
      </c>
      <c r="C54" s="15" t="s">
        <v>142</v>
      </c>
      <c r="D54" s="16"/>
      <c r="E54" s="29"/>
      <c r="F54" s="16"/>
      <c r="G54" s="16">
        <v>33996</v>
      </c>
      <c r="I54" s="12"/>
    </row>
    <row r="55" spans="1:9" s="13" customFormat="1" ht="31.5">
      <c r="A55" s="9">
        <v>14</v>
      </c>
      <c r="B55" s="10" t="s">
        <v>143</v>
      </c>
      <c r="C55" s="10"/>
      <c r="D55" s="11">
        <f>SUM(D56:D85)-D67-D69-D58-D60-D63-D72-D75-D82-D77</f>
        <v>29044967</v>
      </c>
      <c r="E55" s="11"/>
      <c r="F55" s="11">
        <f>SUM(F56:F85)-F67-F69-F58-F60-F63-F72-F75-F82-F77</f>
        <v>15975377.73</v>
      </c>
      <c r="G55" s="11">
        <f>SUM(G56:G85)-G67-G69-G58-G60-G63-G72-G75-G82-G77</f>
        <v>22564130</v>
      </c>
      <c r="H55" s="12">
        <f>'[1]Місто'!$K$79</f>
        <v>22564130</v>
      </c>
      <c r="I55" s="12">
        <f>H55-G55</f>
        <v>0</v>
      </c>
    </row>
    <row r="56" spans="1:9" ht="21" customHeight="1" hidden="1">
      <c r="A56" s="14" t="s">
        <v>91</v>
      </c>
      <c r="B56" s="15" t="s">
        <v>92</v>
      </c>
      <c r="C56" s="15" t="s">
        <v>93</v>
      </c>
      <c r="D56" s="17"/>
      <c r="E56" s="18"/>
      <c r="F56" s="17"/>
      <c r="G56" s="16"/>
      <c r="I56" s="12"/>
    </row>
    <row r="57" spans="1:9" ht="15.75">
      <c r="A57" s="14" t="s">
        <v>144</v>
      </c>
      <c r="B57" s="15" t="s">
        <v>145</v>
      </c>
      <c r="C57" s="15" t="s">
        <v>93</v>
      </c>
      <c r="D57" s="17"/>
      <c r="E57" s="18"/>
      <c r="F57" s="17"/>
      <c r="G57" s="16">
        <f>'[1]Місто'!$K$83</f>
        <v>8381681</v>
      </c>
      <c r="I57" s="12"/>
    </row>
    <row r="58" spans="1:9" ht="15.75">
      <c r="A58" s="14"/>
      <c r="B58" s="15"/>
      <c r="C58" s="28" t="s">
        <v>97</v>
      </c>
      <c r="D58" s="17"/>
      <c r="E58" s="18"/>
      <c r="F58" s="17"/>
      <c r="G58" s="16">
        <v>3320311</v>
      </c>
      <c r="I58" s="12"/>
    </row>
    <row r="59" spans="1:9" ht="15.75">
      <c r="A59" s="14" t="s">
        <v>146</v>
      </c>
      <c r="B59" s="15" t="s">
        <v>147</v>
      </c>
      <c r="C59" s="15" t="s">
        <v>93</v>
      </c>
      <c r="D59" s="17"/>
      <c r="E59" s="18"/>
      <c r="F59" s="17"/>
      <c r="G59" s="16">
        <f>'[1]Місто'!$K$85</f>
        <v>807520</v>
      </c>
      <c r="I59" s="12"/>
    </row>
    <row r="60" spans="1:9" ht="15.75">
      <c r="A60" s="14"/>
      <c r="B60" s="15"/>
      <c r="C60" s="28" t="s">
        <v>97</v>
      </c>
      <c r="D60" s="17"/>
      <c r="E60" s="18"/>
      <c r="F60" s="17"/>
      <c r="G60" s="16">
        <v>11400</v>
      </c>
      <c r="I60" s="12"/>
    </row>
    <row r="61" spans="1:9" ht="45.75">
      <c r="A61" s="14" t="s">
        <v>148</v>
      </c>
      <c r="B61" s="15" t="s">
        <v>149</v>
      </c>
      <c r="C61" s="15" t="s">
        <v>93</v>
      </c>
      <c r="D61" s="17"/>
      <c r="E61" s="18"/>
      <c r="F61" s="17"/>
      <c r="G61" s="16">
        <f>'[1]Місто'!$K$86</f>
        <v>1914136</v>
      </c>
      <c r="I61" s="12"/>
    </row>
    <row r="62" spans="1:9" ht="15.75" hidden="1">
      <c r="A62" s="14" t="s">
        <v>150</v>
      </c>
      <c r="B62" s="15" t="s">
        <v>151</v>
      </c>
      <c r="C62" s="15" t="s">
        <v>93</v>
      </c>
      <c r="D62" s="17"/>
      <c r="E62" s="18"/>
      <c r="F62" s="17"/>
      <c r="G62" s="16"/>
      <c r="I62" s="12"/>
    </row>
    <row r="63" spans="1:9" ht="15.75">
      <c r="A63" s="14"/>
      <c r="B63" s="15"/>
      <c r="C63" s="28" t="s">
        <v>97</v>
      </c>
      <c r="D63" s="17"/>
      <c r="E63" s="18"/>
      <c r="F63" s="17"/>
      <c r="G63" s="16">
        <v>56190</v>
      </c>
      <c r="I63" s="12"/>
    </row>
    <row r="64" spans="1:9" ht="15.75">
      <c r="A64" s="14" t="s">
        <v>339</v>
      </c>
      <c r="B64" s="15" t="s">
        <v>340</v>
      </c>
      <c r="C64" s="15" t="s">
        <v>93</v>
      </c>
      <c r="D64" s="17"/>
      <c r="E64" s="18"/>
      <c r="F64" s="17"/>
      <c r="G64" s="16">
        <f>'[1]Місто'!$K$88</f>
        <v>5000</v>
      </c>
      <c r="I64" s="12"/>
    </row>
    <row r="65" spans="1:9" ht="30.75">
      <c r="A65" s="87" t="s">
        <v>117</v>
      </c>
      <c r="B65" s="15" t="s">
        <v>119</v>
      </c>
      <c r="C65" s="15" t="s">
        <v>93</v>
      </c>
      <c r="D65" s="17"/>
      <c r="E65" s="18"/>
      <c r="F65" s="17"/>
      <c r="G65" s="16">
        <f>'[1]Місто'!$K$90</f>
        <v>298900</v>
      </c>
      <c r="I65" s="12"/>
    </row>
    <row r="66" spans="1:9" ht="45.75">
      <c r="A66" s="27">
        <v>150101</v>
      </c>
      <c r="B66" s="28" t="s">
        <v>94</v>
      </c>
      <c r="C66" s="28" t="s">
        <v>152</v>
      </c>
      <c r="D66" s="16">
        <v>8930226</v>
      </c>
      <c r="E66" s="29">
        <f>100-(F66/D66*100)</f>
        <v>16.202676841549135</v>
      </c>
      <c r="F66" s="16">
        <f>D66-(5555+683139.48+758241.18)</f>
        <v>7483290.34</v>
      </c>
      <c r="G66" s="16">
        <f>616316+536625+2000+616316+1879854</f>
        <v>3651111</v>
      </c>
      <c r="I66" s="12"/>
    </row>
    <row r="67" spans="1:9" ht="15.75">
      <c r="A67" s="27"/>
      <c r="B67" s="28"/>
      <c r="C67" s="28" t="s">
        <v>97</v>
      </c>
      <c r="D67" s="16"/>
      <c r="E67" s="29"/>
      <c r="F67" s="16"/>
      <c r="G67" s="16">
        <f>1152941</f>
        <v>1152941</v>
      </c>
      <c r="I67" s="12"/>
    </row>
    <row r="68" spans="1:9" s="30" customFormat="1" ht="45.75">
      <c r="A68" s="27">
        <v>150101</v>
      </c>
      <c r="B68" s="28" t="s">
        <v>94</v>
      </c>
      <c r="C68" s="31" t="s">
        <v>153</v>
      </c>
      <c r="D68" s="16">
        <v>8379083</v>
      </c>
      <c r="E68" s="18">
        <f>100-(F68/D68*100)</f>
        <v>71.83668678302864</v>
      </c>
      <c r="F68" s="16">
        <f>D68-(1388680+1250000+594399.65+183858.79+1020000+1166700+415617.17)</f>
        <v>2359827.3900000006</v>
      </c>
      <c r="G68" s="16">
        <f>1300000+44730</f>
        <v>1344730</v>
      </c>
      <c r="I68" s="12"/>
    </row>
    <row r="69" spans="1:9" s="30" customFormat="1" ht="15.75">
      <c r="A69" s="27"/>
      <c r="B69" s="28"/>
      <c r="C69" s="31" t="s">
        <v>97</v>
      </c>
      <c r="D69" s="16"/>
      <c r="E69" s="18"/>
      <c r="F69" s="16"/>
      <c r="G69" s="16">
        <v>44730</v>
      </c>
      <c r="I69" s="12"/>
    </row>
    <row r="70" spans="1:9" s="30" customFormat="1" ht="60.75">
      <c r="A70" s="27">
        <v>150101</v>
      </c>
      <c r="B70" s="28" t="s">
        <v>94</v>
      </c>
      <c r="C70" s="31" t="s">
        <v>154</v>
      </c>
      <c r="D70" s="16"/>
      <c r="E70" s="18"/>
      <c r="F70" s="16"/>
      <c r="G70" s="16">
        <f>17040+1506381</f>
        <v>1523421</v>
      </c>
      <c r="I70" s="12"/>
    </row>
    <row r="71" spans="1:9" s="30" customFormat="1" ht="60.75">
      <c r="A71" s="27">
        <v>150101</v>
      </c>
      <c r="B71" s="28" t="s">
        <v>94</v>
      </c>
      <c r="C71" s="31" t="s">
        <v>310</v>
      </c>
      <c r="D71" s="16">
        <v>1048962</v>
      </c>
      <c r="E71" s="18">
        <f>100-(F71/D71*100)</f>
        <v>74.16855901357724</v>
      </c>
      <c r="F71" s="16">
        <v>270962</v>
      </c>
      <c r="G71" s="16">
        <f>1714+250000</f>
        <v>251714</v>
      </c>
      <c r="I71" s="12"/>
    </row>
    <row r="72" spans="1:9" s="30" customFormat="1" ht="15.75">
      <c r="A72" s="27"/>
      <c r="B72" s="28"/>
      <c r="C72" s="31" t="s">
        <v>97</v>
      </c>
      <c r="D72" s="16"/>
      <c r="E72" s="18"/>
      <c r="F72" s="16"/>
      <c r="G72" s="16">
        <v>1714</v>
      </c>
      <c r="I72" s="12"/>
    </row>
    <row r="73" spans="1:9" s="30" customFormat="1" ht="75.75">
      <c r="A73" s="27">
        <v>150101</v>
      </c>
      <c r="B73" s="28" t="s">
        <v>94</v>
      </c>
      <c r="C73" s="31" t="s">
        <v>155</v>
      </c>
      <c r="D73" s="16"/>
      <c r="E73" s="18"/>
      <c r="F73" s="16"/>
      <c r="G73" s="16">
        <v>89114</v>
      </c>
      <c r="I73" s="12"/>
    </row>
    <row r="74" spans="1:9" s="30" customFormat="1" ht="60.75">
      <c r="A74" s="27">
        <v>150101</v>
      </c>
      <c r="B74" s="28" t="s">
        <v>94</v>
      </c>
      <c r="C74" s="31" t="s">
        <v>311</v>
      </c>
      <c r="D74" s="16">
        <v>3575299</v>
      </c>
      <c r="E74" s="18">
        <f>100-(F74/D74*100)</f>
        <v>4.716109058291352</v>
      </c>
      <c r="F74" s="16">
        <v>3406684</v>
      </c>
      <c r="G74" s="16">
        <f>3475+1500000</f>
        <v>1503475</v>
      </c>
      <c r="I74" s="12"/>
    </row>
    <row r="75" spans="1:9" s="30" customFormat="1" ht="15.75">
      <c r="A75" s="27"/>
      <c r="B75" s="28"/>
      <c r="C75" s="31" t="s">
        <v>97</v>
      </c>
      <c r="D75" s="16"/>
      <c r="E75" s="18"/>
      <c r="F75" s="16"/>
      <c r="G75" s="16">
        <v>3475</v>
      </c>
      <c r="I75" s="12"/>
    </row>
    <row r="76" spans="1:9" s="30" customFormat="1" ht="45.75">
      <c r="A76" s="27">
        <v>150101</v>
      </c>
      <c r="B76" s="28" t="s">
        <v>94</v>
      </c>
      <c r="C76" s="31" t="s">
        <v>393</v>
      </c>
      <c r="D76" s="16">
        <v>5540750</v>
      </c>
      <c r="E76" s="18">
        <f>100-(F76/D76*100)</f>
        <v>83.49001488968099</v>
      </c>
      <c r="F76" s="16">
        <v>914777</v>
      </c>
      <c r="G76" s="16">
        <f>102550+812227</f>
        <v>914777</v>
      </c>
      <c r="I76" s="12"/>
    </row>
    <row r="77" spans="1:9" s="30" customFormat="1" ht="15.75">
      <c r="A77" s="27"/>
      <c r="B77" s="28"/>
      <c r="C77" s="31" t="s">
        <v>97</v>
      </c>
      <c r="D77" s="16"/>
      <c r="E77" s="18"/>
      <c r="F77" s="16"/>
      <c r="G77" s="16">
        <v>102550</v>
      </c>
      <c r="I77" s="12"/>
    </row>
    <row r="78" spans="1:9" s="30" customFormat="1" ht="60.75">
      <c r="A78" s="27">
        <v>150101</v>
      </c>
      <c r="B78" s="28" t="s">
        <v>94</v>
      </c>
      <c r="C78" s="31" t="s">
        <v>156</v>
      </c>
      <c r="D78" s="16"/>
      <c r="E78" s="18"/>
      <c r="F78" s="16"/>
      <c r="G78" s="16">
        <v>58765</v>
      </c>
      <c r="I78" s="12"/>
    </row>
    <row r="79" spans="1:9" s="30" customFormat="1" ht="45.75">
      <c r="A79" s="27">
        <v>150101</v>
      </c>
      <c r="B79" s="28" t="s">
        <v>94</v>
      </c>
      <c r="C79" s="31" t="s">
        <v>157</v>
      </c>
      <c r="D79" s="16"/>
      <c r="E79" s="18"/>
      <c r="F79" s="16"/>
      <c r="G79" s="16">
        <v>58183</v>
      </c>
      <c r="I79" s="12"/>
    </row>
    <row r="80" spans="1:9" s="30" customFormat="1" ht="60.75">
      <c r="A80" s="27">
        <v>150101</v>
      </c>
      <c r="B80" s="28" t="s">
        <v>94</v>
      </c>
      <c r="C80" s="31" t="s">
        <v>158</v>
      </c>
      <c r="D80" s="16"/>
      <c r="E80" s="18"/>
      <c r="F80" s="16"/>
      <c r="G80" s="16">
        <v>45634</v>
      </c>
      <c r="I80" s="12"/>
    </row>
    <row r="81" spans="1:9" s="30" customFormat="1" ht="45.75">
      <c r="A81" s="27">
        <v>150101</v>
      </c>
      <c r="B81" s="28" t="s">
        <v>94</v>
      </c>
      <c r="C81" s="31" t="s">
        <v>312</v>
      </c>
      <c r="D81" s="16">
        <v>320647</v>
      </c>
      <c r="E81" s="18">
        <f>100-(F81/D81*100)</f>
        <v>9.608697414914218</v>
      </c>
      <c r="F81" s="16">
        <v>289837</v>
      </c>
      <c r="G81" s="16">
        <f>99822+190015</f>
        <v>289837</v>
      </c>
      <c r="I81" s="12"/>
    </row>
    <row r="82" spans="1:9" s="30" customFormat="1" ht="15.75">
      <c r="A82" s="27"/>
      <c r="B82" s="28"/>
      <c r="C82" s="31" t="s">
        <v>97</v>
      </c>
      <c r="D82" s="16"/>
      <c r="E82" s="18"/>
      <c r="F82" s="16"/>
      <c r="G82" s="16">
        <v>99822</v>
      </c>
      <c r="I82" s="12"/>
    </row>
    <row r="83" spans="1:9" s="30" customFormat="1" ht="60.75">
      <c r="A83" s="27">
        <v>150101</v>
      </c>
      <c r="B83" s="28" t="s">
        <v>94</v>
      </c>
      <c r="C83" s="31" t="s">
        <v>159</v>
      </c>
      <c r="D83" s="16"/>
      <c r="E83" s="18"/>
      <c r="F83" s="16"/>
      <c r="G83" s="16">
        <v>176132</v>
      </c>
      <c r="I83" s="12"/>
    </row>
    <row r="84" spans="1:9" s="30" customFormat="1" ht="45.75">
      <c r="A84" s="27">
        <v>150101</v>
      </c>
      <c r="B84" s="28" t="s">
        <v>94</v>
      </c>
      <c r="C84" s="31" t="s">
        <v>394</v>
      </c>
      <c r="D84" s="16">
        <v>300000</v>
      </c>
      <c r="E84" s="18"/>
      <c r="F84" s="16">
        <v>300000</v>
      </c>
      <c r="G84" s="16">
        <v>300000</v>
      </c>
      <c r="I84" s="12"/>
    </row>
    <row r="85" spans="1:9" s="30" customFormat="1" ht="45.75">
      <c r="A85" s="27">
        <v>150101</v>
      </c>
      <c r="B85" s="28" t="s">
        <v>94</v>
      </c>
      <c r="C85" s="31" t="s">
        <v>337</v>
      </c>
      <c r="D85" s="16">
        <v>950000</v>
      </c>
      <c r="E85" s="18"/>
      <c r="F85" s="16">
        <v>950000</v>
      </c>
      <c r="G85" s="16">
        <v>950000</v>
      </c>
      <c r="I85" s="12"/>
    </row>
    <row r="86" spans="1:9" s="13" customFormat="1" ht="48" customHeight="1">
      <c r="A86" s="9">
        <v>15</v>
      </c>
      <c r="B86" s="10" t="s">
        <v>160</v>
      </c>
      <c r="C86" s="10"/>
      <c r="D86" s="11">
        <f>SUM(D87:D99)-D90-D88-D94</f>
        <v>5986000</v>
      </c>
      <c r="E86" s="11"/>
      <c r="F86" s="11">
        <f>SUM(F87:F99)-F90-F88-F94</f>
        <v>5844614.19</v>
      </c>
      <c r="G86" s="11">
        <f>SUM(G87:G99)-G90-G88-G94-G92</f>
        <v>10037640</v>
      </c>
      <c r="H86" s="12">
        <f>'[1]Місто'!$K$101</f>
        <v>10037640</v>
      </c>
      <c r="I86" s="12">
        <f>H86-G86</f>
        <v>0</v>
      </c>
    </row>
    <row r="87" spans="1:9" ht="15.75">
      <c r="A87" s="14" t="s">
        <v>91</v>
      </c>
      <c r="B87" s="15" t="s">
        <v>92</v>
      </c>
      <c r="C87" s="15" t="s">
        <v>93</v>
      </c>
      <c r="D87" s="17"/>
      <c r="E87" s="18"/>
      <c r="F87" s="17"/>
      <c r="G87" s="16">
        <f>'[1]Місто'!$K$103</f>
        <v>1285484</v>
      </c>
      <c r="I87" s="12"/>
    </row>
    <row r="88" spans="1:9" ht="15.75">
      <c r="A88" s="14"/>
      <c r="B88" s="15"/>
      <c r="C88" s="28" t="s">
        <v>97</v>
      </c>
      <c r="D88" s="17"/>
      <c r="E88" s="18"/>
      <c r="F88" s="17"/>
      <c r="G88" s="16">
        <v>77000</v>
      </c>
      <c r="I88" s="12"/>
    </row>
    <row r="89" spans="1:9" ht="120.75" customHeight="1">
      <c r="A89" s="14" t="s">
        <v>161</v>
      </c>
      <c r="B89" s="32" t="s">
        <v>162</v>
      </c>
      <c r="C89" s="15" t="s">
        <v>93</v>
      </c>
      <c r="D89" s="17"/>
      <c r="E89" s="18"/>
      <c r="F89" s="17"/>
      <c r="G89" s="16">
        <f>'[1]Місто'!$K$112</f>
        <v>156000</v>
      </c>
      <c r="I89" s="12"/>
    </row>
    <row r="90" spans="1:9" ht="153.75" customHeight="1">
      <c r="A90" s="14"/>
      <c r="B90" s="32" t="s">
        <v>167</v>
      </c>
      <c r="C90" s="15"/>
      <c r="D90" s="17"/>
      <c r="E90" s="18"/>
      <c r="F90" s="17"/>
      <c r="G90" s="16">
        <f>G89</f>
        <v>156000</v>
      </c>
      <c r="I90" s="12"/>
    </row>
    <row r="91" spans="1:9" ht="30.75">
      <c r="A91" s="23" t="s">
        <v>107</v>
      </c>
      <c r="B91" s="25" t="s">
        <v>108</v>
      </c>
      <c r="C91" s="15" t="s">
        <v>93</v>
      </c>
      <c r="D91" s="17"/>
      <c r="E91" s="18"/>
      <c r="F91" s="17"/>
      <c r="G91" s="16">
        <f>'[1]Місто'!$K$156</f>
        <v>196550</v>
      </c>
      <c r="I91" s="12"/>
    </row>
    <row r="92" spans="1:9" ht="15.75">
      <c r="A92" s="23"/>
      <c r="B92" s="25"/>
      <c r="C92" s="28" t="s">
        <v>97</v>
      </c>
      <c r="D92" s="17"/>
      <c r="E92" s="18"/>
      <c r="F92" s="17"/>
      <c r="G92" s="16">
        <v>96590</v>
      </c>
      <c r="I92" s="12"/>
    </row>
    <row r="93" spans="1:9" ht="30.75">
      <c r="A93" s="55" t="s">
        <v>168</v>
      </c>
      <c r="B93" s="15" t="s">
        <v>170</v>
      </c>
      <c r="C93" s="15" t="s">
        <v>93</v>
      </c>
      <c r="D93" s="17"/>
      <c r="E93" s="18"/>
      <c r="F93" s="17"/>
      <c r="G93" s="16">
        <f>'[1]Місто'!$K$160</f>
        <v>973623</v>
      </c>
      <c r="I93" s="12"/>
    </row>
    <row r="94" spans="1:9" ht="15.75">
      <c r="A94" s="14"/>
      <c r="B94" s="15"/>
      <c r="C94" s="28" t="s">
        <v>97</v>
      </c>
      <c r="D94" s="17"/>
      <c r="E94" s="18"/>
      <c r="F94" s="17"/>
      <c r="G94" s="16">
        <v>249139</v>
      </c>
      <c r="I94" s="12"/>
    </row>
    <row r="95" spans="1:9" ht="60.75" hidden="1">
      <c r="A95" s="14">
        <v>150101</v>
      </c>
      <c r="B95" s="15" t="s">
        <v>94</v>
      </c>
      <c r="C95" s="15" t="s">
        <v>171</v>
      </c>
      <c r="D95" s="17"/>
      <c r="E95" s="18"/>
      <c r="F95" s="17"/>
      <c r="G95" s="16"/>
      <c r="I95" s="12"/>
    </row>
    <row r="96" spans="1:9" ht="30.75">
      <c r="A96" s="55" t="s">
        <v>163</v>
      </c>
      <c r="B96" s="15" t="s">
        <v>164</v>
      </c>
      <c r="C96" s="15" t="s">
        <v>93</v>
      </c>
      <c r="D96" s="17"/>
      <c r="E96" s="18"/>
      <c r="F96" s="17"/>
      <c r="G96" s="16">
        <f>'[1]Місто'!$K$162</f>
        <v>44000</v>
      </c>
      <c r="I96" s="12"/>
    </row>
    <row r="97" spans="1:9" ht="30.75">
      <c r="A97" s="14">
        <v>150101</v>
      </c>
      <c r="B97" s="15" t="s">
        <v>94</v>
      </c>
      <c r="C97" s="15" t="s">
        <v>172</v>
      </c>
      <c r="D97" s="17">
        <v>5986000</v>
      </c>
      <c r="E97" s="18">
        <f>100-(F97/D97*100)</f>
        <v>2.3619413631807475</v>
      </c>
      <c r="F97" s="17">
        <f>D97-141385.81</f>
        <v>5844614.19</v>
      </c>
      <c r="G97" s="16">
        <f>3000000+2844614</f>
        <v>5844614</v>
      </c>
      <c r="I97" s="12"/>
    </row>
    <row r="98" spans="1:9" ht="75.75">
      <c r="A98" s="14">
        <v>150101</v>
      </c>
      <c r="B98" s="15" t="s">
        <v>94</v>
      </c>
      <c r="C98" s="15" t="s">
        <v>173</v>
      </c>
      <c r="D98" s="17"/>
      <c r="E98" s="18"/>
      <c r="F98" s="17"/>
      <c r="G98" s="16">
        <v>684413</v>
      </c>
      <c r="I98" s="12"/>
    </row>
    <row r="99" spans="1:9" ht="45.75">
      <c r="A99" s="14">
        <v>150101</v>
      </c>
      <c r="B99" s="15" t="s">
        <v>94</v>
      </c>
      <c r="C99" s="15" t="s">
        <v>174</v>
      </c>
      <c r="D99" s="17"/>
      <c r="E99" s="18"/>
      <c r="F99" s="17"/>
      <c r="G99" s="16">
        <v>852956</v>
      </c>
      <c r="I99" s="12"/>
    </row>
    <row r="100" spans="1:9" s="13" customFormat="1" ht="31.5" hidden="1">
      <c r="A100" s="9">
        <v>20</v>
      </c>
      <c r="B100" s="10" t="s">
        <v>175</v>
      </c>
      <c r="C100" s="10"/>
      <c r="D100" s="11"/>
      <c r="E100" s="20"/>
      <c r="F100" s="11"/>
      <c r="G100" s="39"/>
      <c r="H100" s="12">
        <f>'[1]Місто'!$K$188</f>
        <v>0</v>
      </c>
      <c r="I100" s="12">
        <f>H100-G100</f>
        <v>0</v>
      </c>
    </row>
    <row r="101" spans="1:9" ht="15.75" hidden="1">
      <c r="A101" s="14" t="s">
        <v>91</v>
      </c>
      <c r="B101" s="15" t="s">
        <v>92</v>
      </c>
      <c r="C101" s="15" t="s">
        <v>93</v>
      </c>
      <c r="D101" s="17"/>
      <c r="E101" s="18"/>
      <c r="F101" s="17"/>
      <c r="G101" s="16"/>
      <c r="I101" s="12"/>
    </row>
    <row r="102" spans="1:9" s="13" customFormat="1" ht="47.25" hidden="1">
      <c r="A102" s="9">
        <v>23</v>
      </c>
      <c r="B102" s="10" t="s">
        <v>176</v>
      </c>
      <c r="C102" s="10"/>
      <c r="D102" s="11"/>
      <c r="E102" s="20"/>
      <c r="F102" s="11"/>
      <c r="G102" s="39"/>
      <c r="H102" s="12">
        <f>'[1]Місто'!$K$193</f>
        <v>0</v>
      </c>
      <c r="I102" s="12">
        <f>H102-G102</f>
        <v>0</v>
      </c>
    </row>
    <row r="103" spans="1:9" ht="15.75" hidden="1">
      <c r="A103" s="14" t="s">
        <v>91</v>
      </c>
      <c r="B103" s="15" t="s">
        <v>92</v>
      </c>
      <c r="C103" s="15" t="s">
        <v>93</v>
      </c>
      <c r="D103" s="17"/>
      <c r="E103" s="18"/>
      <c r="F103" s="17"/>
      <c r="G103" s="16"/>
      <c r="I103" s="12"/>
    </row>
    <row r="104" spans="1:9" s="13" customFormat="1" ht="31.5">
      <c r="A104" s="9">
        <v>24</v>
      </c>
      <c r="B104" s="10" t="s">
        <v>177</v>
      </c>
      <c r="C104" s="10"/>
      <c r="D104" s="11">
        <f>SUM(D105:D114)-D106-D112-D108-D110</f>
        <v>206754</v>
      </c>
      <c r="E104" s="20"/>
      <c r="F104" s="11">
        <f>SUM(F105:F114)-F106-F112-F108-F110</f>
        <v>194934</v>
      </c>
      <c r="G104" s="11">
        <f>SUM(G105:G114)-G106-G112-G108-G110</f>
        <v>4477796</v>
      </c>
      <c r="H104" s="12">
        <f>'[1]Місто'!$K$196</f>
        <v>4477796</v>
      </c>
      <c r="I104" s="12">
        <f>H104-G104</f>
        <v>0</v>
      </c>
    </row>
    <row r="105" spans="1:9" ht="15.75">
      <c r="A105" s="14" t="s">
        <v>178</v>
      </c>
      <c r="B105" s="15" t="s">
        <v>179</v>
      </c>
      <c r="C105" s="15" t="s">
        <v>93</v>
      </c>
      <c r="D105" s="17"/>
      <c r="E105" s="18"/>
      <c r="F105" s="17"/>
      <c r="G105" s="16">
        <f>'[1]Місто'!$K$200</f>
        <v>194379</v>
      </c>
      <c r="I105" s="12"/>
    </row>
    <row r="106" spans="1:9" ht="15.75">
      <c r="A106" s="14"/>
      <c r="B106" s="15"/>
      <c r="C106" s="28" t="s">
        <v>97</v>
      </c>
      <c r="D106" s="17"/>
      <c r="E106" s="18"/>
      <c r="F106" s="17"/>
      <c r="G106" s="16">
        <v>64407</v>
      </c>
      <c r="I106" s="12"/>
    </row>
    <row r="107" spans="1:9" ht="15.75">
      <c r="A107" s="14" t="s">
        <v>180</v>
      </c>
      <c r="B107" s="15" t="s">
        <v>181</v>
      </c>
      <c r="C107" s="15" t="s">
        <v>313</v>
      </c>
      <c r="D107" s="17"/>
      <c r="E107" s="18"/>
      <c r="F107" s="17"/>
      <c r="G107" s="16">
        <f>'[1]Місто'!$K$201</f>
        <v>1231124</v>
      </c>
      <c r="I107" s="12"/>
    </row>
    <row r="108" spans="1:9" ht="15.75">
      <c r="A108" s="14"/>
      <c r="B108" s="15"/>
      <c r="C108" s="28" t="s">
        <v>97</v>
      </c>
      <c r="D108" s="17"/>
      <c r="E108" s="18"/>
      <c r="F108" s="17"/>
      <c r="G108" s="16">
        <v>1005624</v>
      </c>
      <c r="I108" s="12"/>
    </row>
    <row r="109" spans="1:9" ht="30.75">
      <c r="A109" s="14" t="s">
        <v>182</v>
      </c>
      <c r="B109" s="15" t="s">
        <v>183</v>
      </c>
      <c r="C109" s="15" t="s">
        <v>313</v>
      </c>
      <c r="D109" s="17"/>
      <c r="E109" s="18"/>
      <c r="F109" s="17"/>
      <c r="G109" s="16">
        <f>'[1]Місто'!$K$202</f>
        <v>201556</v>
      </c>
      <c r="I109" s="12"/>
    </row>
    <row r="110" spans="1:9" ht="15.75">
      <c r="A110" s="14"/>
      <c r="B110" s="15"/>
      <c r="C110" s="28" t="s">
        <v>97</v>
      </c>
      <c r="D110" s="17"/>
      <c r="E110" s="18"/>
      <c r="F110" s="17"/>
      <c r="G110" s="16">
        <v>107156</v>
      </c>
      <c r="I110" s="12"/>
    </row>
    <row r="111" spans="1:9" ht="15.75">
      <c r="A111" s="14" t="s">
        <v>184</v>
      </c>
      <c r="B111" s="15" t="s">
        <v>185</v>
      </c>
      <c r="C111" s="15" t="s">
        <v>93</v>
      </c>
      <c r="D111" s="17"/>
      <c r="E111" s="18"/>
      <c r="F111" s="17"/>
      <c r="G111" s="16">
        <f>'[1]Місто'!$K$203</f>
        <v>2473467</v>
      </c>
      <c r="I111" s="12"/>
    </row>
    <row r="112" spans="1:9" ht="15.75">
      <c r="A112" s="14"/>
      <c r="B112" s="15"/>
      <c r="C112" s="28" t="s">
        <v>97</v>
      </c>
      <c r="D112" s="17"/>
      <c r="E112" s="18"/>
      <c r="F112" s="17"/>
      <c r="G112" s="16">
        <v>163087</v>
      </c>
      <c r="I112" s="12"/>
    </row>
    <row r="113" spans="1:9" ht="15.75">
      <c r="A113" s="14" t="s">
        <v>186</v>
      </c>
      <c r="B113" s="15" t="s">
        <v>187</v>
      </c>
      <c r="C113" s="15" t="s">
        <v>93</v>
      </c>
      <c r="D113" s="17"/>
      <c r="E113" s="18"/>
      <c r="F113" s="17"/>
      <c r="G113" s="16">
        <f>'[1]Місто'!$K$207</f>
        <v>182336</v>
      </c>
      <c r="I113" s="12"/>
    </row>
    <row r="114" spans="1:9" ht="45.75">
      <c r="A114" s="14">
        <v>150101</v>
      </c>
      <c r="B114" s="15" t="s">
        <v>94</v>
      </c>
      <c r="C114" s="15" t="s">
        <v>314</v>
      </c>
      <c r="D114" s="17">
        <v>206754</v>
      </c>
      <c r="E114" s="18">
        <f>100-(F114/D114*100)</f>
        <v>5.716938970950977</v>
      </c>
      <c r="F114" s="17">
        <v>194934</v>
      </c>
      <c r="G114" s="16">
        <v>194934</v>
      </c>
      <c r="I114" s="12"/>
    </row>
    <row r="115" spans="1:9" s="13" customFormat="1" ht="42" customHeight="1">
      <c r="A115" s="9" t="s">
        <v>188</v>
      </c>
      <c r="B115" s="10" t="s">
        <v>189</v>
      </c>
      <c r="C115" s="10"/>
      <c r="D115" s="11">
        <f>SUM(D116:D117)</f>
        <v>1071200</v>
      </c>
      <c r="E115" s="11"/>
      <c r="F115" s="11">
        <f>SUM(F116:F117)</f>
        <v>1071200</v>
      </c>
      <c r="G115" s="11">
        <f>SUM(G116:G117)</f>
        <v>1108200</v>
      </c>
      <c r="H115" s="12">
        <f>'[1]Місто'!$K$215</f>
        <v>1108200</v>
      </c>
      <c r="I115" s="12">
        <f>H115-G115</f>
        <v>0</v>
      </c>
    </row>
    <row r="116" spans="1:9" ht="15.75">
      <c r="A116" s="14" t="s">
        <v>91</v>
      </c>
      <c r="B116" s="15" t="s">
        <v>92</v>
      </c>
      <c r="C116" s="15" t="s">
        <v>93</v>
      </c>
      <c r="D116" s="17"/>
      <c r="E116" s="18"/>
      <c r="F116" s="17"/>
      <c r="G116" s="16">
        <f>'[1]Місто'!$K$217</f>
        <v>37000</v>
      </c>
      <c r="I116" s="12"/>
    </row>
    <row r="117" spans="1:9" ht="30.75">
      <c r="A117" s="14">
        <v>150101</v>
      </c>
      <c r="B117" s="15" t="s">
        <v>94</v>
      </c>
      <c r="C117" s="15" t="s">
        <v>306</v>
      </c>
      <c r="D117" s="17">
        <v>1071200</v>
      </c>
      <c r="E117" s="18"/>
      <c r="F117" s="17">
        <v>1071200</v>
      </c>
      <c r="G117" s="16">
        <f>1573600-502400</f>
        <v>1071200</v>
      </c>
      <c r="I117" s="12"/>
    </row>
    <row r="118" spans="1:9" s="13" customFormat="1" ht="38.25" customHeight="1">
      <c r="A118" s="9" t="s">
        <v>190</v>
      </c>
      <c r="B118" s="10" t="s">
        <v>191</v>
      </c>
      <c r="C118" s="10"/>
      <c r="D118" s="11"/>
      <c r="E118" s="20"/>
      <c r="F118" s="11"/>
      <c r="G118" s="11">
        <f>G119</f>
        <v>43050</v>
      </c>
      <c r="H118" s="12">
        <f>'[1]Місто'!$K$228</f>
        <v>43050</v>
      </c>
      <c r="I118" s="12">
        <f>H118-G118</f>
        <v>0</v>
      </c>
    </row>
    <row r="119" spans="1:9" ht="33.75" customHeight="1">
      <c r="A119" s="14" t="s">
        <v>91</v>
      </c>
      <c r="B119" s="15" t="s">
        <v>92</v>
      </c>
      <c r="C119" s="15" t="s">
        <v>307</v>
      </c>
      <c r="D119" s="17"/>
      <c r="E119" s="18"/>
      <c r="F119" s="17"/>
      <c r="G119" s="16">
        <f>'[1]Місто'!$K$230</f>
        <v>43050</v>
      </c>
      <c r="I119" s="12"/>
    </row>
    <row r="120" spans="1:9" s="13" customFormat="1" ht="39" customHeight="1">
      <c r="A120" s="33">
        <v>40</v>
      </c>
      <c r="B120" s="34" t="s">
        <v>192</v>
      </c>
      <c r="C120" s="10"/>
      <c r="D120" s="11">
        <f>SUM(D121:D443)-D131-D280-D362-D364-D366-D375-D377-D379-D383-D393-D123-D126-D129-D170-D242-D436-D295-D309-D311-D313-D320-D323-D328-D335-D343-D354</f>
        <v>151673884</v>
      </c>
      <c r="E120" s="11"/>
      <c r="F120" s="11">
        <f>SUM(F121:F443)-F131-F280-F362-F364-F366-F375-F377-F379-F383-F393-F123-F126-F129-F170-F242-F436-F295-F309-F311-F313-F320-F323-F328-F335-F343-F354</f>
        <v>142701235.17</v>
      </c>
      <c r="G120" s="11">
        <f>SUM(G121:G443)-G131-G280-G362-G364-G366-G375-G377-G379-G383-G393-G123-G126-G129-G133-G135-G139-G141-G143-G145-G148-G150-G152-G154-G156-G158-G160-G162-G164-G169-G404-G410-G429-G170-G242-G436-G295-G309-G311-G313-G320-G323-G328-G335-G343-G354-G372-G414-G406-G412-G424-G402-G426</f>
        <v>117997763</v>
      </c>
      <c r="H120" s="12">
        <f>'[1]Місто'!$K$231</f>
        <v>117997763</v>
      </c>
      <c r="I120" s="12">
        <f>H120-G120</f>
        <v>0</v>
      </c>
    </row>
    <row r="121" spans="1:9" s="13" customFormat="1" ht="15.75">
      <c r="A121" s="14" t="s">
        <v>91</v>
      </c>
      <c r="B121" s="31" t="s">
        <v>92</v>
      </c>
      <c r="C121" s="15" t="s">
        <v>93</v>
      </c>
      <c r="D121" s="16"/>
      <c r="E121" s="16"/>
      <c r="F121" s="16"/>
      <c r="G121" s="16">
        <f>'[1]Місто'!$K$233</f>
        <v>60000</v>
      </c>
      <c r="I121" s="12"/>
    </row>
    <row r="122" spans="1:9" ht="30.75">
      <c r="A122" s="14" t="s">
        <v>193</v>
      </c>
      <c r="B122" s="15" t="s">
        <v>194</v>
      </c>
      <c r="C122" s="15" t="s">
        <v>93</v>
      </c>
      <c r="D122" s="17"/>
      <c r="E122" s="18"/>
      <c r="F122" s="17"/>
      <c r="G122" s="16">
        <f>'[1]Місто'!$K$243</f>
        <v>56931975</v>
      </c>
      <c r="I122" s="12"/>
    </row>
    <row r="123" spans="1:9" ht="15.75">
      <c r="A123" s="14"/>
      <c r="B123" s="15"/>
      <c r="C123" s="28" t="s">
        <v>97</v>
      </c>
      <c r="D123" s="17"/>
      <c r="E123" s="18"/>
      <c r="F123" s="17"/>
      <c r="G123" s="16">
        <v>7409833</v>
      </c>
      <c r="I123" s="12"/>
    </row>
    <row r="124" spans="1:9" ht="30.75">
      <c r="A124" s="14" t="s">
        <v>165</v>
      </c>
      <c r="B124" s="15" t="s">
        <v>166</v>
      </c>
      <c r="C124" s="15" t="s">
        <v>93</v>
      </c>
      <c r="D124" s="17"/>
      <c r="E124" s="18"/>
      <c r="F124" s="17"/>
      <c r="G124" s="16">
        <f>'[1]Місто'!$K$245</f>
        <v>951177</v>
      </c>
      <c r="I124" s="12"/>
    </row>
    <row r="125" spans="1:9" ht="18.75" customHeight="1">
      <c r="A125" s="14">
        <v>100203</v>
      </c>
      <c r="B125" s="15" t="s">
        <v>195</v>
      </c>
      <c r="C125" s="15" t="s">
        <v>93</v>
      </c>
      <c r="D125" s="17"/>
      <c r="E125" s="18"/>
      <c r="F125" s="17"/>
      <c r="G125" s="16">
        <f>'[1]Місто'!$K$246</f>
        <v>3721899</v>
      </c>
      <c r="I125" s="12"/>
    </row>
    <row r="126" spans="1:9" ht="15.75">
      <c r="A126" s="14"/>
      <c r="B126" s="15"/>
      <c r="C126" s="28" t="s">
        <v>97</v>
      </c>
      <c r="D126" s="17"/>
      <c r="E126" s="18"/>
      <c r="F126" s="17"/>
      <c r="G126" s="16">
        <v>319273</v>
      </c>
      <c r="I126" s="12"/>
    </row>
    <row r="127" spans="1:9" ht="15.75" hidden="1">
      <c r="A127" s="14">
        <v>100209</v>
      </c>
      <c r="B127" s="15" t="s">
        <v>130</v>
      </c>
      <c r="C127" s="15" t="s">
        <v>93</v>
      </c>
      <c r="D127" s="17"/>
      <c r="E127" s="18"/>
      <c r="F127" s="17"/>
      <c r="G127" s="16">
        <f>'[1]Місто'!$K$247</f>
        <v>0</v>
      </c>
      <c r="I127" s="12"/>
    </row>
    <row r="128" spans="1:9" ht="21" customHeight="1">
      <c r="A128" s="14" t="s">
        <v>196</v>
      </c>
      <c r="B128" s="15" t="s">
        <v>197</v>
      </c>
      <c r="C128" s="15" t="s">
        <v>93</v>
      </c>
      <c r="D128" s="17"/>
      <c r="E128" s="18"/>
      <c r="F128" s="17"/>
      <c r="G128" s="16">
        <f>'[1]Місто'!$K$260</f>
        <v>1749820</v>
      </c>
      <c r="I128" s="12"/>
    </row>
    <row r="129" spans="1:9" ht="15.75">
      <c r="A129" s="14"/>
      <c r="B129" s="15"/>
      <c r="C129" s="28" t="s">
        <v>97</v>
      </c>
      <c r="D129" s="17"/>
      <c r="E129" s="18"/>
      <c r="F129" s="17"/>
      <c r="G129" s="16">
        <v>13632</v>
      </c>
      <c r="I129" s="12"/>
    </row>
    <row r="130" spans="1:9" s="30" customFormat="1" ht="30.75">
      <c r="A130" s="27">
        <v>150101</v>
      </c>
      <c r="B130" s="28" t="s">
        <v>94</v>
      </c>
      <c r="C130" s="28" t="s">
        <v>198</v>
      </c>
      <c r="D130" s="16">
        <v>706344</v>
      </c>
      <c r="E130" s="29"/>
      <c r="F130" s="16">
        <v>706344</v>
      </c>
      <c r="G130" s="16">
        <f>840000-150000+4107+12237</f>
        <v>706344</v>
      </c>
      <c r="I130" s="12"/>
    </row>
    <row r="131" spans="1:9" s="30" customFormat="1" ht="15.75">
      <c r="A131" s="27"/>
      <c r="B131" s="28"/>
      <c r="C131" s="28" t="s">
        <v>97</v>
      </c>
      <c r="D131" s="16"/>
      <c r="E131" s="29"/>
      <c r="F131" s="16"/>
      <c r="G131" s="16">
        <v>4107</v>
      </c>
      <c r="I131" s="12"/>
    </row>
    <row r="132" spans="1:9" s="30" customFormat="1" ht="45.75">
      <c r="A132" s="14">
        <v>150101</v>
      </c>
      <c r="B132" s="15" t="s">
        <v>94</v>
      </c>
      <c r="C132" s="28" t="s">
        <v>315</v>
      </c>
      <c r="D132" s="16">
        <v>1512000</v>
      </c>
      <c r="E132" s="18">
        <f>100-(F132/D132*100)</f>
        <v>39.27824074074074</v>
      </c>
      <c r="F132" s="16">
        <v>918113</v>
      </c>
      <c r="G132" s="16">
        <f>24866+893247-643075</f>
        <v>275038</v>
      </c>
      <c r="I132" s="12"/>
    </row>
    <row r="133" spans="1:9" s="30" customFormat="1" ht="15.75">
      <c r="A133" s="14"/>
      <c r="B133" s="15"/>
      <c r="C133" s="28" t="s">
        <v>97</v>
      </c>
      <c r="D133" s="16"/>
      <c r="E133" s="29"/>
      <c r="F133" s="16"/>
      <c r="G133" s="16">
        <v>24866</v>
      </c>
      <c r="I133" s="12"/>
    </row>
    <row r="134" spans="1:9" s="30" customFormat="1" ht="30.75">
      <c r="A134" s="14">
        <v>150101</v>
      </c>
      <c r="B134" s="15" t="s">
        <v>94</v>
      </c>
      <c r="C134" s="28" t="s">
        <v>316</v>
      </c>
      <c r="D134" s="16">
        <v>800000</v>
      </c>
      <c r="E134" s="18">
        <f>100-(F134/D134*100)</f>
        <v>0.2702500000000043</v>
      </c>
      <c r="F134" s="16">
        <v>797838</v>
      </c>
      <c r="G134" s="16">
        <f>79479+718359</f>
        <v>797838</v>
      </c>
      <c r="I134" s="12"/>
    </row>
    <row r="135" spans="1:9" s="30" customFormat="1" ht="15.75">
      <c r="A135" s="14"/>
      <c r="B135" s="15"/>
      <c r="C135" s="28" t="s">
        <v>97</v>
      </c>
      <c r="D135" s="16"/>
      <c r="E135" s="29"/>
      <c r="F135" s="16"/>
      <c r="G135" s="16">
        <v>79479</v>
      </c>
      <c r="I135" s="12"/>
    </row>
    <row r="136" spans="1:9" s="30" customFormat="1" ht="45.75">
      <c r="A136" s="14">
        <v>150101</v>
      </c>
      <c r="B136" s="15" t="s">
        <v>94</v>
      </c>
      <c r="C136" s="28" t="s">
        <v>445</v>
      </c>
      <c r="D136" s="16">
        <v>345238</v>
      </c>
      <c r="E136" s="29"/>
      <c r="F136" s="16">
        <v>345238</v>
      </c>
      <c r="G136" s="16">
        <v>345238</v>
      </c>
      <c r="I136" s="12"/>
    </row>
    <row r="137" spans="1:9" s="30" customFormat="1" ht="45.75">
      <c r="A137" s="14">
        <v>150101</v>
      </c>
      <c r="B137" s="15" t="s">
        <v>94</v>
      </c>
      <c r="C137" s="28" t="s">
        <v>199</v>
      </c>
      <c r="D137" s="16"/>
      <c r="E137" s="29"/>
      <c r="F137" s="16"/>
      <c r="G137" s="16">
        <v>4775</v>
      </c>
      <c r="I137" s="12"/>
    </row>
    <row r="138" spans="1:9" s="30" customFormat="1" ht="30.75">
      <c r="A138" s="14">
        <v>150101</v>
      </c>
      <c r="B138" s="15" t="s">
        <v>94</v>
      </c>
      <c r="C138" s="28" t="s">
        <v>317</v>
      </c>
      <c r="D138" s="16">
        <v>822602</v>
      </c>
      <c r="E138" s="18">
        <f>100-(F138/D138*100)</f>
        <v>58.667739684561916</v>
      </c>
      <c r="F138" s="16">
        <v>340000</v>
      </c>
      <c r="G138" s="16">
        <f>297+339703</f>
        <v>340000</v>
      </c>
      <c r="I138" s="12"/>
    </row>
    <row r="139" spans="1:9" s="30" customFormat="1" ht="15.75">
      <c r="A139" s="14"/>
      <c r="B139" s="15"/>
      <c r="C139" s="28" t="s">
        <v>97</v>
      </c>
      <c r="D139" s="16"/>
      <c r="E139" s="29"/>
      <c r="F139" s="16"/>
      <c r="G139" s="16">
        <v>297</v>
      </c>
      <c r="I139" s="12"/>
    </row>
    <row r="140" spans="1:9" s="30" customFormat="1" ht="15.75">
      <c r="A140" s="14">
        <v>150101</v>
      </c>
      <c r="B140" s="15" t="s">
        <v>94</v>
      </c>
      <c r="C140" s="28" t="s">
        <v>318</v>
      </c>
      <c r="D140" s="16">
        <v>610807</v>
      </c>
      <c r="E140" s="18">
        <f>100-(F140/D140*100)</f>
        <v>52.56652264954396</v>
      </c>
      <c r="F140" s="16">
        <v>289727</v>
      </c>
      <c r="G140" s="16">
        <f>419+289308</f>
        <v>289727</v>
      </c>
      <c r="I140" s="12"/>
    </row>
    <row r="141" spans="1:9" s="30" customFormat="1" ht="15.75">
      <c r="A141" s="14"/>
      <c r="B141" s="15"/>
      <c r="C141" s="28" t="s">
        <v>97</v>
      </c>
      <c r="D141" s="16"/>
      <c r="E141" s="29"/>
      <c r="F141" s="16"/>
      <c r="G141" s="16">
        <v>419</v>
      </c>
      <c r="I141" s="12"/>
    </row>
    <row r="142" spans="1:9" s="30" customFormat="1" ht="30.75">
      <c r="A142" s="14">
        <v>150101</v>
      </c>
      <c r="B142" s="15" t="s">
        <v>94</v>
      </c>
      <c r="C142" s="28" t="s">
        <v>319</v>
      </c>
      <c r="D142" s="16">
        <v>294000</v>
      </c>
      <c r="E142" s="18">
        <f>100-(F142/D142*100)</f>
        <v>47.73401360544217</v>
      </c>
      <c r="F142" s="16">
        <v>153662</v>
      </c>
      <c r="G142" s="16">
        <f>297+153365</f>
        <v>153662</v>
      </c>
      <c r="I142" s="12"/>
    </row>
    <row r="143" spans="1:9" s="30" customFormat="1" ht="15.75">
      <c r="A143" s="14"/>
      <c r="B143" s="15"/>
      <c r="C143" s="28" t="s">
        <v>97</v>
      </c>
      <c r="D143" s="16"/>
      <c r="E143" s="29"/>
      <c r="F143" s="16"/>
      <c r="G143" s="16">
        <v>297</v>
      </c>
      <c r="I143" s="12"/>
    </row>
    <row r="144" spans="1:9" s="30" customFormat="1" ht="30.75">
      <c r="A144" s="14">
        <v>150101</v>
      </c>
      <c r="B144" s="15" t="s">
        <v>94</v>
      </c>
      <c r="C144" s="28" t="s">
        <v>320</v>
      </c>
      <c r="D144" s="16">
        <v>298864</v>
      </c>
      <c r="E144" s="18">
        <f>100-(F144/D144*100)</f>
        <v>83.58751806841909</v>
      </c>
      <c r="F144" s="16">
        <v>49051</v>
      </c>
      <c r="G144" s="16">
        <f>28752+20299</f>
        <v>49051</v>
      </c>
      <c r="I144" s="12"/>
    </row>
    <row r="145" spans="1:9" s="30" customFormat="1" ht="15.75">
      <c r="A145" s="14"/>
      <c r="B145" s="15"/>
      <c r="C145" s="28" t="s">
        <v>97</v>
      </c>
      <c r="D145" s="16"/>
      <c r="E145" s="29"/>
      <c r="F145" s="16"/>
      <c r="G145" s="16">
        <v>28752</v>
      </c>
      <c r="I145" s="12"/>
    </row>
    <row r="146" spans="1:9" s="96" customFormat="1" ht="30.75">
      <c r="A146" s="63">
        <v>150101</v>
      </c>
      <c r="B146" s="37" t="s">
        <v>94</v>
      </c>
      <c r="C146" s="31" t="s">
        <v>120</v>
      </c>
      <c r="D146" s="53">
        <v>11757160</v>
      </c>
      <c r="E146" s="54">
        <v>2.2</v>
      </c>
      <c r="F146" s="53">
        <v>11503755</v>
      </c>
      <c r="G146" s="53">
        <v>33016</v>
      </c>
      <c r="I146" s="65"/>
    </row>
    <row r="147" spans="1:9" s="30" customFormat="1" ht="30.75">
      <c r="A147" s="14">
        <v>150101</v>
      </c>
      <c r="B147" s="15" t="s">
        <v>94</v>
      </c>
      <c r="C147" s="28" t="s">
        <v>444</v>
      </c>
      <c r="D147" s="16"/>
      <c r="E147" s="29"/>
      <c r="F147" s="16"/>
      <c r="G147" s="16">
        <f>3740+22926-22926</f>
        <v>3740</v>
      </c>
      <c r="I147" s="12"/>
    </row>
    <row r="148" spans="1:9" s="30" customFormat="1" ht="15.75" hidden="1">
      <c r="A148" s="14"/>
      <c r="B148" s="15"/>
      <c r="C148" s="28"/>
      <c r="D148" s="16"/>
      <c r="E148" s="29"/>
      <c r="F148" s="16"/>
      <c r="G148" s="16"/>
      <c r="I148" s="12"/>
    </row>
    <row r="149" spans="1:9" s="30" customFormat="1" ht="30.75">
      <c r="A149" s="14">
        <v>150101</v>
      </c>
      <c r="B149" s="15" t="s">
        <v>94</v>
      </c>
      <c r="C149" s="28" t="s">
        <v>321</v>
      </c>
      <c r="D149" s="16">
        <v>22426</v>
      </c>
      <c r="E149" s="29"/>
      <c r="F149" s="16">
        <v>22426</v>
      </c>
      <c r="G149" s="16">
        <f>4346+18080</f>
        <v>22426</v>
      </c>
      <c r="I149" s="12"/>
    </row>
    <row r="150" spans="1:9" s="30" customFormat="1" ht="15.75">
      <c r="A150" s="14"/>
      <c r="B150" s="15"/>
      <c r="C150" s="28" t="s">
        <v>97</v>
      </c>
      <c r="D150" s="16"/>
      <c r="E150" s="29"/>
      <c r="F150" s="16"/>
      <c r="G150" s="16">
        <v>4346</v>
      </c>
      <c r="I150" s="12"/>
    </row>
    <row r="151" spans="1:9" s="30" customFormat="1" ht="30.75">
      <c r="A151" s="14">
        <v>150101</v>
      </c>
      <c r="B151" s="15" t="s">
        <v>94</v>
      </c>
      <c r="C151" s="28" t="s">
        <v>322</v>
      </c>
      <c r="D151" s="16">
        <v>21511</v>
      </c>
      <c r="E151" s="29"/>
      <c r="F151" s="16">
        <v>21511</v>
      </c>
      <c r="G151" s="16">
        <f>3942+17569</f>
        <v>21511</v>
      </c>
      <c r="I151" s="12"/>
    </row>
    <row r="152" spans="1:9" s="30" customFormat="1" ht="15.75">
      <c r="A152" s="14"/>
      <c r="B152" s="15"/>
      <c r="C152" s="28" t="s">
        <v>97</v>
      </c>
      <c r="D152" s="16"/>
      <c r="E152" s="29"/>
      <c r="F152" s="16"/>
      <c r="G152" s="16">
        <v>3942</v>
      </c>
      <c r="I152" s="12"/>
    </row>
    <row r="153" spans="1:9" s="30" customFormat="1" ht="30.75">
      <c r="A153" s="14">
        <v>150101</v>
      </c>
      <c r="B153" s="15" t="s">
        <v>94</v>
      </c>
      <c r="C153" s="28" t="s">
        <v>323</v>
      </c>
      <c r="D153" s="16">
        <v>16771</v>
      </c>
      <c r="E153" s="29"/>
      <c r="F153" s="16">
        <v>16771</v>
      </c>
      <c r="G153" s="16">
        <f>3740+13031</f>
        <v>16771</v>
      </c>
      <c r="I153" s="12"/>
    </row>
    <row r="154" spans="1:9" s="30" customFormat="1" ht="15.75">
      <c r="A154" s="14"/>
      <c r="B154" s="15"/>
      <c r="C154" s="28" t="s">
        <v>97</v>
      </c>
      <c r="D154" s="16"/>
      <c r="E154" s="29"/>
      <c r="F154" s="16"/>
      <c r="G154" s="16">
        <v>3740</v>
      </c>
      <c r="I154" s="12"/>
    </row>
    <row r="155" spans="1:9" s="30" customFormat="1" ht="30.75">
      <c r="A155" s="14">
        <v>150101</v>
      </c>
      <c r="B155" s="15" t="s">
        <v>94</v>
      </c>
      <c r="C155" s="28" t="s">
        <v>324</v>
      </c>
      <c r="D155" s="16">
        <v>17286</v>
      </c>
      <c r="E155" s="29"/>
      <c r="F155" s="16">
        <v>17286</v>
      </c>
      <c r="G155" s="16">
        <f>3740+13546</f>
        <v>17286</v>
      </c>
      <c r="I155" s="12"/>
    </row>
    <row r="156" spans="1:9" s="30" customFormat="1" ht="15.75">
      <c r="A156" s="14"/>
      <c r="B156" s="15"/>
      <c r="C156" s="28" t="s">
        <v>97</v>
      </c>
      <c r="D156" s="16"/>
      <c r="E156" s="29"/>
      <c r="F156" s="16"/>
      <c r="G156" s="16">
        <v>3740</v>
      </c>
      <c r="I156" s="12"/>
    </row>
    <row r="157" spans="1:9" s="30" customFormat="1" ht="30.75">
      <c r="A157" s="14">
        <v>150101</v>
      </c>
      <c r="B157" s="15" t="s">
        <v>94</v>
      </c>
      <c r="C157" s="28" t="s">
        <v>325</v>
      </c>
      <c r="D157" s="16">
        <v>28339</v>
      </c>
      <c r="E157" s="29"/>
      <c r="F157" s="16">
        <v>28339</v>
      </c>
      <c r="G157" s="16">
        <f>4548+23851</f>
        <v>28399</v>
      </c>
      <c r="I157" s="12"/>
    </row>
    <row r="158" spans="1:9" s="30" customFormat="1" ht="15.75">
      <c r="A158" s="14"/>
      <c r="B158" s="15"/>
      <c r="C158" s="28" t="s">
        <v>97</v>
      </c>
      <c r="D158" s="16"/>
      <c r="E158" s="29"/>
      <c r="F158" s="16"/>
      <c r="G158" s="16">
        <v>4548</v>
      </c>
      <c r="I158" s="12"/>
    </row>
    <row r="159" spans="1:9" s="30" customFormat="1" ht="15.75">
      <c r="A159" s="14">
        <v>150101</v>
      </c>
      <c r="B159" s="15" t="s">
        <v>94</v>
      </c>
      <c r="C159" s="28" t="s">
        <v>326</v>
      </c>
      <c r="D159" s="16">
        <v>43706</v>
      </c>
      <c r="E159" s="29"/>
      <c r="F159" s="16">
        <v>43706</v>
      </c>
      <c r="G159" s="16">
        <f>4952+38754</f>
        <v>43706</v>
      </c>
      <c r="I159" s="12"/>
    </row>
    <row r="160" spans="1:9" s="30" customFormat="1" ht="15.75">
      <c r="A160" s="14"/>
      <c r="B160" s="15"/>
      <c r="C160" s="28" t="s">
        <v>97</v>
      </c>
      <c r="D160" s="16"/>
      <c r="E160" s="29"/>
      <c r="F160" s="16"/>
      <c r="G160" s="16">
        <v>4952</v>
      </c>
      <c r="I160" s="12"/>
    </row>
    <row r="161" spans="1:9" s="30" customFormat="1" ht="30.75">
      <c r="A161" s="14">
        <v>150101</v>
      </c>
      <c r="B161" s="15" t="s">
        <v>94</v>
      </c>
      <c r="C161" s="28" t="s">
        <v>327</v>
      </c>
      <c r="D161" s="16">
        <v>29153</v>
      </c>
      <c r="E161" s="29"/>
      <c r="F161" s="16">
        <v>29153</v>
      </c>
      <c r="G161" s="16">
        <f>4548+24605</f>
        <v>29153</v>
      </c>
      <c r="I161" s="12"/>
    </row>
    <row r="162" spans="1:9" s="30" customFormat="1" ht="15.75">
      <c r="A162" s="14"/>
      <c r="B162" s="15"/>
      <c r="C162" s="28" t="s">
        <v>97</v>
      </c>
      <c r="D162" s="16"/>
      <c r="E162" s="29"/>
      <c r="F162" s="16"/>
      <c r="G162" s="16">
        <v>4548</v>
      </c>
      <c r="I162" s="12"/>
    </row>
    <row r="163" spans="1:9" s="30" customFormat="1" ht="15.75">
      <c r="A163" s="14">
        <v>150101</v>
      </c>
      <c r="B163" s="15" t="s">
        <v>94</v>
      </c>
      <c r="C163" s="28" t="s">
        <v>328</v>
      </c>
      <c r="D163" s="16">
        <v>29509</v>
      </c>
      <c r="E163" s="29"/>
      <c r="F163" s="16">
        <v>29509</v>
      </c>
      <c r="G163" s="16">
        <f>4548+24961</f>
        <v>29509</v>
      </c>
      <c r="I163" s="12"/>
    </row>
    <row r="164" spans="1:9" s="30" customFormat="1" ht="15.75">
      <c r="A164" s="14"/>
      <c r="B164" s="15"/>
      <c r="C164" s="28" t="s">
        <v>97</v>
      </c>
      <c r="D164" s="16"/>
      <c r="E164" s="29"/>
      <c r="F164" s="16"/>
      <c r="G164" s="16">
        <v>4548</v>
      </c>
      <c r="I164" s="12"/>
    </row>
    <row r="165" spans="1:9" s="30" customFormat="1" ht="30.75">
      <c r="A165" s="14">
        <v>150101</v>
      </c>
      <c r="B165" s="15" t="s">
        <v>94</v>
      </c>
      <c r="C165" s="28" t="s">
        <v>446</v>
      </c>
      <c r="D165" s="16">
        <v>27276</v>
      </c>
      <c r="E165" s="29"/>
      <c r="F165" s="16">
        <v>27276</v>
      </c>
      <c r="G165" s="16">
        <v>27276</v>
      </c>
      <c r="I165" s="12"/>
    </row>
    <row r="166" spans="1:9" s="30" customFormat="1" ht="30.75">
      <c r="A166" s="14">
        <v>150101</v>
      </c>
      <c r="B166" s="15" t="s">
        <v>94</v>
      </c>
      <c r="C166" s="28" t="s">
        <v>447</v>
      </c>
      <c r="D166" s="16">
        <v>58338</v>
      </c>
      <c r="E166" s="29"/>
      <c r="F166" s="16">
        <v>58338</v>
      </c>
      <c r="G166" s="16">
        <v>58338</v>
      </c>
      <c r="I166" s="12"/>
    </row>
    <row r="167" spans="1:9" s="30" customFormat="1" ht="30.75">
      <c r="A167" s="14">
        <v>150101</v>
      </c>
      <c r="B167" s="15" t="s">
        <v>94</v>
      </c>
      <c r="C167" s="28" t="s">
        <v>448</v>
      </c>
      <c r="D167" s="16">
        <v>41430</v>
      </c>
      <c r="E167" s="29"/>
      <c r="F167" s="16">
        <v>41430</v>
      </c>
      <c r="G167" s="16">
        <v>41430</v>
      </c>
      <c r="I167" s="12"/>
    </row>
    <row r="168" spans="1:9" s="30" customFormat="1" ht="30.75">
      <c r="A168" s="14">
        <v>150101</v>
      </c>
      <c r="B168" s="15" t="s">
        <v>94</v>
      </c>
      <c r="C168" s="28" t="s">
        <v>329</v>
      </c>
      <c r="D168" s="16">
        <v>4548060</v>
      </c>
      <c r="E168" s="18"/>
      <c r="F168" s="16">
        <v>4546646</v>
      </c>
      <c r="G168" s="16">
        <f>3300+4543346-1600000</f>
        <v>2946646</v>
      </c>
      <c r="I168" s="12"/>
    </row>
    <row r="169" spans="1:9" s="30" customFormat="1" ht="15.75">
      <c r="A169" s="14"/>
      <c r="B169" s="15"/>
      <c r="C169" s="28" t="s">
        <v>97</v>
      </c>
      <c r="D169" s="16"/>
      <c r="E169" s="29"/>
      <c r="F169" s="16"/>
      <c r="G169" s="16">
        <v>3300</v>
      </c>
      <c r="I169" s="12"/>
    </row>
    <row r="170" spans="1:9" ht="30.75">
      <c r="A170" s="14">
        <v>150101</v>
      </c>
      <c r="B170" s="15" t="s">
        <v>94</v>
      </c>
      <c r="C170" s="37" t="s">
        <v>202</v>
      </c>
      <c r="D170" s="26">
        <v>4406700</v>
      </c>
      <c r="E170" s="36"/>
      <c r="F170" s="26">
        <v>4406700</v>
      </c>
      <c r="G170" s="53">
        <v>4406700</v>
      </c>
      <c r="I170" s="12"/>
    </row>
    <row r="171" spans="1:9" ht="15.75">
      <c r="A171" s="14"/>
      <c r="B171" s="15"/>
      <c r="C171" s="37" t="s">
        <v>389</v>
      </c>
      <c r="D171" s="26"/>
      <c r="E171" s="36"/>
      <c r="F171" s="26"/>
      <c r="G171" s="53"/>
      <c r="I171" s="12"/>
    </row>
    <row r="172" spans="1:9" ht="15.75">
      <c r="A172" s="14"/>
      <c r="B172" s="15"/>
      <c r="C172" s="37" t="s">
        <v>345</v>
      </c>
      <c r="D172" s="26">
        <v>62953</v>
      </c>
      <c r="E172" s="36"/>
      <c r="F172" s="26">
        <v>62953</v>
      </c>
      <c r="G172" s="26">
        <v>62953</v>
      </c>
      <c r="H172" s="95">
        <f>62953-G172</f>
        <v>0</v>
      </c>
      <c r="I172" s="12"/>
    </row>
    <row r="173" spans="1:9" ht="15.75">
      <c r="A173" s="14"/>
      <c r="B173" s="15"/>
      <c r="C173" s="37" t="s">
        <v>26</v>
      </c>
      <c r="D173" s="26">
        <v>47087</v>
      </c>
      <c r="E173" s="36"/>
      <c r="F173" s="26">
        <v>47087</v>
      </c>
      <c r="G173" s="26">
        <v>47087</v>
      </c>
      <c r="H173" s="95">
        <f aca="true" t="shared" si="0" ref="H173:H236">62953-G173</f>
        <v>15866</v>
      </c>
      <c r="I173" s="12"/>
    </row>
    <row r="174" spans="1:9" ht="15.75">
      <c r="A174" s="14"/>
      <c r="B174" s="15"/>
      <c r="C174" s="37" t="s">
        <v>14</v>
      </c>
      <c r="D174" s="26">
        <v>54353</v>
      </c>
      <c r="E174" s="36"/>
      <c r="F174" s="26">
        <v>54353</v>
      </c>
      <c r="G174" s="26">
        <v>54353</v>
      </c>
      <c r="H174" s="95">
        <f t="shared" si="0"/>
        <v>8600</v>
      </c>
      <c r="I174" s="12"/>
    </row>
    <row r="175" spans="1:9" ht="15.75">
      <c r="A175" s="14"/>
      <c r="B175" s="15"/>
      <c r="C175" s="37" t="s">
        <v>17</v>
      </c>
      <c r="D175" s="26">
        <v>62953</v>
      </c>
      <c r="E175" s="36"/>
      <c r="F175" s="26">
        <v>62953</v>
      </c>
      <c r="G175" s="26">
        <v>62953</v>
      </c>
      <c r="H175" s="95">
        <f t="shared" si="0"/>
        <v>0</v>
      </c>
      <c r="I175" s="12"/>
    </row>
    <row r="176" spans="1:9" ht="15.75">
      <c r="A176" s="14"/>
      <c r="B176" s="15"/>
      <c r="C176" s="37" t="s">
        <v>346</v>
      </c>
      <c r="D176" s="26">
        <v>52372</v>
      </c>
      <c r="E176" s="36"/>
      <c r="F176" s="26">
        <v>52372</v>
      </c>
      <c r="G176" s="26">
        <v>52372</v>
      </c>
      <c r="H176" s="95">
        <f t="shared" si="0"/>
        <v>10581</v>
      </c>
      <c r="I176" s="12"/>
    </row>
    <row r="177" spans="1:9" ht="15.75">
      <c r="A177" s="14"/>
      <c r="B177" s="15"/>
      <c r="C177" s="37" t="s">
        <v>35</v>
      </c>
      <c r="D177" s="26">
        <v>62953</v>
      </c>
      <c r="E177" s="36"/>
      <c r="F177" s="26">
        <v>62953</v>
      </c>
      <c r="G177" s="26">
        <v>62953</v>
      </c>
      <c r="H177" s="95">
        <f t="shared" si="0"/>
        <v>0</v>
      </c>
      <c r="I177" s="12"/>
    </row>
    <row r="178" spans="1:9" ht="15.75">
      <c r="A178" s="14"/>
      <c r="B178" s="15"/>
      <c r="C178" s="37" t="s">
        <v>347</v>
      </c>
      <c r="D178" s="26">
        <v>62953</v>
      </c>
      <c r="E178" s="36"/>
      <c r="F178" s="26">
        <v>62953</v>
      </c>
      <c r="G178" s="26">
        <v>62953</v>
      </c>
      <c r="H178" s="95">
        <f t="shared" si="0"/>
        <v>0</v>
      </c>
      <c r="I178" s="12"/>
    </row>
    <row r="179" spans="1:9" ht="15.75">
      <c r="A179" s="14"/>
      <c r="B179" s="15"/>
      <c r="C179" s="37" t="s">
        <v>348</v>
      </c>
      <c r="D179" s="26">
        <v>62953</v>
      </c>
      <c r="E179" s="36"/>
      <c r="F179" s="26">
        <v>62953</v>
      </c>
      <c r="G179" s="26">
        <v>62953</v>
      </c>
      <c r="H179" s="95">
        <f t="shared" si="0"/>
        <v>0</v>
      </c>
      <c r="I179" s="12"/>
    </row>
    <row r="180" spans="1:9" ht="15.75">
      <c r="A180" s="14"/>
      <c r="B180" s="15"/>
      <c r="C180" s="37" t="s">
        <v>349</v>
      </c>
      <c r="D180" s="26">
        <v>92568</v>
      </c>
      <c r="E180" s="36"/>
      <c r="F180" s="26">
        <v>92568</v>
      </c>
      <c r="G180" s="26">
        <v>92568</v>
      </c>
      <c r="H180" s="95">
        <f t="shared" si="0"/>
        <v>-29615</v>
      </c>
      <c r="I180" s="12"/>
    </row>
    <row r="181" spans="1:9" ht="15.75">
      <c r="A181" s="14"/>
      <c r="B181" s="15"/>
      <c r="C181" s="37" t="s">
        <v>61</v>
      </c>
      <c r="D181" s="26">
        <v>62953</v>
      </c>
      <c r="E181" s="36"/>
      <c r="F181" s="26">
        <v>62953</v>
      </c>
      <c r="G181" s="26">
        <v>62953</v>
      </c>
      <c r="H181" s="95">
        <f t="shared" si="0"/>
        <v>0</v>
      </c>
      <c r="I181" s="12"/>
    </row>
    <row r="182" spans="1:9" ht="15.75">
      <c r="A182" s="14"/>
      <c r="B182" s="15"/>
      <c r="C182" s="37" t="s">
        <v>360</v>
      </c>
      <c r="D182" s="26">
        <v>62953</v>
      </c>
      <c r="E182" s="36"/>
      <c r="F182" s="26">
        <v>62953</v>
      </c>
      <c r="G182" s="26">
        <v>62953</v>
      </c>
      <c r="H182" s="95">
        <f t="shared" si="0"/>
        <v>0</v>
      </c>
      <c r="I182" s="12"/>
    </row>
    <row r="183" spans="1:9" ht="15.75">
      <c r="A183" s="14"/>
      <c r="B183" s="15"/>
      <c r="C183" s="37" t="s">
        <v>62</v>
      </c>
      <c r="D183" s="26">
        <v>62953</v>
      </c>
      <c r="E183" s="36"/>
      <c r="F183" s="26">
        <v>62953</v>
      </c>
      <c r="G183" s="26">
        <v>62953</v>
      </c>
      <c r="H183" s="95">
        <f t="shared" si="0"/>
        <v>0</v>
      </c>
      <c r="I183" s="12"/>
    </row>
    <row r="184" spans="1:9" ht="15.75">
      <c r="A184" s="14"/>
      <c r="B184" s="15"/>
      <c r="C184" s="37" t="s">
        <v>63</v>
      </c>
      <c r="D184" s="26">
        <v>60148</v>
      </c>
      <c r="E184" s="36"/>
      <c r="F184" s="26">
        <v>60148</v>
      </c>
      <c r="G184" s="26">
        <v>60148</v>
      </c>
      <c r="H184" s="95">
        <f t="shared" si="0"/>
        <v>2805</v>
      </c>
      <c r="I184" s="12"/>
    </row>
    <row r="185" spans="1:9" ht="15.75">
      <c r="A185" s="14"/>
      <c r="B185" s="15"/>
      <c r="C185" s="37" t="s">
        <v>64</v>
      </c>
      <c r="D185" s="26">
        <v>62953</v>
      </c>
      <c r="E185" s="36"/>
      <c r="F185" s="26">
        <v>62953</v>
      </c>
      <c r="G185" s="26">
        <v>62953</v>
      </c>
      <c r="H185" s="95">
        <f t="shared" si="0"/>
        <v>0</v>
      </c>
      <c r="I185" s="12"/>
    </row>
    <row r="186" spans="1:9" ht="15.75">
      <c r="A186" s="14"/>
      <c r="B186" s="15"/>
      <c r="C186" s="37" t="s">
        <v>65</v>
      </c>
      <c r="D186" s="26">
        <v>62953</v>
      </c>
      <c r="E186" s="36"/>
      <c r="F186" s="26">
        <v>62953</v>
      </c>
      <c r="G186" s="26">
        <v>62953</v>
      </c>
      <c r="H186" s="95">
        <f t="shared" si="0"/>
        <v>0</v>
      </c>
      <c r="I186" s="12"/>
    </row>
    <row r="187" spans="1:9" ht="15.75">
      <c r="A187" s="14"/>
      <c r="B187" s="15"/>
      <c r="C187" s="37" t="s">
        <v>66</v>
      </c>
      <c r="D187" s="26">
        <v>62953</v>
      </c>
      <c r="E187" s="36"/>
      <c r="F187" s="26">
        <v>62953</v>
      </c>
      <c r="G187" s="26">
        <v>62953</v>
      </c>
      <c r="H187" s="95">
        <f t="shared" si="0"/>
        <v>0</v>
      </c>
      <c r="I187" s="12"/>
    </row>
    <row r="188" spans="1:9" ht="15.75">
      <c r="A188" s="14"/>
      <c r="B188" s="15"/>
      <c r="C188" s="37" t="s">
        <v>67</v>
      </c>
      <c r="D188" s="26">
        <v>62953</v>
      </c>
      <c r="E188" s="36"/>
      <c r="F188" s="26">
        <v>62953</v>
      </c>
      <c r="G188" s="26">
        <v>62953</v>
      </c>
      <c r="H188" s="95">
        <f t="shared" si="0"/>
        <v>0</v>
      </c>
      <c r="I188" s="12"/>
    </row>
    <row r="189" spans="1:9" ht="15.75">
      <c r="A189" s="14"/>
      <c r="B189" s="15"/>
      <c r="C189" s="37" t="s">
        <v>68</v>
      </c>
      <c r="D189" s="26">
        <v>62953</v>
      </c>
      <c r="E189" s="36"/>
      <c r="F189" s="26">
        <v>62953</v>
      </c>
      <c r="G189" s="26">
        <v>62953</v>
      </c>
      <c r="H189" s="95">
        <f t="shared" si="0"/>
        <v>0</v>
      </c>
      <c r="I189" s="12"/>
    </row>
    <row r="190" spans="1:9" ht="15.75">
      <c r="A190" s="14"/>
      <c r="B190" s="15"/>
      <c r="C190" s="37" t="s">
        <v>69</v>
      </c>
      <c r="D190" s="26">
        <v>62953</v>
      </c>
      <c r="E190" s="36"/>
      <c r="F190" s="26">
        <v>62953</v>
      </c>
      <c r="G190" s="26">
        <v>62953</v>
      </c>
      <c r="H190" s="95">
        <f t="shared" si="0"/>
        <v>0</v>
      </c>
      <c r="I190" s="12"/>
    </row>
    <row r="191" spans="1:9" ht="15.75">
      <c r="A191" s="14"/>
      <c r="B191" s="15"/>
      <c r="C191" s="37" t="s">
        <v>18</v>
      </c>
      <c r="D191" s="26">
        <v>62953</v>
      </c>
      <c r="E191" s="36"/>
      <c r="F191" s="26">
        <v>62953</v>
      </c>
      <c r="G191" s="26">
        <v>62953</v>
      </c>
      <c r="H191" s="95">
        <f t="shared" si="0"/>
        <v>0</v>
      </c>
      <c r="I191" s="12"/>
    </row>
    <row r="192" spans="1:9" ht="15.75">
      <c r="A192" s="14"/>
      <c r="B192" s="15"/>
      <c r="C192" s="37" t="s">
        <v>70</v>
      </c>
      <c r="D192" s="26">
        <v>55287</v>
      </c>
      <c r="E192" s="36"/>
      <c r="F192" s="26">
        <v>55287</v>
      </c>
      <c r="G192" s="26">
        <v>55287</v>
      </c>
      <c r="H192" s="95">
        <f t="shared" si="0"/>
        <v>7666</v>
      </c>
      <c r="I192" s="12"/>
    </row>
    <row r="193" spans="1:9" ht="15.75">
      <c r="A193" s="14"/>
      <c r="B193" s="15"/>
      <c r="C193" s="37" t="s">
        <v>350</v>
      </c>
      <c r="D193" s="26">
        <v>62953</v>
      </c>
      <c r="E193" s="36"/>
      <c r="F193" s="26">
        <v>62953</v>
      </c>
      <c r="G193" s="26">
        <v>62953</v>
      </c>
      <c r="H193" s="95">
        <f t="shared" si="0"/>
        <v>0</v>
      </c>
      <c r="I193" s="12"/>
    </row>
    <row r="194" spans="1:9" ht="15.75">
      <c r="A194" s="14"/>
      <c r="B194" s="15"/>
      <c r="C194" s="37" t="s">
        <v>351</v>
      </c>
      <c r="D194" s="26">
        <v>60459</v>
      </c>
      <c r="E194" s="36"/>
      <c r="F194" s="26">
        <v>60459</v>
      </c>
      <c r="G194" s="26">
        <v>60459</v>
      </c>
      <c r="H194" s="95">
        <f t="shared" si="0"/>
        <v>2494</v>
      </c>
      <c r="I194" s="12"/>
    </row>
    <row r="195" spans="1:9" ht="15.75">
      <c r="A195" s="14"/>
      <c r="B195" s="15"/>
      <c r="C195" s="37" t="s">
        <v>28</v>
      </c>
      <c r="D195" s="26">
        <v>62953</v>
      </c>
      <c r="E195" s="36"/>
      <c r="F195" s="26">
        <v>62953</v>
      </c>
      <c r="G195" s="26">
        <v>62953</v>
      </c>
      <c r="H195" s="95">
        <f t="shared" si="0"/>
        <v>0</v>
      </c>
      <c r="I195" s="12"/>
    </row>
    <row r="196" spans="1:9" ht="15.75">
      <c r="A196" s="14"/>
      <c r="B196" s="15"/>
      <c r="C196" s="37" t="s">
        <v>29</v>
      </c>
      <c r="D196" s="26">
        <v>62953</v>
      </c>
      <c r="E196" s="36"/>
      <c r="F196" s="26">
        <v>62953</v>
      </c>
      <c r="G196" s="26">
        <v>62953</v>
      </c>
      <c r="H196" s="95">
        <f t="shared" si="0"/>
        <v>0</v>
      </c>
      <c r="I196" s="12"/>
    </row>
    <row r="197" spans="1:9" ht="15.75">
      <c r="A197" s="14"/>
      <c r="B197" s="15"/>
      <c r="C197" s="37" t="s">
        <v>352</v>
      </c>
      <c r="D197" s="26">
        <v>62953</v>
      </c>
      <c r="E197" s="36"/>
      <c r="F197" s="26">
        <v>62953</v>
      </c>
      <c r="G197" s="26">
        <v>62953</v>
      </c>
      <c r="H197" s="95">
        <f t="shared" si="0"/>
        <v>0</v>
      </c>
      <c r="I197" s="12"/>
    </row>
    <row r="198" spans="1:9" ht="15.75">
      <c r="A198" s="14"/>
      <c r="B198" s="15"/>
      <c r="C198" s="37" t="s">
        <v>353</v>
      </c>
      <c r="D198" s="26">
        <v>62953</v>
      </c>
      <c r="E198" s="36"/>
      <c r="F198" s="26">
        <v>62953</v>
      </c>
      <c r="G198" s="26">
        <v>62953</v>
      </c>
      <c r="H198" s="95">
        <f t="shared" si="0"/>
        <v>0</v>
      </c>
      <c r="I198" s="12"/>
    </row>
    <row r="199" spans="1:9" ht="15.75">
      <c r="A199" s="14"/>
      <c r="B199" s="15"/>
      <c r="C199" s="37" t="s">
        <v>354</v>
      </c>
      <c r="D199" s="26">
        <v>50234</v>
      </c>
      <c r="E199" s="36"/>
      <c r="F199" s="26">
        <v>50234</v>
      </c>
      <c r="G199" s="26">
        <v>50234</v>
      </c>
      <c r="H199" s="95">
        <f t="shared" si="0"/>
        <v>12719</v>
      </c>
      <c r="I199" s="12"/>
    </row>
    <row r="200" spans="1:9" ht="15.75">
      <c r="A200" s="14"/>
      <c r="B200" s="15"/>
      <c r="C200" s="37" t="s">
        <v>30</v>
      </c>
      <c r="D200" s="26">
        <v>62953</v>
      </c>
      <c r="E200" s="36"/>
      <c r="F200" s="26">
        <v>62953</v>
      </c>
      <c r="G200" s="26">
        <v>62953</v>
      </c>
      <c r="H200" s="95">
        <f t="shared" si="0"/>
        <v>0</v>
      </c>
      <c r="I200" s="12"/>
    </row>
    <row r="201" spans="1:9" ht="15.75">
      <c r="A201" s="14"/>
      <c r="B201" s="15"/>
      <c r="C201" s="37" t="s">
        <v>71</v>
      </c>
      <c r="D201" s="26">
        <v>62953</v>
      </c>
      <c r="E201" s="36"/>
      <c r="F201" s="26">
        <v>62953</v>
      </c>
      <c r="G201" s="26">
        <v>62953</v>
      </c>
      <c r="H201" s="95">
        <f t="shared" si="0"/>
        <v>0</v>
      </c>
      <c r="I201" s="12"/>
    </row>
    <row r="202" spans="1:9" ht="15.75">
      <c r="A202" s="14"/>
      <c r="B202" s="15"/>
      <c r="C202" s="37" t="s">
        <v>72</v>
      </c>
      <c r="D202" s="26">
        <v>64172</v>
      </c>
      <c r="E202" s="36"/>
      <c r="F202" s="26">
        <v>64172</v>
      </c>
      <c r="G202" s="26">
        <v>64172</v>
      </c>
      <c r="H202" s="95">
        <f t="shared" si="0"/>
        <v>-1219</v>
      </c>
      <c r="I202" s="12"/>
    </row>
    <row r="203" spans="1:9" ht="16.5" customHeight="1">
      <c r="A203" s="14"/>
      <c r="B203" s="15"/>
      <c r="C203" s="37" t="s">
        <v>73</v>
      </c>
      <c r="D203" s="26">
        <v>58550</v>
      </c>
      <c r="E203" s="36"/>
      <c r="F203" s="26">
        <v>58550</v>
      </c>
      <c r="G203" s="26">
        <v>58550</v>
      </c>
      <c r="H203" s="95">
        <f t="shared" si="0"/>
        <v>4403</v>
      </c>
      <c r="I203" s="12"/>
    </row>
    <row r="204" spans="1:9" ht="15.75">
      <c r="A204" s="14"/>
      <c r="B204" s="15"/>
      <c r="C204" s="37" t="s">
        <v>24</v>
      </c>
      <c r="D204" s="26">
        <v>62953</v>
      </c>
      <c r="E204" s="36"/>
      <c r="F204" s="26">
        <v>62953</v>
      </c>
      <c r="G204" s="26">
        <v>62953</v>
      </c>
      <c r="H204" s="95">
        <f t="shared" si="0"/>
        <v>0</v>
      </c>
      <c r="I204" s="12"/>
    </row>
    <row r="205" spans="1:9" ht="15.75">
      <c r="A205" s="14"/>
      <c r="B205" s="15"/>
      <c r="C205" s="37" t="s">
        <v>74</v>
      </c>
      <c r="D205" s="26">
        <v>62953</v>
      </c>
      <c r="E205" s="36"/>
      <c r="F205" s="26">
        <v>62953</v>
      </c>
      <c r="G205" s="26">
        <v>62953</v>
      </c>
      <c r="H205" s="95">
        <f t="shared" si="0"/>
        <v>0</v>
      </c>
      <c r="I205" s="12"/>
    </row>
    <row r="206" spans="1:9" ht="15.75">
      <c r="A206" s="14"/>
      <c r="B206" s="15"/>
      <c r="C206" s="37" t="s">
        <v>355</v>
      </c>
      <c r="D206" s="26">
        <v>80096</v>
      </c>
      <c r="E206" s="36"/>
      <c r="F206" s="26">
        <v>80096</v>
      </c>
      <c r="G206" s="26">
        <v>80096</v>
      </c>
      <c r="H206" s="95">
        <f t="shared" si="0"/>
        <v>-17143</v>
      </c>
      <c r="I206" s="12"/>
    </row>
    <row r="207" spans="1:9" ht="15.75">
      <c r="A207" s="14"/>
      <c r="B207" s="15"/>
      <c r="C207" s="37" t="s">
        <v>356</v>
      </c>
      <c r="D207" s="26">
        <v>62953</v>
      </c>
      <c r="E207" s="36"/>
      <c r="F207" s="26">
        <v>62953</v>
      </c>
      <c r="G207" s="26">
        <v>62953</v>
      </c>
      <c r="H207" s="95">
        <f t="shared" si="0"/>
        <v>0</v>
      </c>
      <c r="I207" s="12"/>
    </row>
    <row r="208" spans="1:9" ht="15.75">
      <c r="A208" s="14"/>
      <c r="B208" s="15"/>
      <c r="C208" s="37" t="s">
        <v>357</v>
      </c>
      <c r="D208" s="26">
        <v>62953</v>
      </c>
      <c r="E208" s="36"/>
      <c r="F208" s="26">
        <v>62953</v>
      </c>
      <c r="G208" s="26">
        <v>62953</v>
      </c>
      <c r="H208" s="95">
        <f t="shared" si="0"/>
        <v>0</v>
      </c>
      <c r="I208" s="12"/>
    </row>
    <row r="209" spans="1:9" ht="15.75">
      <c r="A209" s="14"/>
      <c r="B209" s="15"/>
      <c r="C209" s="37" t="s">
        <v>358</v>
      </c>
      <c r="D209" s="26">
        <v>62953</v>
      </c>
      <c r="E209" s="36"/>
      <c r="F209" s="26">
        <v>62953</v>
      </c>
      <c r="G209" s="26">
        <v>62953</v>
      </c>
      <c r="H209" s="95">
        <f t="shared" si="0"/>
        <v>0</v>
      </c>
      <c r="I209" s="12"/>
    </row>
    <row r="210" spans="1:9" ht="15.75">
      <c r="A210" s="14"/>
      <c r="B210" s="15"/>
      <c r="C210" s="37" t="s">
        <v>359</v>
      </c>
      <c r="D210" s="26">
        <v>62953</v>
      </c>
      <c r="E210" s="36"/>
      <c r="F210" s="26">
        <v>62953</v>
      </c>
      <c r="G210" s="26">
        <v>62953</v>
      </c>
      <c r="H210" s="95">
        <f t="shared" si="0"/>
        <v>0</v>
      </c>
      <c r="I210" s="12"/>
    </row>
    <row r="211" spans="1:9" ht="15.75">
      <c r="A211" s="14"/>
      <c r="B211" s="15"/>
      <c r="C211" s="37" t="s">
        <v>368</v>
      </c>
      <c r="D211" s="26">
        <v>62953</v>
      </c>
      <c r="E211" s="36"/>
      <c r="F211" s="26">
        <v>62953</v>
      </c>
      <c r="G211" s="26">
        <v>62953</v>
      </c>
      <c r="H211" s="95">
        <f t="shared" si="0"/>
        <v>0</v>
      </c>
      <c r="I211" s="12"/>
    </row>
    <row r="212" spans="1:9" ht="15.75">
      <c r="A212" s="14"/>
      <c r="B212" s="15"/>
      <c r="C212" s="37" t="s">
        <v>361</v>
      </c>
      <c r="D212" s="26">
        <v>62953</v>
      </c>
      <c r="E212" s="36"/>
      <c r="F212" s="26">
        <v>62953</v>
      </c>
      <c r="G212" s="26">
        <v>62953</v>
      </c>
      <c r="H212" s="95">
        <f t="shared" si="0"/>
        <v>0</v>
      </c>
      <c r="I212" s="12"/>
    </row>
    <row r="213" spans="1:9" ht="15.75">
      <c r="A213" s="14"/>
      <c r="B213" s="15"/>
      <c r="C213" s="37" t="s">
        <v>362</v>
      </c>
      <c r="D213" s="26">
        <v>62953</v>
      </c>
      <c r="E213" s="36"/>
      <c r="F213" s="26">
        <v>62953</v>
      </c>
      <c r="G213" s="26">
        <v>62953</v>
      </c>
      <c r="H213" s="95">
        <f t="shared" si="0"/>
        <v>0</v>
      </c>
      <c r="I213" s="12"/>
    </row>
    <row r="214" spans="1:9" ht="15.75">
      <c r="A214" s="14"/>
      <c r="B214" s="15"/>
      <c r="C214" s="37" t="s">
        <v>365</v>
      </c>
      <c r="D214" s="26">
        <v>62953</v>
      </c>
      <c r="E214" s="36"/>
      <c r="F214" s="26">
        <v>62953</v>
      </c>
      <c r="G214" s="26">
        <v>62953</v>
      </c>
      <c r="H214" s="95">
        <f t="shared" si="0"/>
        <v>0</v>
      </c>
      <c r="I214" s="12"/>
    </row>
    <row r="215" spans="1:9" ht="15.75">
      <c r="A215" s="14"/>
      <c r="B215" s="15"/>
      <c r="C215" s="37" t="s">
        <v>363</v>
      </c>
      <c r="D215" s="26">
        <v>51221</v>
      </c>
      <c r="E215" s="36"/>
      <c r="F215" s="26">
        <v>51221</v>
      </c>
      <c r="G215" s="26">
        <v>51221</v>
      </c>
      <c r="H215" s="95">
        <f t="shared" si="0"/>
        <v>11732</v>
      </c>
      <c r="I215" s="12"/>
    </row>
    <row r="216" spans="1:9" ht="15.75">
      <c r="A216" s="14"/>
      <c r="B216" s="15"/>
      <c r="C216" s="37" t="s">
        <v>364</v>
      </c>
      <c r="D216" s="26">
        <v>62953</v>
      </c>
      <c r="E216" s="36"/>
      <c r="F216" s="26">
        <v>62953</v>
      </c>
      <c r="G216" s="26">
        <v>62953</v>
      </c>
      <c r="H216" s="95">
        <f t="shared" si="0"/>
        <v>0</v>
      </c>
      <c r="I216" s="12"/>
    </row>
    <row r="217" spans="1:9" ht="15.75">
      <c r="A217" s="14"/>
      <c r="B217" s="15"/>
      <c r="C217" s="37" t="s">
        <v>366</v>
      </c>
      <c r="D217" s="26">
        <v>62953</v>
      </c>
      <c r="E217" s="36"/>
      <c r="F217" s="26">
        <v>62953</v>
      </c>
      <c r="G217" s="26">
        <v>62953</v>
      </c>
      <c r="H217" s="95">
        <f t="shared" si="0"/>
        <v>0</v>
      </c>
      <c r="I217" s="12"/>
    </row>
    <row r="218" spans="1:9" ht="15.75">
      <c r="A218" s="14"/>
      <c r="B218" s="15"/>
      <c r="C218" s="37" t="s">
        <v>367</v>
      </c>
      <c r="D218" s="26">
        <v>51023</v>
      </c>
      <c r="E218" s="36"/>
      <c r="F218" s="26">
        <v>51023</v>
      </c>
      <c r="G218" s="26">
        <v>51023</v>
      </c>
      <c r="H218" s="95">
        <f t="shared" si="0"/>
        <v>11930</v>
      </c>
      <c r="I218" s="12"/>
    </row>
    <row r="219" spans="1:9" ht="15.75">
      <c r="A219" s="14"/>
      <c r="B219" s="15"/>
      <c r="C219" s="37" t="s">
        <v>369</v>
      </c>
      <c r="D219" s="26">
        <v>62953</v>
      </c>
      <c r="E219" s="36"/>
      <c r="F219" s="26">
        <v>62953</v>
      </c>
      <c r="G219" s="26">
        <v>62953</v>
      </c>
      <c r="H219" s="95">
        <f t="shared" si="0"/>
        <v>0</v>
      </c>
      <c r="I219" s="12"/>
    </row>
    <row r="220" spans="1:9" ht="15.75">
      <c r="A220" s="14"/>
      <c r="B220" s="15"/>
      <c r="C220" s="37" t="s">
        <v>370</v>
      </c>
      <c r="D220" s="26">
        <v>62953</v>
      </c>
      <c r="E220" s="36"/>
      <c r="F220" s="26">
        <v>62953</v>
      </c>
      <c r="G220" s="26">
        <v>62953</v>
      </c>
      <c r="H220" s="95">
        <f t="shared" si="0"/>
        <v>0</v>
      </c>
      <c r="I220" s="12"/>
    </row>
    <row r="221" spans="1:9" ht="15.75">
      <c r="A221" s="14"/>
      <c r="B221" s="15"/>
      <c r="C221" s="37" t="s">
        <v>392</v>
      </c>
      <c r="D221" s="26">
        <v>76470</v>
      </c>
      <c r="E221" s="36"/>
      <c r="F221" s="26">
        <v>76470</v>
      </c>
      <c r="G221" s="26">
        <v>76470</v>
      </c>
      <c r="H221" s="95">
        <f t="shared" si="0"/>
        <v>-13517</v>
      </c>
      <c r="I221" s="12"/>
    </row>
    <row r="222" spans="1:9" ht="15.75">
      <c r="A222" s="14"/>
      <c r="B222" s="15"/>
      <c r="C222" s="37" t="s">
        <v>371</v>
      </c>
      <c r="D222" s="26">
        <v>83593</v>
      </c>
      <c r="E222" s="36"/>
      <c r="F222" s="26">
        <v>83593</v>
      </c>
      <c r="G222" s="26">
        <v>83593</v>
      </c>
      <c r="H222" s="95">
        <f t="shared" si="0"/>
        <v>-20640</v>
      </c>
      <c r="I222" s="12"/>
    </row>
    <row r="223" spans="1:9" ht="15.75">
      <c r="A223" s="14"/>
      <c r="B223" s="15"/>
      <c r="C223" s="37" t="s">
        <v>372</v>
      </c>
      <c r="D223" s="26">
        <v>62953</v>
      </c>
      <c r="E223" s="36"/>
      <c r="F223" s="26">
        <v>62953</v>
      </c>
      <c r="G223" s="26">
        <v>62953</v>
      </c>
      <c r="H223" s="95">
        <f t="shared" si="0"/>
        <v>0</v>
      </c>
      <c r="I223" s="12"/>
    </row>
    <row r="224" spans="1:9" ht="15.75">
      <c r="A224" s="14"/>
      <c r="B224" s="15"/>
      <c r="C224" s="37" t="s">
        <v>373</v>
      </c>
      <c r="D224" s="26">
        <v>78787</v>
      </c>
      <c r="E224" s="36"/>
      <c r="F224" s="26">
        <v>78787</v>
      </c>
      <c r="G224" s="26">
        <v>78787</v>
      </c>
      <c r="H224" s="95">
        <f t="shared" si="0"/>
        <v>-15834</v>
      </c>
      <c r="I224" s="12"/>
    </row>
    <row r="225" spans="1:9" ht="15.75">
      <c r="A225" s="14"/>
      <c r="B225" s="15"/>
      <c r="C225" s="37" t="s">
        <v>12</v>
      </c>
      <c r="D225" s="26">
        <v>62953</v>
      </c>
      <c r="E225" s="36"/>
      <c r="F225" s="26">
        <v>62953</v>
      </c>
      <c r="G225" s="26">
        <v>62953</v>
      </c>
      <c r="H225" s="95">
        <f t="shared" si="0"/>
        <v>0</v>
      </c>
      <c r="I225" s="12"/>
    </row>
    <row r="226" spans="1:9" ht="15.75">
      <c r="A226" s="14"/>
      <c r="B226" s="15"/>
      <c r="C226" s="37" t="s">
        <v>33</v>
      </c>
      <c r="D226" s="26">
        <v>45839</v>
      </c>
      <c r="E226" s="36"/>
      <c r="F226" s="26">
        <v>45839</v>
      </c>
      <c r="G226" s="26">
        <v>45839</v>
      </c>
      <c r="H226" s="95">
        <f t="shared" si="0"/>
        <v>17114</v>
      </c>
      <c r="I226" s="12"/>
    </row>
    <row r="227" spans="1:9" ht="15.75">
      <c r="A227" s="14"/>
      <c r="B227" s="15"/>
      <c r="C227" s="37" t="s">
        <v>13</v>
      </c>
      <c r="D227" s="26">
        <v>70895</v>
      </c>
      <c r="E227" s="36"/>
      <c r="F227" s="26">
        <v>70895</v>
      </c>
      <c r="G227" s="26">
        <v>70895</v>
      </c>
      <c r="H227" s="95">
        <f t="shared" si="0"/>
        <v>-7942</v>
      </c>
      <c r="I227" s="12"/>
    </row>
    <row r="228" spans="1:9" ht="15.75">
      <c r="A228" s="14"/>
      <c r="B228" s="15"/>
      <c r="C228" s="37" t="s">
        <v>15</v>
      </c>
      <c r="D228" s="26">
        <v>62953</v>
      </c>
      <c r="E228" s="36"/>
      <c r="F228" s="26">
        <v>62953</v>
      </c>
      <c r="G228" s="26">
        <v>62953</v>
      </c>
      <c r="H228" s="95">
        <f t="shared" si="0"/>
        <v>0</v>
      </c>
      <c r="I228" s="12"/>
    </row>
    <row r="229" spans="1:9" ht="15.75">
      <c r="A229" s="14"/>
      <c r="B229" s="15"/>
      <c r="C229" s="37" t="s">
        <v>16</v>
      </c>
      <c r="D229" s="26">
        <v>62953</v>
      </c>
      <c r="E229" s="36"/>
      <c r="F229" s="26">
        <v>62953</v>
      </c>
      <c r="G229" s="26">
        <v>62953</v>
      </c>
      <c r="H229" s="95">
        <f t="shared" si="0"/>
        <v>0</v>
      </c>
      <c r="I229" s="12"/>
    </row>
    <row r="230" spans="1:9" ht="15.75">
      <c r="A230" s="14"/>
      <c r="B230" s="15"/>
      <c r="C230" s="37" t="s">
        <v>19</v>
      </c>
      <c r="D230" s="26">
        <v>62953</v>
      </c>
      <c r="E230" s="36"/>
      <c r="F230" s="26">
        <v>62953</v>
      </c>
      <c r="G230" s="26">
        <v>62953</v>
      </c>
      <c r="H230" s="95">
        <f t="shared" si="0"/>
        <v>0</v>
      </c>
      <c r="I230" s="12"/>
    </row>
    <row r="231" spans="1:9" ht="15.75">
      <c r="A231" s="14"/>
      <c r="B231" s="15"/>
      <c r="C231" s="37" t="s">
        <v>20</v>
      </c>
      <c r="D231" s="26">
        <v>62953</v>
      </c>
      <c r="E231" s="36"/>
      <c r="F231" s="26">
        <v>62953</v>
      </c>
      <c r="G231" s="26">
        <v>62953</v>
      </c>
      <c r="H231" s="95">
        <f t="shared" si="0"/>
        <v>0</v>
      </c>
      <c r="I231" s="12"/>
    </row>
    <row r="232" spans="1:9" ht="15.75">
      <c r="A232" s="14"/>
      <c r="B232" s="15"/>
      <c r="C232" s="37" t="s">
        <v>21</v>
      </c>
      <c r="D232" s="26">
        <v>62953</v>
      </c>
      <c r="E232" s="36"/>
      <c r="F232" s="26">
        <v>62953</v>
      </c>
      <c r="G232" s="26">
        <v>62953</v>
      </c>
      <c r="H232" s="95">
        <f t="shared" si="0"/>
        <v>0</v>
      </c>
      <c r="I232" s="12"/>
    </row>
    <row r="233" spans="1:9" ht="15.75">
      <c r="A233" s="14"/>
      <c r="B233" s="15"/>
      <c r="C233" s="37" t="s">
        <v>22</v>
      </c>
      <c r="D233" s="26">
        <v>62953</v>
      </c>
      <c r="E233" s="36"/>
      <c r="F233" s="26">
        <v>62953</v>
      </c>
      <c r="G233" s="26">
        <v>62953</v>
      </c>
      <c r="H233" s="95">
        <f t="shared" si="0"/>
        <v>0</v>
      </c>
      <c r="I233" s="12"/>
    </row>
    <row r="234" spans="1:9" ht="15.75">
      <c r="A234" s="14"/>
      <c r="B234" s="15"/>
      <c r="C234" s="37" t="s">
        <v>23</v>
      </c>
      <c r="D234" s="26">
        <v>62953</v>
      </c>
      <c r="E234" s="36"/>
      <c r="F234" s="26">
        <v>62953</v>
      </c>
      <c r="G234" s="26">
        <v>62953</v>
      </c>
      <c r="H234" s="95">
        <f t="shared" si="0"/>
        <v>0</v>
      </c>
      <c r="I234" s="12"/>
    </row>
    <row r="235" spans="1:9" ht="15.75">
      <c r="A235" s="14"/>
      <c r="B235" s="15"/>
      <c r="C235" s="37" t="s">
        <v>25</v>
      </c>
      <c r="D235" s="26">
        <v>62953</v>
      </c>
      <c r="E235" s="36"/>
      <c r="F235" s="26">
        <v>62953</v>
      </c>
      <c r="G235" s="26">
        <v>62953</v>
      </c>
      <c r="H235" s="95">
        <f t="shared" si="0"/>
        <v>0</v>
      </c>
      <c r="I235" s="12"/>
    </row>
    <row r="236" spans="1:9" ht="15.75">
      <c r="A236" s="14"/>
      <c r="B236" s="15"/>
      <c r="C236" s="37" t="s">
        <v>27</v>
      </c>
      <c r="D236" s="26">
        <v>62953</v>
      </c>
      <c r="E236" s="36"/>
      <c r="F236" s="26">
        <v>62953</v>
      </c>
      <c r="G236" s="26">
        <v>62953</v>
      </c>
      <c r="H236" s="95">
        <f t="shared" si="0"/>
        <v>0</v>
      </c>
      <c r="I236" s="12"/>
    </row>
    <row r="237" spans="1:9" ht="15.75">
      <c r="A237" s="14"/>
      <c r="B237" s="15"/>
      <c r="C237" s="37" t="s">
        <v>31</v>
      </c>
      <c r="D237" s="26">
        <v>62953</v>
      </c>
      <c r="E237" s="36"/>
      <c r="F237" s="26">
        <v>62953</v>
      </c>
      <c r="G237" s="26">
        <v>62953</v>
      </c>
      <c r="H237" s="95">
        <f>62953-G237</f>
        <v>0</v>
      </c>
      <c r="I237" s="12"/>
    </row>
    <row r="238" spans="1:9" ht="15.75">
      <c r="A238" s="14"/>
      <c r="B238" s="15"/>
      <c r="C238" s="37" t="s">
        <v>32</v>
      </c>
      <c r="D238" s="26">
        <v>62953</v>
      </c>
      <c r="E238" s="36"/>
      <c r="F238" s="26">
        <v>62953</v>
      </c>
      <c r="G238" s="26">
        <v>62953</v>
      </c>
      <c r="H238" s="95">
        <f>62953-G238</f>
        <v>0</v>
      </c>
      <c r="I238" s="12"/>
    </row>
    <row r="239" spans="1:9" ht="15.75">
      <c r="A239" s="14"/>
      <c r="B239" s="15"/>
      <c r="C239" s="37" t="s">
        <v>11</v>
      </c>
      <c r="D239" s="26">
        <v>62953</v>
      </c>
      <c r="E239" s="36"/>
      <c r="F239" s="26">
        <v>62953</v>
      </c>
      <c r="G239" s="26">
        <v>62953</v>
      </c>
      <c r="H239" s="95">
        <f>62953-G239</f>
        <v>0</v>
      </c>
      <c r="I239" s="12"/>
    </row>
    <row r="240" spans="1:9" ht="15.75">
      <c r="A240" s="14"/>
      <c r="B240" s="15"/>
      <c r="C240" s="37" t="s">
        <v>34</v>
      </c>
      <c r="D240" s="26">
        <v>62943</v>
      </c>
      <c r="E240" s="36"/>
      <c r="F240" s="26">
        <v>62943</v>
      </c>
      <c r="G240" s="26">
        <v>62943</v>
      </c>
      <c r="H240" s="95"/>
      <c r="I240" s="12"/>
    </row>
    <row r="241" spans="1:9" ht="15.75">
      <c r="A241" s="14"/>
      <c r="B241" s="15"/>
      <c r="C241" s="37" t="s">
        <v>406</v>
      </c>
      <c r="D241" s="26">
        <v>62953</v>
      </c>
      <c r="E241" s="36"/>
      <c r="F241" s="26">
        <v>62953</v>
      </c>
      <c r="G241" s="26">
        <v>62953</v>
      </c>
      <c r="H241" s="95">
        <f>62953-G241</f>
        <v>0</v>
      </c>
      <c r="I241" s="12"/>
    </row>
    <row r="242" spans="1:9" ht="21" customHeight="1">
      <c r="A242" s="14">
        <v>150101</v>
      </c>
      <c r="B242" s="15" t="s">
        <v>94</v>
      </c>
      <c r="C242" s="37" t="s">
        <v>203</v>
      </c>
      <c r="D242" s="17">
        <v>1487500</v>
      </c>
      <c r="E242" s="18"/>
      <c r="F242" s="17">
        <v>1487500</v>
      </c>
      <c r="G242" s="16">
        <v>1487500</v>
      </c>
      <c r="I242" s="12"/>
    </row>
    <row r="243" spans="1:9" ht="21" customHeight="1">
      <c r="A243" s="14"/>
      <c r="B243" s="15"/>
      <c r="C243" s="37" t="s">
        <v>389</v>
      </c>
      <c r="D243" s="17"/>
      <c r="E243" s="18"/>
      <c r="F243" s="17"/>
      <c r="G243" s="16"/>
      <c r="I243" s="12"/>
    </row>
    <row r="244" spans="1:9" ht="15.75">
      <c r="A244" s="14"/>
      <c r="B244" s="15"/>
      <c r="C244" s="37" t="s">
        <v>374</v>
      </c>
      <c r="D244" s="17">
        <v>42500</v>
      </c>
      <c r="E244" s="26"/>
      <c r="F244" s="17">
        <v>42500</v>
      </c>
      <c r="G244" s="17">
        <v>42500</v>
      </c>
      <c r="I244" s="12"/>
    </row>
    <row r="245" spans="1:9" ht="15.75">
      <c r="A245" s="14"/>
      <c r="B245" s="15"/>
      <c r="C245" s="37" t="s">
        <v>375</v>
      </c>
      <c r="D245" s="17">
        <v>42500</v>
      </c>
      <c r="E245" s="26"/>
      <c r="F245" s="17">
        <v>42500</v>
      </c>
      <c r="G245" s="17">
        <v>42500</v>
      </c>
      <c r="I245" s="12"/>
    </row>
    <row r="246" spans="1:9" ht="15.75">
      <c r="A246" s="14"/>
      <c r="B246" s="15"/>
      <c r="C246" s="37" t="s">
        <v>376</v>
      </c>
      <c r="D246" s="17">
        <v>42500</v>
      </c>
      <c r="E246" s="26"/>
      <c r="F246" s="17">
        <v>42500</v>
      </c>
      <c r="G246" s="17">
        <v>42500</v>
      </c>
      <c r="I246" s="12"/>
    </row>
    <row r="247" spans="1:9" ht="15.75">
      <c r="A247" s="14"/>
      <c r="B247" s="15"/>
      <c r="C247" s="37" t="s">
        <v>377</v>
      </c>
      <c r="D247" s="17">
        <v>42500</v>
      </c>
      <c r="E247" s="26"/>
      <c r="F247" s="17">
        <v>42500</v>
      </c>
      <c r="G247" s="17">
        <v>42500</v>
      </c>
      <c r="I247" s="12"/>
    </row>
    <row r="248" spans="1:9" ht="15.75">
      <c r="A248" s="14"/>
      <c r="B248" s="15"/>
      <c r="C248" s="37" t="s">
        <v>407</v>
      </c>
      <c r="D248" s="17">
        <v>42500</v>
      </c>
      <c r="E248" s="26"/>
      <c r="F248" s="17">
        <v>42500</v>
      </c>
      <c r="G248" s="17">
        <v>42500</v>
      </c>
      <c r="I248" s="12"/>
    </row>
    <row r="249" spans="1:9" ht="15.75">
      <c r="A249" s="14"/>
      <c r="B249" s="15"/>
      <c r="C249" s="37" t="s">
        <v>2</v>
      </c>
      <c r="D249" s="17">
        <v>42500</v>
      </c>
      <c r="E249" s="26"/>
      <c r="F249" s="17">
        <v>42500</v>
      </c>
      <c r="G249" s="17">
        <v>42500</v>
      </c>
      <c r="I249" s="12"/>
    </row>
    <row r="250" spans="1:9" ht="15.75">
      <c r="A250" s="14"/>
      <c r="B250" s="15"/>
      <c r="C250" s="37" t="s">
        <v>75</v>
      </c>
      <c r="D250" s="17">
        <v>42500</v>
      </c>
      <c r="E250" s="26"/>
      <c r="F250" s="17">
        <v>42500</v>
      </c>
      <c r="G250" s="17">
        <v>42500</v>
      </c>
      <c r="I250" s="12"/>
    </row>
    <row r="251" spans="1:9" ht="15.75">
      <c r="A251" s="14"/>
      <c r="B251" s="15"/>
      <c r="C251" s="37" t="s">
        <v>408</v>
      </c>
      <c r="D251" s="17">
        <v>42500</v>
      </c>
      <c r="E251" s="26"/>
      <c r="F251" s="17">
        <v>42500</v>
      </c>
      <c r="G251" s="17">
        <v>42500</v>
      </c>
      <c r="I251" s="12"/>
    </row>
    <row r="252" spans="1:9" ht="15.75">
      <c r="A252" s="14"/>
      <c r="B252" s="15"/>
      <c r="C252" s="37" t="s">
        <v>76</v>
      </c>
      <c r="D252" s="17">
        <v>42500</v>
      </c>
      <c r="E252" s="26"/>
      <c r="F252" s="17">
        <v>42500</v>
      </c>
      <c r="G252" s="17">
        <v>42500</v>
      </c>
      <c r="I252" s="12"/>
    </row>
    <row r="253" spans="1:9" ht="15.75">
      <c r="A253" s="14"/>
      <c r="B253" s="15"/>
      <c r="C253" s="37" t="s">
        <v>378</v>
      </c>
      <c r="D253" s="17">
        <v>42500</v>
      </c>
      <c r="E253" s="26"/>
      <c r="F253" s="17">
        <v>42500</v>
      </c>
      <c r="G253" s="17">
        <v>42500</v>
      </c>
      <c r="I253" s="12"/>
    </row>
    <row r="254" spans="1:9" ht="15.75">
      <c r="A254" s="14"/>
      <c r="B254" s="15"/>
      <c r="C254" s="37" t="s">
        <v>379</v>
      </c>
      <c r="D254" s="17">
        <v>42500</v>
      </c>
      <c r="E254" s="26"/>
      <c r="F254" s="17">
        <v>42500</v>
      </c>
      <c r="G254" s="17">
        <v>42500</v>
      </c>
      <c r="I254" s="12"/>
    </row>
    <row r="255" spans="1:9" ht="15.75">
      <c r="A255" s="14"/>
      <c r="B255" s="15"/>
      <c r="C255" s="37" t="s">
        <v>380</v>
      </c>
      <c r="D255" s="17">
        <v>42500</v>
      </c>
      <c r="E255" s="26"/>
      <c r="F255" s="17">
        <v>42500</v>
      </c>
      <c r="G255" s="17">
        <v>42500</v>
      </c>
      <c r="I255" s="12"/>
    </row>
    <row r="256" spans="1:9" ht="15.75">
      <c r="A256" s="14"/>
      <c r="B256" s="15"/>
      <c r="C256" s="37" t="s">
        <v>381</v>
      </c>
      <c r="D256" s="17">
        <v>42500</v>
      </c>
      <c r="E256" s="26"/>
      <c r="F256" s="17">
        <v>42500</v>
      </c>
      <c r="G256" s="17">
        <v>42500</v>
      </c>
      <c r="I256" s="12"/>
    </row>
    <row r="257" spans="1:9" ht="15.75">
      <c r="A257" s="14"/>
      <c r="B257" s="15"/>
      <c r="C257" s="37" t="s">
        <v>382</v>
      </c>
      <c r="D257" s="17">
        <v>42500</v>
      </c>
      <c r="E257" s="26"/>
      <c r="F257" s="17">
        <v>42500</v>
      </c>
      <c r="G257" s="17">
        <v>42500</v>
      </c>
      <c r="I257" s="12"/>
    </row>
    <row r="258" spans="1:9" ht="15.75">
      <c r="A258" s="14"/>
      <c r="B258" s="15"/>
      <c r="C258" s="37" t="s">
        <v>383</v>
      </c>
      <c r="D258" s="17">
        <v>42500</v>
      </c>
      <c r="E258" s="26"/>
      <c r="F258" s="17">
        <v>42500</v>
      </c>
      <c r="G258" s="17">
        <v>42500</v>
      </c>
      <c r="I258" s="12"/>
    </row>
    <row r="259" spans="1:9" ht="15.75">
      <c r="A259" s="14"/>
      <c r="B259" s="15"/>
      <c r="C259" s="37" t="s">
        <v>384</v>
      </c>
      <c r="D259" s="17">
        <v>42500</v>
      </c>
      <c r="E259" s="26"/>
      <c r="F259" s="17">
        <v>42500</v>
      </c>
      <c r="G259" s="17">
        <v>42500</v>
      </c>
      <c r="I259" s="12"/>
    </row>
    <row r="260" spans="1:9" ht="15.75">
      <c r="A260" s="14"/>
      <c r="B260" s="15"/>
      <c r="C260" s="37" t="s">
        <v>385</v>
      </c>
      <c r="D260" s="17">
        <v>42500</v>
      </c>
      <c r="E260" s="26"/>
      <c r="F260" s="17">
        <v>42500</v>
      </c>
      <c r="G260" s="17">
        <v>42500</v>
      </c>
      <c r="I260" s="12"/>
    </row>
    <row r="261" spans="1:9" ht="15.75">
      <c r="A261" s="14"/>
      <c r="B261" s="15"/>
      <c r="C261" s="37" t="s">
        <v>386</v>
      </c>
      <c r="D261" s="17">
        <v>42500</v>
      </c>
      <c r="E261" s="26"/>
      <c r="F261" s="17">
        <v>42500</v>
      </c>
      <c r="G261" s="17">
        <v>42500</v>
      </c>
      <c r="I261" s="12"/>
    </row>
    <row r="262" spans="1:9" ht="15.75">
      <c r="A262" s="14"/>
      <c r="B262" s="15"/>
      <c r="C262" s="37" t="s">
        <v>387</v>
      </c>
      <c r="D262" s="17">
        <v>42500</v>
      </c>
      <c r="E262" s="26"/>
      <c r="F262" s="17">
        <v>42500</v>
      </c>
      <c r="G262" s="17">
        <v>42500</v>
      </c>
      <c r="I262" s="12"/>
    </row>
    <row r="263" spans="1:9" ht="15.75">
      <c r="A263" s="14"/>
      <c r="B263" s="15"/>
      <c r="C263" s="37" t="s">
        <v>450</v>
      </c>
      <c r="D263" s="17">
        <v>42500</v>
      </c>
      <c r="E263" s="26"/>
      <c r="F263" s="17">
        <v>42500</v>
      </c>
      <c r="G263" s="17">
        <v>42500</v>
      </c>
      <c r="I263" s="12"/>
    </row>
    <row r="264" spans="1:9" ht="15.75">
      <c r="A264" s="14"/>
      <c r="B264" s="15"/>
      <c r="C264" s="37" t="s">
        <v>451</v>
      </c>
      <c r="D264" s="17">
        <v>42500</v>
      </c>
      <c r="E264" s="26"/>
      <c r="F264" s="17">
        <v>42500</v>
      </c>
      <c r="G264" s="17">
        <v>42500</v>
      </c>
      <c r="I264" s="12"/>
    </row>
    <row r="265" spans="1:9" ht="15.75">
      <c r="A265" s="14"/>
      <c r="B265" s="15"/>
      <c r="C265" s="37" t="s">
        <v>0</v>
      </c>
      <c r="D265" s="17">
        <v>42500</v>
      </c>
      <c r="E265" s="26"/>
      <c r="F265" s="17">
        <v>42500</v>
      </c>
      <c r="G265" s="17">
        <v>42500</v>
      </c>
      <c r="I265" s="12"/>
    </row>
    <row r="266" spans="1:9" ht="15.75">
      <c r="A266" s="14"/>
      <c r="B266" s="15"/>
      <c r="C266" s="37" t="s">
        <v>288</v>
      </c>
      <c r="D266" s="17">
        <v>42500</v>
      </c>
      <c r="E266" s="26"/>
      <c r="F266" s="17">
        <v>42500</v>
      </c>
      <c r="G266" s="17">
        <v>42500</v>
      </c>
      <c r="I266" s="12"/>
    </row>
    <row r="267" spans="1:9" ht="15.75">
      <c r="A267" s="14"/>
      <c r="B267" s="15"/>
      <c r="C267" s="37" t="s">
        <v>1</v>
      </c>
      <c r="D267" s="17">
        <v>42500</v>
      </c>
      <c r="E267" s="26"/>
      <c r="F267" s="17">
        <v>42500</v>
      </c>
      <c r="G267" s="17">
        <v>42500</v>
      </c>
      <c r="I267" s="12"/>
    </row>
    <row r="268" spans="1:9" ht="15.75">
      <c r="A268" s="14"/>
      <c r="B268" s="15"/>
      <c r="C268" s="37" t="s">
        <v>3</v>
      </c>
      <c r="D268" s="17">
        <v>42500</v>
      </c>
      <c r="E268" s="26"/>
      <c r="F268" s="17">
        <v>42500</v>
      </c>
      <c r="G268" s="17">
        <v>42500</v>
      </c>
      <c r="I268" s="12"/>
    </row>
    <row r="269" spans="1:9" ht="15.75">
      <c r="A269" s="14"/>
      <c r="B269" s="15"/>
      <c r="C269" s="37" t="s">
        <v>4</v>
      </c>
      <c r="D269" s="17">
        <v>42500</v>
      </c>
      <c r="E269" s="26"/>
      <c r="F269" s="17">
        <v>42500</v>
      </c>
      <c r="G269" s="17">
        <v>42500</v>
      </c>
      <c r="I269" s="12"/>
    </row>
    <row r="270" spans="1:9" ht="15.75">
      <c r="A270" s="14"/>
      <c r="B270" s="15"/>
      <c r="C270" s="37" t="s">
        <v>5</v>
      </c>
      <c r="D270" s="17">
        <v>42500</v>
      </c>
      <c r="E270" s="26"/>
      <c r="F270" s="17">
        <v>42500</v>
      </c>
      <c r="G270" s="17">
        <v>42500</v>
      </c>
      <c r="I270" s="12"/>
    </row>
    <row r="271" spans="1:9" ht="15.75">
      <c r="A271" s="14"/>
      <c r="B271" s="15"/>
      <c r="C271" s="37" t="s">
        <v>6</v>
      </c>
      <c r="D271" s="17">
        <v>42500</v>
      </c>
      <c r="E271" s="26"/>
      <c r="F271" s="17">
        <v>42500</v>
      </c>
      <c r="G271" s="17">
        <v>42500</v>
      </c>
      <c r="I271" s="12"/>
    </row>
    <row r="272" spans="1:9" ht="15.75">
      <c r="A272" s="14"/>
      <c r="B272" s="15"/>
      <c r="C272" s="37" t="s">
        <v>7</v>
      </c>
      <c r="D272" s="17">
        <v>42500</v>
      </c>
      <c r="E272" s="26"/>
      <c r="F272" s="17">
        <v>42500</v>
      </c>
      <c r="G272" s="17">
        <v>42500</v>
      </c>
      <c r="I272" s="12"/>
    </row>
    <row r="273" spans="1:9" ht="15.75">
      <c r="A273" s="14"/>
      <c r="B273" s="15"/>
      <c r="C273" s="37" t="s">
        <v>9</v>
      </c>
      <c r="D273" s="17">
        <v>42500</v>
      </c>
      <c r="E273" s="26"/>
      <c r="F273" s="17">
        <v>42500</v>
      </c>
      <c r="G273" s="17">
        <v>42500</v>
      </c>
      <c r="I273" s="12"/>
    </row>
    <row r="274" spans="1:9" ht="15.75">
      <c r="A274" s="14"/>
      <c r="B274" s="15"/>
      <c r="C274" s="37" t="s">
        <v>8</v>
      </c>
      <c r="D274" s="17">
        <v>42500</v>
      </c>
      <c r="E274" s="26"/>
      <c r="F274" s="17">
        <v>42500</v>
      </c>
      <c r="G274" s="17">
        <v>42500</v>
      </c>
      <c r="I274" s="12"/>
    </row>
    <row r="275" spans="1:9" ht="15.75">
      <c r="A275" s="14"/>
      <c r="B275" s="15"/>
      <c r="C275" s="37" t="s">
        <v>10</v>
      </c>
      <c r="D275" s="17">
        <v>42500</v>
      </c>
      <c r="E275" s="26"/>
      <c r="F275" s="17">
        <v>42500</v>
      </c>
      <c r="G275" s="17">
        <v>42500</v>
      </c>
      <c r="I275" s="12"/>
    </row>
    <row r="276" spans="1:9" ht="15.75">
      <c r="A276" s="14"/>
      <c r="B276" s="15"/>
      <c r="C276" s="37" t="s">
        <v>11</v>
      </c>
      <c r="D276" s="17">
        <v>42500</v>
      </c>
      <c r="E276" s="26"/>
      <c r="F276" s="17">
        <v>42500</v>
      </c>
      <c r="G276" s="17">
        <v>42500</v>
      </c>
      <c r="I276" s="12"/>
    </row>
    <row r="277" spans="1:9" ht="15.75">
      <c r="A277" s="14"/>
      <c r="B277" s="15"/>
      <c r="C277" s="37" t="s">
        <v>357</v>
      </c>
      <c r="D277" s="17">
        <v>42500</v>
      </c>
      <c r="E277" s="26"/>
      <c r="F277" s="17">
        <v>42500</v>
      </c>
      <c r="G277" s="17">
        <v>42500</v>
      </c>
      <c r="I277" s="12"/>
    </row>
    <row r="278" spans="1:9" ht="15.75">
      <c r="A278" s="14"/>
      <c r="B278" s="15"/>
      <c r="C278" s="37" t="s">
        <v>388</v>
      </c>
      <c r="D278" s="17">
        <v>42500</v>
      </c>
      <c r="E278" s="26"/>
      <c r="F278" s="17">
        <v>42500</v>
      </c>
      <c r="G278" s="17">
        <v>42500</v>
      </c>
      <c r="I278" s="12"/>
    </row>
    <row r="279" spans="1:9" ht="30.75">
      <c r="A279" s="14">
        <v>150101</v>
      </c>
      <c r="B279" s="15" t="s">
        <v>94</v>
      </c>
      <c r="C279" s="15" t="s">
        <v>204</v>
      </c>
      <c r="D279" s="26">
        <v>3826168</v>
      </c>
      <c r="E279" s="18">
        <f>100-(F279/D279*100)</f>
        <v>25.93283358179778</v>
      </c>
      <c r="F279" s="17">
        <f>D279-87000-905233.78</f>
        <v>2833934.2199999997</v>
      </c>
      <c r="G279" s="16">
        <f>1607172+202866</f>
        <v>1810038</v>
      </c>
      <c r="I279" s="12"/>
    </row>
    <row r="280" spans="1:9" ht="15.75">
      <c r="A280" s="14"/>
      <c r="B280" s="15"/>
      <c r="C280" s="15" t="s">
        <v>97</v>
      </c>
      <c r="D280" s="26"/>
      <c r="E280" s="18"/>
      <c r="F280" s="17"/>
      <c r="G280" s="16">
        <v>202866</v>
      </c>
      <c r="I280" s="12"/>
    </row>
    <row r="281" spans="1:9" ht="30.75">
      <c r="A281" s="14">
        <v>150101</v>
      </c>
      <c r="B281" s="15" t="s">
        <v>94</v>
      </c>
      <c r="C281" s="15" t="s">
        <v>205</v>
      </c>
      <c r="D281" s="17">
        <v>2321421</v>
      </c>
      <c r="E281" s="18">
        <f>100-(F281/D281*100)</f>
        <v>0.2841126189519372</v>
      </c>
      <c r="F281" s="17">
        <f>D281-6595.45</f>
        <v>2314825.55</v>
      </c>
      <c r="G281" s="16">
        <f>1510000+804826</f>
        <v>2314826</v>
      </c>
      <c r="I281" s="12"/>
    </row>
    <row r="282" spans="1:9" ht="15.75">
      <c r="A282" s="14">
        <v>150101</v>
      </c>
      <c r="B282" s="15" t="s">
        <v>94</v>
      </c>
      <c r="C282" s="15" t="s">
        <v>206</v>
      </c>
      <c r="D282" s="17">
        <v>742773</v>
      </c>
      <c r="E282" s="18"/>
      <c r="F282" s="17">
        <v>742773</v>
      </c>
      <c r="G282" s="16">
        <v>742773</v>
      </c>
      <c r="I282" s="12"/>
    </row>
    <row r="283" spans="1:9" ht="45.75">
      <c r="A283" s="14">
        <v>150101</v>
      </c>
      <c r="B283" s="15" t="s">
        <v>94</v>
      </c>
      <c r="C283" s="15" t="s">
        <v>207</v>
      </c>
      <c r="D283" s="17">
        <v>2921180</v>
      </c>
      <c r="E283" s="18"/>
      <c r="F283" s="17">
        <v>2921180</v>
      </c>
      <c r="G283" s="16">
        <v>2921180</v>
      </c>
      <c r="I283" s="12"/>
    </row>
    <row r="284" spans="1:9" ht="45.75">
      <c r="A284" s="14">
        <v>150101</v>
      </c>
      <c r="B284" s="15" t="s">
        <v>94</v>
      </c>
      <c r="C284" s="15" t="s">
        <v>208</v>
      </c>
      <c r="D284" s="17">
        <v>3867610</v>
      </c>
      <c r="E284" s="18"/>
      <c r="F284" s="17">
        <v>3867610</v>
      </c>
      <c r="G284" s="16">
        <f>3867610-1292780-133629-721443</f>
        <v>1719758</v>
      </c>
      <c r="I284" s="12"/>
    </row>
    <row r="285" spans="1:9" ht="46.5" customHeight="1" hidden="1">
      <c r="A285" s="14">
        <v>150101</v>
      </c>
      <c r="B285" s="15" t="s">
        <v>94</v>
      </c>
      <c r="C285" s="31" t="s">
        <v>209</v>
      </c>
      <c r="D285" s="17"/>
      <c r="E285" s="18"/>
      <c r="F285" s="17"/>
      <c r="G285" s="16"/>
      <c r="I285" s="12"/>
    </row>
    <row r="286" spans="1:9" ht="45.75">
      <c r="A286" s="14">
        <v>150101</v>
      </c>
      <c r="B286" s="15" t="s">
        <v>94</v>
      </c>
      <c r="C286" s="31" t="s">
        <v>210</v>
      </c>
      <c r="D286" s="17">
        <v>560000</v>
      </c>
      <c r="E286" s="18"/>
      <c r="F286" s="17">
        <v>560000</v>
      </c>
      <c r="G286" s="16">
        <v>560000</v>
      </c>
      <c r="I286" s="12"/>
    </row>
    <row r="287" spans="1:9" ht="45.75">
      <c r="A287" s="14">
        <v>150101</v>
      </c>
      <c r="B287" s="15" t="s">
        <v>94</v>
      </c>
      <c r="C287" s="37" t="s">
        <v>402</v>
      </c>
      <c r="D287" s="26">
        <v>36875</v>
      </c>
      <c r="E287" s="36"/>
      <c r="F287" s="26">
        <v>36875</v>
      </c>
      <c r="G287" s="53">
        <v>36875</v>
      </c>
      <c r="I287" s="12"/>
    </row>
    <row r="288" spans="1:9" ht="45.75">
      <c r="A288" s="14">
        <v>150101</v>
      </c>
      <c r="B288" s="15" t="s">
        <v>94</v>
      </c>
      <c r="C288" s="37" t="s">
        <v>403</v>
      </c>
      <c r="D288" s="26">
        <v>27940</v>
      </c>
      <c r="E288" s="36"/>
      <c r="F288" s="26">
        <v>27940</v>
      </c>
      <c r="G288" s="53">
        <v>27940</v>
      </c>
      <c r="I288" s="12"/>
    </row>
    <row r="289" spans="1:9" ht="45.75">
      <c r="A289" s="14">
        <v>150101</v>
      </c>
      <c r="B289" s="15" t="s">
        <v>94</v>
      </c>
      <c r="C289" s="37" t="s">
        <v>404</v>
      </c>
      <c r="D289" s="26">
        <v>42211</v>
      </c>
      <c r="E289" s="36"/>
      <c r="F289" s="26">
        <v>42211</v>
      </c>
      <c r="G289" s="53">
        <v>42211</v>
      </c>
      <c r="I289" s="12"/>
    </row>
    <row r="290" spans="1:9" ht="30.75">
      <c r="A290" s="14">
        <v>150101</v>
      </c>
      <c r="B290" s="15" t="s">
        <v>94</v>
      </c>
      <c r="C290" s="37" t="s">
        <v>405</v>
      </c>
      <c r="D290" s="26">
        <v>158857</v>
      </c>
      <c r="E290" s="36"/>
      <c r="F290" s="26">
        <v>158857</v>
      </c>
      <c r="G290" s="53">
        <v>158857</v>
      </c>
      <c r="I290" s="12"/>
    </row>
    <row r="291" spans="1:9" ht="30.75">
      <c r="A291" s="14">
        <v>150101</v>
      </c>
      <c r="B291" s="15" t="s">
        <v>94</v>
      </c>
      <c r="C291" s="37" t="s">
        <v>409</v>
      </c>
      <c r="D291" s="26">
        <v>76421</v>
      </c>
      <c r="E291" s="36"/>
      <c r="F291" s="26">
        <v>76421</v>
      </c>
      <c r="G291" s="53">
        <v>76421</v>
      </c>
      <c r="I291" s="12"/>
    </row>
    <row r="292" spans="1:9" ht="30.75">
      <c r="A292" s="14">
        <v>150101</v>
      </c>
      <c r="B292" s="15" t="s">
        <v>94</v>
      </c>
      <c r="C292" s="37" t="s">
        <v>410</v>
      </c>
      <c r="D292" s="26">
        <v>65551</v>
      </c>
      <c r="E292" s="36"/>
      <c r="F292" s="26">
        <v>65551</v>
      </c>
      <c r="G292" s="53">
        <v>65551</v>
      </c>
      <c r="I292" s="12"/>
    </row>
    <row r="293" spans="1:9" ht="30.75">
      <c r="A293" s="14">
        <v>150101</v>
      </c>
      <c r="B293" s="15" t="s">
        <v>94</v>
      </c>
      <c r="C293" s="37" t="s">
        <v>411</v>
      </c>
      <c r="D293" s="26">
        <v>45188</v>
      </c>
      <c r="E293" s="36"/>
      <c r="F293" s="26">
        <v>45188</v>
      </c>
      <c r="G293" s="53">
        <v>45188</v>
      </c>
      <c r="I293" s="12"/>
    </row>
    <row r="294" spans="1:9" ht="30.75">
      <c r="A294" s="14">
        <v>150101</v>
      </c>
      <c r="B294" s="15" t="s">
        <v>94</v>
      </c>
      <c r="C294" s="37" t="s">
        <v>412</v>
      </c>
      <c r="D294" s="26">
        <v>130106</v>
      </c>
      <c r="E294" s="36"/>
      <c r="F294" s="26">
        <v>130106</v>
      </c>
      <c r="G294" s="53">
        <v>130106</v>
      </c>
      <c r="I294" s="12"/>
    </row>
    <row r="295" spans="1:9" ht="15.75">
      <c r="A295" s="14"/>
      <c r="B295" s="15"/>
      <c r="C295" s="15" t="s">
        <v>97</v>
      </c>
      <c r="D295" s="26"/>
      <c r="E295" s="36"/>
      <c r="F295" s="26"/>
      <c r="G295" s="53">
        <v>8534</v>
      </c>
      <c r="I295" s="12"/>
    </row>
    <row r="296" spans="1:9" ht="45.75">
      <c r="A296" s="14">
        <v>150101</v>
      </c>
      <c r="B296" s="15" t="s">
        <v>94</v>
      </c>
      <c r="C296" s="37" t="s">
        <v>413</v>
      </c>
      <c r="D296" s="26">
        <v>15380</v>
      </c>
      <c r="E296" s="36"/>
      <c r="F296" s="26">
        <v>15380</v>
      </c>
      <c r="G296" s="53">
        <v>15380</v>
      </c>
      <c r="I296" s="12"/>
    </row>
    <row r="297" spans="1:9" ht="30.75">
      <c r="A297" s="14">
        <v>150101</v>
      </c>
      <c r="B297" s="15" t="s">
        <v>94</v>
      </c>
      <c r="C297" s="37" t="s">
        <v>414</v>
      </c>
      <c r="D297" s="26">
        <v>11728</v>
      </c>
      <c r="E297" s="36"/>
      <c r="F297" s="26">
        <v>11728</v>
      </c>
      <c r="G297" s="53">
        <v>11728</v>
      </c>
      <c r="I297" s="12"/>
    </row>
    <row r="298" spans="1:9" ht="30.75">
      <c r="A298" s="14">
        <v>150101</v>
      </c>
      <c r="B298" s="15" t="s">
        <v>94</v>
      </c>
      <c r="C298" s="37" t="s">
        <v>415</v>
      </c>
      <c r="D298" s="26">
        <v>20540</v>
      </c>
      <c r="E298" s="36"/>
      <c r="F298" s="26">
        <v>20540</v>
      </c>
      <c r="G298" s="53">
        <v>20540</v>
      </c>
      <c r="I298" s="12"/>
    </row>
    <row r="299" spans="1:9" ht="45.75">
      <c r="A299" s="14">
        <v>150101</v>
      </c>
      <c r="B299" s="15" t="s">
        <v>94</v>
      </c>
      <c r="C299" s="37" t="s">
        <v>416</v>
      </c>
      <c r="D299" s="26">
        <v>126230</v>
      </c>
      <c r="E299" s="36"/>
      <c r="F299" s="26">
        <v>126230</v>
      </c>
      <c r="G299" s="53">
        <v>126230</v>
      </c>
      <c r="I299" s="12"/>
    </row>
    <row r="300" spans="1:9" ht="30.75">
      <c r="A300" s="14">
        <v>150101</v>
      </c>
      <c r="B300" s="15" t="s">
        <v>94</v>
      </c>
      <c r="C300" s="37" t="s">
        <v>417</v>
      </c>
      <c r="D300" s="26">
        <v>93806</v>
      </c>
      <c r="E300" s="36"/>
      <c r="F300" s="26">
        <v>93806</v>
      </c>
      <c r="G300" s="53">
        <v>93806</v>
      </c>
      <c r="I300" s="12"/>
    </row>
    <row r="301" spans="1:9" ht="30.75">
      <c r="A301" s="14">
        <v>150101</v>
      </c>
      <c r="B301" s="15" t="s">
        <v>94</v>
      </c>
      <c r="C301" s="37" t="s">
        <v>418</v>
      </c>
      <c r="D301" s="26">
        <v>50819</v>
      </c>
      <c r="E301" s="36"/>
      <c r="F301" s="26">
        <v>50819</v>
      </c>
      <c r="G301" s="53">
        <v>50819</v>
      </c>
      <c r="I301" s="12"/>
    </row>
    <row r="302" spans="1:9" ht="33" customHeight="1" hidden="1">
      <c r="A302" s="14">
        <v>150101</v>
      </c>
      <c r="B302" s="15" t="s">
        <v>94</v>
      </c>
      <c r="C302" s="37" t="s">
        <v>419</v>
      </c>
      <c r="D302" s="26"/>
      <c r="E302" s="36"/>
      <c r="F302" s="26"/>
      <c r="G302" s="53"/>
      <c r="I302" s="12"/>
    </row>
    <row r="303" spans="1:9" ht="45.75">
      <c r="A303" s="14">
        <v>150101</v>
      </c>
      <c r="B303" s="15" t="s">
        <v>94</v>
      </c>
      <c r="C303" s="37" t="s">
        <v>420</v>
      </c>
      <c r="D303" s="26">
        <v>162545</v>
      </c>
      <c r="E303" s="36"/>
      <c r="F303" s="26">
        <v>162545</v>
      </c>
      <c r="G303" s="53">
        <v>162545</v>
      </c>
      <c r="I303" s="12"/>
    </row>
    <row r="304" spans="1:9" ht="30.75">
      <c r="A304" s="14">
        <v>150101</v>
      </c>
      <c r="B304" s="15" t="s">
        <v>94</v>
      </c>
      <c r="C304" s="37" t="s">
        <v>421</v>
      </c>
      <c r="D304" s="26">
        <v>32445</v>
      </c>
      <c r="E304" s="36"/>
      <c r="F304" s="26">
        <v>32445</v>
      </c>
      <c r="G304" s="53">
        <v>32445</v>
      </c>
      <c r="I304" s="12"/>
    </row>
    <row r="305" spans="1:9" ht="45.75">
      <c r="A305" s="14">
        <v>150101</v>
      </c>
      <c r="B305" s="15" t="s">
        <v>94</v>
      </c>
      <c r="C305" s="37" t="s">
        <v>236</v>
      </c>
      <c r="D305" s="26">
        <v>97376</v>
      </c>
      <c r="E305" s="36"/>
      <c r="F305" s="26">
        <v>97376</v>
      </c>
      <c r="G305" s="53">
        <v>94339</v>
      </c>
      <c r="I305" s="12"/>
    </row>
    <row r="306" spans="1:9" ht="30.75">
      <c r="A306" s="14">
        <v>150101</v>
      </c>
      <c r="B306" s="15" t="s">
        <v>94</v>
      </c>
      <c r="C306" s="37" t="s">
        <v>200</v>
      </c>
      <c r="D306" s="26">
        <v>74605</v>
      </c>
      <c r="E306" s="36"/>
      <c r="F306" s="26">
        <v>74605</v>
      </c>
      <c r="G306" s="53">
        <v>74605</v>
      </c>
      <c r="I306" s="12"/>
    </row>
    <row r="307" spans="1:9" ht="30.75">
      <c r="A307" s="14">
        <v>150101</v>
      </c>
      <c r="B307" s="15" t="s">
        <v>94</v>
      </c>
      <c r="C307" s="37" t="s">
        <v>201</v>
      </c>
      <c r="D307" s="26">
        <v>28658</v>
      </c>
      <c r="E307" s="36"/>
      <c r="F307" s="26">
        <v>28658</v>
      </c>
      <c r="G307" s="53">
        <v>28658</v>
      </c>
      <c r="I307" s="12"/>
    </row>
    <row r="308" spans="1:9" ht="45.75">
      <c r="A308" s="14">
        <v>150101</v>
      </c>
      <c r="B308" s="15" t="s">
        <v>94</v>
      </c>
      <c r="C308" s="37" t="s">
        <v>422</v>
      </c>
      <c r="D308" s="26">
        <v>289311</v>
      </c>
      <c r="E308" s="36"/>
      <c r="F308" s="26">
        <v>289311</v>
      </c>
      <c r="G308" s="53">
        <v>289311</v>
      </c>
      <c r="I308" s="12"/>
    </row>
    <row r="309" spans="1:9" ht="15.75">
      <c r="A309" s="14"/>
      <c r="B309" s="15"/>
      <c r="C309" s="15" t="s">
        <v>97</v>
      </c>
      <c r="D309" s="26"/>
      <c r="E309" s="36"/>
      <c r="F309" s="26"/>
      <c r="G309" s="53">
        <v>18621</v>
      </c>
      <c r="I309" s="12"/>
    </row>
    <row r="310" spans="1:9" ht="45.75">
      <c r="A310" s="14">
        <v>150101</v>
      </c>
      <c r="B310" s="15" t="s">
        <v>94</v>
      </c>
      <c r="C310" s="37" t="s">
        <v>423</v>
      </c>
      <c r="D310" s="26">
        <v>214529</v>
      </c>
      <c r="E310" s="36"/>
      <c r="F310" s="26">
        <v>214529</v>
      </c>
      <c r="G310" s="53">
        <v>214529</v>
      </c>
      <c r="I310" s="12"/>
    </row>
    <row r="311" spans="1:9" ht="15.75">
      <c r="A311" s="14"/>
      <c r="B311" s="15"/>
      <c r="C311" s="15" t="s">
        <v>97</v>
      </c>
      <c r="D311" s="26"/>
      <c r="E311" s="36"/>
      <c r="F311" s="26"/>
      <c r="G311" s="53">
        <v>14616</v>
      </c>
      <c r="I311" s="12"/>
    </row>
    <row r="312" spans="1:9" ht="45.75">
      <c r="A312" s="14">
        <v>150101</v>
      </c>
      <c r="B312" s="15" t="s">
        <v>94</v>
      </c>
      <c r="C312" s="37" t="s">
        <v>424</v>
      </c>
      <c r="D312" s="26">
        <v>176096</v>
      </c>
      <c r="E312" s="36"/>
      <c r="F312" s="26">
        <v>176096</v>
      </c>
      <c r="G312" s="53">
        <v>176096</v>
      </c>
      <c r="I312" s="12"/>
    </row>
    <row r="313" spans="1:9" ht="15.75">
      <c r="A313" s="14"/>
      <c r="B313" s="15"/>
      <c r="C313" s="15" t="s">
        <v>97</v>
      </c>
      <c r="D313" s="26"/>
      <c r="E313" s="36"/>
      <c r="F313" s="26"/>
      <c r="G313" s="53">
        <v>14042</v>
      </c>
      <c r="I313" s="12"/>
    </row>
    <row r="314" spans="1:9" ht="30.75">
      <c r="A314" s="14">
        <v>150101</v>
      </c>
      <c r="B314" s="15" t="s">
        <v>94</v>
      </c>
      <c r="C314" s="37" t="s">
        <v>427</v>
      </c>
      <c r="D314" s="26">
        <v>126010</v>
      </c>
      <c r="E314" s="36"/>
      <c r="F314" s="26">
        <v>126010</v>
      </c>
      <c r="G314" s="53">
        <v>126010</v>
      </c>
      <c r="I314" s="12"/>
    </row>
    <row r="315" spans="1:9" ht="30.75">
      <c r="A315" s="14">
        <v>150101</v>
      </c>
      <c r="B315" s="15" t="s">
        <v>94</v>
      </c>
      <c r="C315" s="37" t="s">
        <v>428</v>
      </c>
      <c r="D315" s="26">
        <v>108000</v>
      </c>
      <c r="E315" s="36"/>
      <c r="F315" s="26">
        <v>108000</v>
      </c>
      <c r="G315" s="53">
        <v>108000</v>
      </c>
      <c r="I315" s="12"/>
    </row>
    <row r="316" spans="1:9" ht="45.75">
      <c r="A316" s="14">
        <v>150101</v>
      </c>
      <c r="B316" s="15" t="s">
        <v>94</v>
      </c>
      <c r="C316" s="37" t="s">
        <v>429</v>
      </c>
      <c r="D316" s="26">
        <v>87204</v>
      </c>
      <c r="E316" s="36"/>
      <c r="F316" s="26">
        <v>87204</v>
      </c>
      <c r="G316" s="53">
        <v>87204</v>
      </c>
      <c r="I316" s="12"/>
    </row>
    <row r="317" spans="1:9" ht="30.75">
      <c r="A317" s="14">
        <v>150101</v>
      </c>
      <c r="B317" s="15" t="s">
        <v>94</v>
      </c>
      <c r="C317" s="37" t="s">
        <v>430</v>
      </c>
      <c r="D317" s="26">
        <v>86681</v>
      </c>
      <c r="E317" s="36"/>
      <c r="F317" s="26">
        <v>86681</v>
      </c>
      <c r="G317" s="53">
        <v>86681</v>
      </c>
      <c r="I317" s="12"/>
    </row>
    <row r="318" spans="1:9" ht="30.75">
      <c r="A318" s="14">
        <v>150101</v>
      </c>
      <c r="B318" s="15" t="s">
        <v>94</v>
      </c>
      <c r="C318" s="37" t="s">
        <v>431</v>
      </c>
      <c r="D318" s="26">
        <v>88660</v>
      </c>
      <c r="E318" s="36"/>
      <c r="F318" s="26">
        <v>88660</v>
      </c>
      <c r="G318" s="53">
        <v>88660</v>
      </c>
      <c r="I318" s="12"/>
    </row>
    <row r="319" spans="1:9" ht="30.75">
      <c r="A319" s="14">
        <v>150101</v>
      </c>
      <c r="B319" s="15" t="s">
        <v>94</v>
      </c>
      <c r="C319" s="37" t="s">
        <v>432</v>
      </c>
      <c r="D319" s="26">
        <v>47312</v>
      </c>
      <c r="E319" s="36"/>
      <c r="F319" s="26">
        <v>47312</v>
      </c>
      <c r="G319" s="53">
        <v>47312</v>
      </c>
      <c r="I319" s="12"/>
    </row>
    <row r="320" spans="1:9" ht="15.75">
      <c r="A320" s="14"/>
      <c r="B320" s="15"/>
      <c r="C320" s="15" t="s">
        <v>97</v>
      </c>
      <c r="D320" s="26"/>
      <c r="E320" s="36"/>
      <c r="F320" s="26"/>
      <c r="G320" s="53">
        <v>5530</v>
      </c>
      <c r="I320" s="12"/>
    </row>
    <row r="321" spans="1:9" ht="30.75">
      <c r="A321" s="14">
        <v>150101</v>
      </c>
      <c r="B321" s="15" t="s">
        <v>94</v>
      </c>
      <c r="C321" s="37" t="s">
        <v>436</v>
      </c>
      <c r="D321" s="26">
        <v>25463</v>
      </c>
      <c r="E321" s="36"/>
      <c r="F321" s="26">
        <v>25463</v>
      </c>
      <c r="G321" s="53">
        <v>25463</v>
      </c>
      <c r="I321" s="12"/>
    </row>
    <row r="322" spans="1:9" ht="30.75">
      <c r="A322" s="14">
        <v>150101</v>
      </c>
      <c r="B322" s="15" t="s">
        <v>94</v>
      </c>
      <c r="C322" s="37" t="s">
        <v>437</v>
      </c>
      <c r="D322" s="26">
        <v>63614</v>
      </c>
      <c r="E322" s="36"/>
      <c r="F322" s="26">
        <v>63614</v>
      </c>
      <c r="G322" s="53">
        <v>63614</v>
      </c>
      <c r="I322" s="12"/>
    </row>
    <row r="323" spans="1:9" ht="15.75">
      <c r="A323" s="14"/>
      <c r="B323" s="15"/>
      <c r="C323" s="15" t="s">
        <v>97</v>
      </c>
      <c r="D323" s="26"/>
      <c r="E323" s="36"/>
      <c r="F323" s="26"/>
      <c r="G323" s="53">
        <v>5901</v>
      </c>
      <c r="I323" s="12"/>
    </row>
    <row r="324" spans="1:9" ht="30.75">
      <c r="A324" s="14">
        <v>150101</v>
      </c>
      <c r="B324" s="15" t="s">
        <v>94</v>
      </c>
      <c r="C324" s="37" t="s">
        <v>438</v>
      </c>
      <c r="D324" s="26">
        <v>94520</v>
      </c>
      <c r="E324" s="36"/>
      <c r="F324" s="26">
        <v>94520</v>
      </c>
      <c r="G324" s="53">
        <v>94520</v>
      </c>
      <c r="I324" s="12"/>
    </row>
    <row r="325" spans="1:9" ht="30.75">
      <c r="A325" s="14">
        <v>150101</v>
      </c>
      <c r="B325" s="15" t="s">
        <v>94</v>
      </c>
      <c r="C325" s="37" t="s">
        <v>439</v>
      </c>
      <c r="D325" s="26">
        <v>41232</v>
      </c>
      <c r="E325" s="36"/>
      <c r="F325" s="26">
        <v>41232</v>
      </c>
      <c r="G325" s="53">
        <v>41232</v>
      </c>
      <c r="I325" s="12"/>
    </row>
    <row r="326" spans="1:9" ht="15.75">
      <c r="A326" s="14">
        <v>150101</v>
      </c>
      <c r="B326" s="15" t="s">
        <v>94</v>
      </c>
      <c r="C326" s="37" t="s">
        <v>36</v>
      </c>
      <c r="D326" s="26">
        <v>42385</v>
      </c>
      <c r="E326" s="36"/>
      <c r="F326" s="26">
        <v>42385</v>
      </c>
      <c r="G326" s="53">
        <v>42385</v>
      </c>
      <c r="I326" s="12"/>
    </row>
    <row r="327" spans="1:9" ht="30.75">
      <c r="A327" s="14">
        <v>150101</v>
      </c>
      <c r="B327" s="15" t="s">
        <v>94</v>
      </c>
      <c r="C327" s="37" t="s">
        <v>37</v>
      </c>
      <c r="D327" s="26">
        <v>210149</v>
      </c>
      <c r="E327" s="36"/>
      <c r="F327" s="26">
        <v>210149</v>
      </c>
      <c r="G327" s="53">
        <v>210149</v>
      </c>
      <c r="I327" s="12"/>
    </row>
    <row r="328" spans="1:9" ht="15.75">
      <c r="A328" s="14"/>
      <c r="B328" s="15"/>
      <c r="C328" s="15" t="s">
        <v>97</v>
      </c>
      <c r="D328" s="26"/>
      <c r="E328" s="36"/>
      <c r="F328" s="26"/>
      <c r="G328" s="53">
        <v>9399</v>
      </c>
      <c r="I328" s="12"/>
    </row>
    <row r="329" spans="1:9" ht="30.75">
      <c r="A329" s="14">
        <v>150101</v>
      </c>
      <c r="B329" s="15" t="s">
        <v>94</v>
      </c>
      <c r="C329" s="37" t="s">
        <v>38</v>
      </c>
      <c r="D329" s="26">
        <v>274207</v>
      </c>
      <c r="E329" s="36"/>
      <c r="F329" s="26">
        <v>274207</v>
      </c>
      <c r="G329" s="53">
        <v>274207</v>
      </c>
      <c r="I329" s="12"/>
    </row>
    <row r="330" spans="1:9" ht="15.75">
      <c r="A330" s="14">
        <v>150101</v>
      </c>
      <c r="B330" s="15" t="s">
        <v>94</v>
      </c>
      <c r="C330" s="37" t="s">
        <v>39</v>
      </c>
      <c r="D330" s="26">
        <v>152348</v>
      </c>
      <c r="E330" s="36"/>
      <c r="F330" s="26">
        <v>152348</v>
      </c>
      <c r="G330" s="53">
        <v>152348</v>
      </c>
      <c r="I330" s="12"/>
    </row>
    <row r="331" spans="1:9" ht="30.75">
      <c r="A331" s="14">
        <v>150101</v>
      </c>
      <c r="B331" s="15" t="s">
        <v>94</v>
      </c>
      <c r="C331" s="37" t="s">
        <v>40</v>
      </c>
      <c r="D331" s="26">
        <v>279687</v>
      </c>
      <c r="E331" s="36"/>
      <c r="F331" s="26">
        <v>279687</v>
      </c>
      <c r="G331" s="53">
        <v>279687</v>
      </c>
      <c r="I331" s="12"/>
    </row>
    <row r="332" spans="1:9" ht="30.75">
      <c r="A332" s="14">
        <v>150101</v>
      </c>
      <c r="B332" s="15" t="s">
        <v>94</v>
      </c>
      <c r="C332" s="37" t="s">
        <v>41</v>
      </c>
      <c r="D332" s="26">
        <v>92615</v>
      </c>
      <c r="E332" s="36"/>
      <c r="F332" s="26">
        <v>92615</v>
      </c>
      <c r="G332" s="53">
        <v>92615</v>
      </c>
      <c r="I332" s="12"/>
    </row>
    <row r="333" spans="1:9" ht="30.75">
      <c r="A333" s="14">
        <v>150101</v>
      </c>
      <c r="B333" s="15" t="s">
        <v>94</v>
      </c>
      <c r="C333" s="37" t="s">
        <v>42</v>
      </c>
      <c r="D333" s="26">
        <v>26600</v>
      </c>
      <c r="E333" s="36"/>
      <c r="F333" s="26">
        <v>26600</v>
      </c>
      <c r="G333" s="53">
        <v>26600</v>
      </c>
      <c r="I333" s="12"/>
    </row>
    <row r="334" spans="1:9" ht="30.75">
      <c r="A334" s="14">
        <v>150101</v>
      </c>
      <c r="B334" s="15" t="s">
        <v>94</v>
      </c>
      <c r="C334" s="37" t="s">
        <v>43</v>
      </c>
      <c r="D334" s="26">
        <v>88917</v>
      </c>
      <c r="E334" s="36"/>
      <c r="F334" s="26">
        <v>88917</v>
      </c>
      <c r="G334" s="53">
        <v>88917</v>
      </c>
      <c r="I334" s="12"/>
    </row>
    <row r="335" spans="1:9" ht="15.75">
      <c r="A335" s="14"/>
      <c r="B335" s="15"/>
      <c r="C335" s="15" t="s">
        <v>97</v>
      </c>
      <c r="D335" s="26"/>
      <c r="E335" s="36"/>
      <c r="F335" s="26"/>
      <c r="G335" s="53">
        <v>7792</v>
      </c>
      <c r="I335" s="12"/>
    </row>
    <row r="336" spans="1:9" ht="30.75">
      <c r="A336" s="14">
        <v>150101</v>
      </c>
      <c r="B336" s="15" t="s">
        <v>94</v>
      </c>
      <c r="C336" s="37" t="s">
        <v>44</v>
      </c>
      <c r="D336" s="26">
        <v>126401</v>
      </c>
      <c r="E336" s="36"/>
      <c r="F336" s="26">
        <v>126401</v>
      </c>
      <c r="G336" s="53">
        <v>126401</v>
      </c>
      <c r="I336" s="12"/>
    </row>
    <row r="337" spans="1:9" ht="30.75" hidden="1">
      <c r="A337" s="14">
        <v>150101</v>
      </c>
      <c r="B337" s="15" t="s">
        <v>94</v>
      </c>
      <c r="C337" s="37" t="s">
        <v>45</v>
      </c>
      <c r="D337" s="26"/>
      <c r="E337" s="36"/>
      <c r="F337" s="26"/>
      <c r="G337" s="53"/>
      <c r="I337" s="12"/>
    </row>
    <row r="338" spans="1:9" ht="30.75">
      <c r="A338" s="14">
        <v>150101</v>
      </c>
      <c r="B338" s="15" t="s">
        <v>94</v>
      </c>
      <c r="C338" s="37" t="s">
        <v>46</v>
      </c>
      <c r="D338" s="26">
        <v>52327</v>
      </c>
      <c r="E338" s="36"/>
      <c r="F338" s="26">
        <v>52327</v>
      </c>
      <c r="G338" s="53">
        <v>52327</v>
      </c>
      <c r="I338" s="12"/>
    </row>
    <row r="339" spans="1:9" ht="30.75">
      <c r="A339" s="14">
        <v>150101</v>
      </c>
      <c r="B339" s="15" t="s">
        <v>94</v>
      </c>
      <c r="C339" s="37" t="s">
        <v>47</v>
      </c>
      <c r="D339" s="26">
        <v>55553</v>
      </c>
      <c r="E339" s="36"/>
      <c r="F339" s="26">
        <v>55553</v>
      </c>
      <c r="G339" s="53">
        <v>55553</v>
      </c>
      <c r="I339" s="12"/>
    </row>
    <row r="340" spans="1:9" ht="30.75">
      <c r="A340" s="14">
        <v>150101</v>
      </c>
      <c r="B340" s="15" t="s">
        <v>94</v>
      </c>
      <c r="C340" s="37" t="s">
        <v>48</v>
      </c>
      <c r="D340" s="26">
        <f>186751-16873</f>
        <v>169878</v>
      </c>
      <c r="E340" s="36"/>
      <c r="F340" s="53">
        <f>186751-16873</f>
        <v>169878</v>
      </c>
      <c r="G340" s="53">
        <f>186751-16873</f>
        <v>169878</v>
      </c>
      <c r="I340" s="12"/>
    </row>
    <row r="341" spans="1:9" ht="45.75">
      <c r="A341" s="14">
        <v>150101</v>
      </c>
      <c r="B341" s="15" t="s">
        <v>94</v>
      </c>
      <c r="C341" s="37" t="s">
        <v>127</v>
      </c>
      <c r="D341" s="26">
        <v>482685</v>
      </c>
      <c r="E341" s="36"/>
      <c r="F341" s="26">
        <v>482685</v>
      </c>
      <c r="G341" s="26">
        <v>482685</v>
      </c>
      <c r="I341" s="12"/>
    </row>
    <row r="342" spans="1:9" ht="30.75">
      <c r="A342" s="14">
        <v>150101</v>
      </c>
      <c r="B342" s="15" t="s">
        <v>94</v>
      </c>
      <c r="C342" s="37" t="s">
        <v>49</v>
      </c>
      <c r="D342" s="26">
        <v>50453</v>
      </c>
      <c r="E342" s="36"/>
      <c r="F342" s="26">
        <v>50453</v>
      </c>
      <c r="G342" s="53">
        <v>50453</v>
      </c>
      <c r="I342" s="12"/>
    </row>
    <row r="343" spans="1:9" ht="15.75">
      <c r="A343" s="14"/>
      <c r="B343" s="15"/>
      <c r="C343" s="15" t="s">
        <v>97</v>
      </c>
      <c r="D343" s="26"/>
      <c r="E343" s="36"/>
      <c r="F343" s="26"/>
      <c r="G343" s="53">
        <v>4559</v>
      </c>
      <c r="I343" s="12"/>
    </row>
    <row r="344" spans="1:9" ht="30.75">
      <c r="A344" s="14">
        <v>150101</v>
      </c>
      <c r="B344" s="15" t="s">
        <v>94</v>
      </c>
      <c r="C344" s="37" t="s">
        <v>50</v>
      </c>
      <c r="D344" s="26">
        <v>56196</v>
      </c>
      <c r="E344" s="36"/>
      <c r="F344" s="26">
        <v>56196</v>
      </c>
      <c r="G344" s="53">
        <v>56196</v>
      </c>
      <c r="I344" s="12"/>
    </row>
    <row r="345" spans="1:9" ht="30.75">
      <c r="A345" s="14">
        <v>150101</v>
      </c>
      <c r="B345" s="15" t="s">
        <v>94</v>
      </c>
      <c r="C345" s="37" t="s">
        <v>51</v>
      </c>
      <c r="D345" s="26">
        <v>32099</v>
      </c>
      <c r="E345" s="36"/>
      <c r="F345" s="26">
        <v>32099</v>
      </c>
      <c r="G345" s="53">
        <v>32099</v>
      </c>
      <c r="I345" s="12"/>
    </row>
    <row r="346" spans="1:9" ht="30.75">
      <c r="A346" s="14">
        <v>150101</v>
      </c>
      <c r="B346" s="15" t="s">
        <v>94</v>
      </c>
      <c r="C346" s="37" t="s">
        <v>52</v>
      </c>
      <c r="D346" s="26">
        <v>54134</v>
      </c>
      <c r="E346" s="36"/>
      <c r="F346" s="26">
        <v>54134</v>
      </c>
      <c r="G346" s="53">
        <v>54134</v>
      </c>
      <c r="I346" s="12"/>
    </row>
    <row r="347" spans="1:9" ht="30.75">
      <c r="A347" s="14">
        <v>150101</v>
      </c>
      <c r="B347" s="15" t="s">
        <v>94</v>
      </c>
      <c r="C347" s="37" t="s">
        <v>53</v>
      </c>
      <c r="D347" s="26">
        <v>102000</v>
      </c>
      <c r="E347" s="36"/>
      <c r="F347" s="26">
        <v>102000</v>
      </c>
      <c r="G347" s="53">
        <v>102000</v>
      </c>
      <c r="I347" s="12"/>
    </row>
    <row r="348" spans="1:9" ht="30.75">
      <c r="A348" s="14">
        <v>150101</v>
      </c>
      <c r="B348" s="15" t="s">
        <v>94</v>
      </c>
      <c r="C348" s="37" t="s">
        <v>54</v>
      </c>
      <c r="D348" s="26">
        <v>92048</v>
      </c>
      <c r="E348" s="36"/>
      <c r="F348" s="26">
        <v>92048</v>
      </c>
      <c r="G348" s="53">
        <v>92048</v>
      </c>
      <c r="I348" s="12"/>
    </row>
    <row r="349" spans="1:9" ht="30.75">
      <c r="A349" s="14">
        <v>150101</v>
      </c>
      <c r="B349" s="15" t="s">
        <v>94</v>
      </c>
      <c r="C349" s="37" t="s">
        <v>55</v>
      </c>
      <c r="D349" s="26">
        <v>54000</v>
      </c>
      <c r="E349" s="36"/>
      <c r="F349" s="26">
        <v>54000</v>
      </c>
      <c r="G349" s="53">
        <v>54000</v>
      </c>
      <c r="I349" s="12"/>
    </row>
    <row r="350" spans="1:9" ht="30.75">
      <c r="A350" s="14">
        <v>150101</v>
      </c>
      <c r="B350" s="15" t="s">
        <v>94</v>
      </c>
      <c r="C350" s="37" t="s">
        <v>56</v>
      </c>
      <c r="D350" s="26">
        <v>48538</v>
      </c>
      <c r="E350" s="36"/>
      <c r="F350" s="26">
        <v>48538</v>
      </c>
      <c r="G350" s="53">
        <v>48538</v>
      </c>
      <c r="I350" s="12"/>
    </row>
    <row r="351" spans="1:9" ht="30.75" hidden="1">
      <c r="A351" s="14">
        <v>150101</v>
      </c>
      <c r="B351" s="15" t="s">
        <v>94</v>
      </c>
      <c r="C351" s="37" t="s">
        <v>57</v>
      </c>
      <c r="D351" s="26"/>
      <c r="E351" s="36"/>
      <c r="F351" s="26"/>
      <c r="G351" s="53"/>
      <c r="I351" s="12"/>
    </row>
    <row r="352" spans="1:9" ht="30.75">
      <c r="A352" s="14">
        <v>150101</v>
      </c>
      <c r="B352" s="15" t="s">
        <v>94</v>
      </c>
      <c r="C352" s="37" t="s">
        <v>58</v>
      </c>
      <c r="D352" s="26">
        <v>59307</v>
      </c>
      <c r="E352" s="36"/>
      <c r="F352" s="26">
        <v>59307</v>
      </c>
      <c r="G352" s="53">
        <v>59307</v>
      </c>
      <c r="I352" s="12"/>
    </row>
    <row r="353" spans="1:9" ht="30.75">
      <c r="A353" s="14">
        <v>150101</v>
      </c>
      <c r="B353" s="15" t="s">
        <v>94</v>
      </c>
      <c r="C353" s="37" t="s">
        <v>59</v>
      </c>
      <c r="D353" s="26">
        <v>71719</v>
      </c>
      <c r="E353" s="36"/>
      <c r="F353" s="26">
        <v>71719</v>
      </c>
      <c r="G353" s="53">
        <v>71719</v>
      </c>
      <c r="I353" s="12"/>
    </row>
    <row r="354" spans="1:9" ht="15.75">
      <c r="A354" s="14"/>
      <c r="B354" s="15"/>
      <c r="C354" s="15" t="s">
        <v>97</v>
      </c>
      <c r="D354" s="26"/>
      <c r="E354" s="36"/>
      <c r="F354" s="26"/>
      <c r="G354" s="53">
        <v>5345</v>
      </c>
      <c r="I354" s="12"/>
    </row>
    <row r="355" spans="1:9" ht="30.75">
      <c r="A355" s="14">
        <v>150101</v>
      </c>
      <c r="B355" s="15" t="s">
        <v>94</v>
      </c>
      <c r="C355" s="37" t="s">
        <v>60</v>
      </c>
      <c r="D355" s="26">
        <v>26964</v>
      </c>
      <c r="E355" s="36"/>
      <c r="F355" s="26">
        <v>26964</v>
      </c>
      <c r="G355" s="53">
        <v>26964</v>
      </c>
      <c r="I355" s="12"/>
    </row>
    <row r="356" spans="1:9" ht="30.75">
      <c r="A356" s="14">
        <v>150101</v>
      </c>
      <c r="B356" s="15" t="s">
        <v>94</v>
      </c>
      <c r="C356" s="37" t="s">
        <v>237</v>
      </c>
      <c r="D356" s="26"/>
      <c r="E356" s="36"/>
      <c r="F356" s="26"/>
      <c r="G356" s="53">
        <v>397</v>
      </c>
      <c r="I356" s="12"/>
    </row>
    <row r="357" spans="1:9" ht="45.75">
      <c r="A357" s="14">
        <v>150101</v>
      </c>
      <c r="B357" s="15" t="s">
        <v>94</v>
      </c>
      <c r="C357" s="37" t="s">
        <v>238</v>
      </c>
      <c r="D357" s="26"/>
      <c r="E357" s="36"/>
      <c r="F357" s="26"/>
      <c r="G357" s="53">
        <v>1043</v>
      </c>
      <c r="I357" s="12"/>
    </row>
    <row r="358" spans="1:9" ht="30.75">
      <c r="A358" s="14">
        <v>150101</v>
      </c>
      <c r="B358" s="15" t="s">
        <v>94</v>
      </c>
      <c r="C358" s="37" t="s">
        <v>239</v>
      </c>
      <c r="D358" s="26">
        <v>5000</v>
      </c>
      <c r="E358" s="36"/>
      <c r="F358" s="26">
        <v>5000</v>
      </c>
      <c r="G358" s="53">
        <v>5000</v>
      </c>
      <c r="I358" s="12"/>
    </row>
    <row r="359" spans="1:9" ht="30.75">
      <c r="A359" s="14">
        <v>150101</v>
      </c>
      <c r="B359" s="15" t="s">
        <v>94</v>
      </c>
      <c r="C359" s="37" t="s">
        <v>240</v>
      </c>
      <c r="D359" s="26">
        <v>5000</v>
      </c>
      <c r="E359" s="36"/>
      <c r="F359" s="26">
        <v>5000</v>
      </c>
      <c r="G359" s="53">
        <v>5000</v>
      </c>
      <c r="I359" s="12"/>
    </row>
    <row r="360" spans="1:9" ht="45.75">
      <c r="A360" s="14">
        <v>150101</v>
      </c>
      <c r="B360" s="15" t="s">
        <v>94</v>
      </c>
      <c r="C360" s="37" t="s">
        <v>169</v>
      </c>
      <c r="D360" s="26">
        <v>15000</v>
      </c>
      <c r="E360" s="36"/>
      <c r="F360" s="26">
        <v>15000</v>
      </c>
      <c r="G360" s="53">
        <v>15000</v>
      </c>
      <c r="I360" s="12"/>
    </row>
    <row r="361" spans="1:9" ht="45.75">
      <c r="A361" s="14">
        <v>150101</v>
      </c>
      <c r="B361" s="15" t="s">
        <v>94</v>
      </c>
      <c r="C361" s="15" t="s">
        <v>440</v>
      </c>
      <c r="D361" s="17"/>
      <c r="E361" s="18"/>
      <c r="F361" s="17"/>
      <c r="G361" s="16">
        <f>4521540+123-4521540</f>
        <v>123</v>
      </c>
      <c r="I361" s="12"/>
    </row>
    <row r="362" spans="1:9" ht="15.75" hidden="1">
      <c r="A362" s="14"/>
      <c r="B362" s="15"/>
      <c r="C362" s="15"/>
      <c r="D362" s="17"/>
      <c r="E362" s="18"/>
      <c r="F362" s="17"/>
      <c r="G362" s="16"/>
      <c r="I362" s="12"/>
    </row>
    <row r="363" spans="1:9" s="64" customFormat="1" ht="49.5" customHeight="1">
      <c r="A363" s="63">
        <v>150101</v>
      </c>
      <c r="B363" s="37" t="s">
        <v>94</v>
      </c>
      <c r="C363" s="37" t="s">
        <v>211</v>
      </c>
      <c r="D363" s="26">
        <v>560000</v>
      </c>
      <c r="E363" s="36"/>
      <c r="F363" s="26">
        <v>560000</v>
      </c>
      <c r="G363" s="53">
        <f>560000-279842</f>
        <v>280158</v>
      </c>
      <c r="I363" s="65"/>
    </row>
    <row r="364" spans="1:9" ht="15.75">
      <c r="A364" s="14"/>
      <c r="B364" s="15"/>
      <c r="C364" s="15" t="s">
        <v>97</v>
      </c>
      <c r="D364" s="17"/>
      <c r="E364" s="18"/>
      <c r="F364" s="17"/>
      <c r="G364" s="16">
        <v>50000</v>
      </c>
      <c r="I364" s="12"/>
    </row>
    <row r="365" spans="1:9" ht="30.75">
      <c r="A365" s="14">
        <v>150101</v>
      </c>
      <c r="B365" s="15" t="s">
        <v>94</v>
      </c>
      <c r="C365" s="15" t="s">
        <v>212</v>
      </c>
      <c r="D365" s="26">
        <v>1802026</v>
      </c>
      <c r="E365" s="36">
        <f>100-(F365/D365*100)</f>
        <v>2.6622035420132732</v>
      </c>
      <c r="F365" s="17">
        <f>SUM(D365-47973.6)</f>
        <v>1754052.4</v>
      </c>
      <c r="G365" s="53">
        <f>1736106+17946-1698054</f>
        <v>55998</v>
      </c>
      <c r="I365" s="12"/>
    </row>
    <row r="366" spans="1:9" ht="15.75">
      <c r="A366" s="14"/>
      <c r="B366" s="15"/>
      <c r="C366" s="15" t="s">
        <v>97</v>
      </c>
      <c r="D366" s="26"/>
      <c r="E366" s="36"/>
      <c r="F366" s="17"/>
      <c r="G366" s="53">
        <v>28998</v>
      </c>
      <c r="I366" s="12"/>
    </row>
    <row r="367" spans="1:9" s="64" customFormat="1" ht="60.75">
      <c r="A367" s="63">
        <v>150101</v>
      </c>
      <c r="B367" s="37" t="s">
        <v>94</v>
      </c>
      <c r="C367" s="37" t="s">
        <v>213</v>
      </c>
      <c r="D367" s="26">
        <v>509000</v>
      </c>
      <c r="E367" s="36">
        <f>100-(F367/D367*100)</f>
        <v>64.63654223968567</v>
      </c>
      <c r="F367" s="26">
        <v>180000</v>
      </c>
      <c r="G367" s="53">
        <f>180000</f>
        <v>180000</v>
      </c>
      <c r="I367" s="65"/>
    </row>
    <row r="368" spans="1:9" ht="30.75" hidden="1">
      <c r="A368" s="14">
        <v>150101</v>
      </c>
      <c r="B368" s="15" t="s">
        <v>94</v>
      </c>
      <c r="C368" s="15" t="s">
        <v>214</v>
      </c>
      <c r="D368" s="17"/>
      <c r="E368" s="18"/>
      <c r="F368" s="17"/>
      <c r="G368" s="16"/>
      <c r="I368" s="12"/>
    </row>
    <row r="369" spans="1:9" ht="30.75">
      <c r="A369" s="14">
        <v>150101</v>
      </c>
      <c r="B369" s="15" t="s">
        <v>94</v>
      </c>
      <c r="C369" s="15" t="s">
        <v>215</v>
      </c>
      <c r="D369" s="17">
        <v>1200000</v>
      </c>
      <c r="E369" s="18"/>
      <c r="F369" s="17">
        <v>1200000</v>
      </c>
      <c r="G369" s="16">
        <f>1200000-1000000-19505</f>
        <v>180495</v>
      </c>
      <c r="I369" s="12"/>
    </row>
    <row r="370" spans="1:9" s="64" customFormat="1" ht="50.25" customHeight="1">
      <c r="A370" s="63">
        <v>150101</v>
      </c>
      <c r="B370" s="37" t="s">
        <v>94</v>
      </c>
      <c r="C370" s="37" t="s">
        <v>216</v>
      </c>
      <c r="D370" s="26">
        <v>19003000</v>
      </c>
      <c r="E370" s="36"/>
      <c r="F370" s="26">
        <v>19003000</v>
      </c>
      <c r="G370" s="53">
        <f>400000-100423</f>
        <v>299577</v>
      </c>
      <c r="I370" s="65"/>
    </row>
    <row r="371" spans="1:9" ht="45.75">
      <c r="A371" s="14">
        <v>150101</v>
      </c>
      <c r="B371" s="15" t="s">
        <v>94</v>
      </c>
      <c r="C371" s="15" t="s">
        <v>222</v>
      </c>
      <c r="D371" s="17"/>
      <c r="E371" s="17"/>
      <c r="F371" s="17"/>
      <c r="G371" s="16">
        <f>357703+19201-347657</f>
        <v>29247</v>
      </c>
      <c r="I371" s="12"/>
    </row>
    <row r="372" spans="1:9" ht="15.75" hidden="1">
      <c r="A372" s="14"/>
      <c r="B372" s="15"/>
      <c r="C372" s="15" t="s">
        <v>97</v>
      </c>
      <c r="D372" s="17"/>
      <c r="E372" s="17"/>
      <c r="F372" s="17"/>
      <c r="G372" s="16"/>
      <c r="I372" s="12"/>
    </row>
    <row r="373" spans="1:9" ht="30.75">
      <c r="A373" s="14">
        <v>150101</v>
      </c>
      <c r="B373" s="15" t="s">
        <v>94</v>
      </c>
      <c r="C373" s="15" t="s">
        <v>221</v>
      </c>
      <c r="D373" s="17">
        <v>6008000</v>
      </c>
      <c r="E373" s="17"/>
      <c r="F373" s="17">
        <v>6008000</v>
      </c>
      <c r="G373" s="53">
        <f>1000000+347657-1000000</f>
        <v>347657</v>
      </c>
      <c r="I373" s="12"/>
    </row>
    <row r="374" spans="1:9" ht="30.75">
      <c r="A374" s="14">
        <v>150101</v>
      </c>
      <c r="B374" s="15" t="s">
        <v>94</v>
      </c>
      <c r="C374" s="15" t="s">
        <v>217</v>
      </c>
      <c r="D374" s="17">
        <v>224328</v>
      </c>
      <c r="E374" s="18"/>
      <c r="F374" s="17">
        <v>224328</v>
      </c>
      <c r="G374" s="16">
        <v>224328</v>
      </c>
      <c r="I374" s="12"/>
    </row>
    <row r="375" spans="1:9" ht="15.75">
      <c r="A375" s="14"/>
      <c r="B375" s="15"/>
      <c r="C375" s="15" t="s">
        <v>97</v>
      </c>
      <c r="D375" s="17"/>
      <c r="E375" s="18"/>
      <c r="F375" s="17"/>
      <c r="G375" s="16">
        <v>27421</v>
      </c>
      <c r="I375" s="12"/>
    </row>
    <row r="376" spans="1:9" ht="30.75">
      <c r="A376" s="14">
        <v>150101</v>
      </c>
      <c r="B376" s="15" t="s">
        <v>94</v>
      </c>
      <c r="C376" s="15" t="s">
        <v>218</v>
      </c>
      <c r="D376" s="17">
        <v>206191</v>
      </c>
      <c r="E376" s="18"/>
      <c r="F376" s="17">
        <v>206191</v>
      </c>
      <c r="G376" s="16">
        <v>206191</v>
      </c>
      <c r="I376" s="12"/>
    </row>
    <row r="377" spans="1:9" ht="15.75">
      <c r="A377" s="14"/>
      <c r="B377" s="15"/>
      <c r="C377" s="15" t="s">
        <v>97</v>
      </c>
      <c r="D377" s="17"/>
      <c r="E377" s="18"/>
      <c r="F377" s="17"/>
      <c r="G377" s="16">
        <v>24459</v>
      </c>
      <c r="I377" s="12"/>
    </row>
    <row r="378" spans="1:9" ht="30.75">
      <c r="A378" s="14">
        <v>150101</v>
      </c>
      <c r="B378" s="15" t="s">
        <v>94</v>
      </c>
      <c r="C378" s="15" t="s">
        <v>219</v>
      </c>
      <c r="D378" s="17">
        <v>173866</v>
      </c>
      <c r="E378" s="18"/>
      <c r="F378" s="17">
        <v>173866</v>
      </c>
      <c r="G378" s="16">
        <v>173866</v>
      </c>
      <c r="I378" s="12"/>
    </row>
    <row r="379" spans="1:9" ht="15.75">
      <c r="A379" s="14"/>
      <c r="B379" s="15"/>
      <c r="C379" s="15" t="s">
        <v>97</v>
      </c>
      <c r="D379" s="17"/>
      <c r="E379" s="18"/>
      <c r="F379" s="17"/>
      <c r="G379" s="16">
        <v>24459</v>
      </c>
      <c r="I379" s="12"/>
    </row>
    <row r="380" spans="1:9" ht="30.75">
      <c r="A380" s="14">
        <v>150101</v>
      </c>
      <c r="B380" s="15" t="s">
        <v>94</v>
      </c>
      <c r="C380" s="15" t="s">
        <v>435</v>
      </c>
      <c r="D380" s="17">
        <v>199007</v>
      </c>
      <c r="E380" s="18"/>
      <c r="F380" s="17">
        <v>199007</v>
      </c>
      <c r="G380" s="16">
        <v>199007</v>
      </c>
      <c r="I380" s="12"/>
    </row>
    <row r="381" spans="1:9" ht="30.75">
      <c r="A381" s="14">
        <v>150101</v>
      </c>
      <c r="B381" s="15" t="s">
        <v>94</v>
      </c>
      <c r="C381" s="15" t="s">
        <v>441</v>
      </c>
      <c r="D381" s="17">
        <v>170506</v>
      </c>
      <c r="E381" s="18"/>
      <c r="F381" s="17">
        <v>170506</v>
      </c>
      <c r="G381" s="16">
        <v>170506</v>
      </c>
      <c r="I381" s="12"/>
    </row>
    <row r="382" spans="1:9" ht="60.75">
      <c r="A382" s="14">
        <v>150101</v>
      </c>
      <c r="B382" s="15" t="s">
        <v>94</v>
      </c>
      <c r="C382" s="15" t="s">
        <v>442</v>
      </c>
      <c r="D382" s="17"/>
      <c r="E382" s="18"/>
      <c r="F382" s="17"/>
      <c r="G382" s="16">
        <f>222588+1430035+181-300000+222588-1352804</f>
        <v>222588</v>
      </c>
      <c r="I382" s="12"/>
    </row>
    <row r="383" spans="1:9" ht="15.75" hidden="1">
      <c r="A383" s="14"/>
      <c r="B383" s="15"/>
      <c r="C383" s="15"/>
      <c r="D383" s="17"/>
      <c r="E383" s="18"/>
      <c r="F383" s="17"/>
      <c r="G383" s="16"/>
      <c r="I383" s="12"/>
    </row>
    <row r="384" spans="1:9" ht="45.75" hidden="1">
      <c r="A384" s="14">
        <v>150101</v>
      </c>
      <c r="B384" s="15" t="s">
        <v>94</v>
      </c>
      <c r="C384" s="15" t="s">
        <v>220</v>
      </c>
      <c r="D384" s="17"/>
      <c r="E384" s="18"/>
      <c r="F384" s="17"/>
      <c r="G384" s="16">
        <f>1000000-894262+316461-19201-402998</f>
        <v>0</v>
      </c>
      <c r="I384" s="12"/>
    </row>
    <row r="385" spans="1:9" ht="45.75">
      <c r="A385" s="14">
        <v>150101</v>
      </c>
      <c r="B385" s="15" t="s">
        <v>94</v>
      </c>
      <c r="C385" s="15" t="s">
        <v>443</v>
      </c>
      <c r="D385" s="16">
        <f>1352804-353037</f>
        <v>999767</v>
      </c>
      <c r="E385" s="18"/>
      <c r="F385" s="16">
        <f>1352804-353037</f>
        <v>999767</v>
      </c>
      <c r="G385" s="16">
        <f>1352804-353037</f>
        <v>999767</v>
      </c>
      <c r="I385" s="12"/>
    </row>
    <row r="386" spans="1:9" s="64" customFormat="1" ht="45.75">
      <c r="A386" s="63">
        <v>150101</v>
      </c>
      <c r="B386" s="37" t="s">
        <v>94</v>
      </c>
      <c r="C386" s="37" t="s">
        <v>253</v>
      </c>
      <c r="D386" s="53">
        <v>353037</v>
      </c>
      <c r="E386" s="36"/>
      <c r="F386" s="53">
        <v>353037</v>
      </c>
      <c r="G386" s="53">
        <v>353037</v>
      </c>
      <c r="I386" s="65"/>
    </row>
    <row r="387" spans="1:9" ht="30.75">
      <c r="A387" s="14">
        <v>150101</v>
      </c>
      <c r="B387" s="15" t="s">
        <v>94</v>
      </c>
      <c r="C387" s="15" t="s">
        <v>228</v>
      </c>
      <c r="D387" s="17">
        <v>600000</v>
      </c>
      <c r="E387" s="18"/>
      <c r="F387" s="17">
        <v>600000</v>
      </c>
      <c r="G387" s="16">
        <v>600000</v>
      </c>
      <c r="I387" s="12"/>
    </row>
    <row r="388" spans="1:9" ht="30.75">
      <c r="A388" s="14">
        <v>150101</v>
      </c>
      <c r="B388" s="15" t="s">
        <v>94</v>
      </c>
      <c r="C388" s="15" t="s">
        <v>229</v>
      </c>
      <c r="D388" s="17">
        <v>160400</v>
      </c>
      <c r="E388" s="18"/>
      <c r="F388" s="17">
        <v>160400</v>
      </c>
      <c r="G388" s="16">
        <v>160400</v>
      </c>
      <c r="I388" s="12"/>
    </row>
    <row r="389" spans="1:9" ht="45.75">
      <c r="A389" s="14">
        <v>150101</v>
      </c>
      <c r="B389" s="15" t="s">
        <v>94</v>
      </c>
      <c r="C389" s="15" t="s">
        <v>230</v>
      </c>
      <c r="D389" s="17">
        <v>302611</v>
      </c>
      <c r="E389" s="18"/>
      <c r="F389" s="17">
        <v>302611</v>
      </c>
      <c r="G389" s="16">
        <v>302611</v>
      </c>
      <c r="I389" s="12"/>
    </row>
    <row r="390" spans="1:9" ht="45.75">
      <c r="A390" s="14">
        <v>150101</v>
      </c>
      <c r="B390" s="15" t="s">
        <v>94</v>
      </c>
      <c r="C390" s="15" t="s">
        <v>231</v>
      </c>
      <c r="D390" s="17">
        <v>999431</v>
      </c>
      <c r="E390" s="18"/>
      <c r="F390" s="17">
        <v>999431</v>
      </c>
      <c r="G390" s="16">
        <f>451251+500000</f>
        <v>951251</v>
      </c>
      <c r="I390" s="12"/>
    </row>
    <row r="391" spans="1:9" ht="30.75">
      <c r="A391" s="14">
        <v>150101</v>
      </c>
      <c r="B391" s="15" t="s">
        <v>94</v>
      </c>
      <c r="C391" s="15" t="s">
        <v>232</v>
      </c>
      <c r="D391" s="17">
        <v>140000</v>
      </c>
      <c r="E391" s="18"/>
      <c r="F391" s="17">
        <v>140000</v>
      </c>
      <c r="G391" s="16">
        <v>140000</v>
      </c>
      <c r="I391" s="12"/>
    </row>
    <row r="392" spans="1:9" ht="45.75">
      <c r="A392" s="35">
        <v>150101</v>
      </c>
      <c r="B392" s="31" t="s">
        <v>94</v>
      </c>
      <c r="C392" s="31" t="s">
        <v>233</v>
      </c>
      <c r="D392" s="53">
        <v>1000000</v>
      </c>
      <c r="E392" s="54"/>
      <c r="F392" s="53">
        <v>1000000</v>
      </c>
      <c r="G392" s="53">
        <f>1000000+20000-720000</f>
        <v>300000</v>
      </c>
      <c r="I392" s="12"/>
    </row>
    <row r="393" spans="1:9" ht="15.75">
      <c r="A393" s="35"/>
      <c r="B393" s="31"/>
      <c r="C393" s="31" t="s">
        <v>97</v>
      </c>
      <c r="D393" s="53"/>
      <c r="E393" s="54"/>
      <c r="F393" s="53"/>
      <c r="G393" s="53">
        <v>24000</v>
      </c>
      <c r="I393" s="12"/>
    </row>
    <row r="394" spans="1:9" ht="45.75">
      <c r="A394" s="14">
        <v>150101</v>
      </c>
      <c r="B394" s="15" t="s">
        <v>94</v>
      </c>
      <c r="C394" s="15" t="s">
        <v>234</v>
      </c>
      <c r="D394" s="17"/>
      <c r="E394" s="18"/>
      <c r="F394" s="17"/>
      <c r="G394" s="16">
        <v>31788</v>
      </c>
      <c r="I394" s="12"/>
    </row>
    <row r="395" spans="1:9" ht="60.75">
      <c r="A395" s="14">
        <v>150101</v>
      </c>
      <c r="B395" s="15" t="s">
        <v>94</v>
      </c>
      <c r="C395" s="15" t="s">
        <v>235</v>
      </c>
      <c r="D395" s="17"/>
      <c r="E395" s="18"/>
      <c r="F395" s="17"/>
      <c r="G395" s="16">
        <v>10661</v>
      </c>
      <c r="I395" s="12"/>
    </row>
    <row r="396" spans="1:9" ht="60.75">
      <c r="A396" s="14">
        <v>150101</v>
      </c>
      <c r="B396" s="15" t="s">
        <v>94</v>
      </c>
      <c r="C396" s="15" t="s">
        <v>241</v>
      </c>
      <c r="D396" s="17"/>
      <c r="E396" s="18"/>
      <c r="F396" s="17"/>
      <c r="G396" s="16">
        <v>10766</v>
      </c>
      <c r="I396" s="12"/>
    </row>
    <row r="397" spans="1:9" ht="45.75">
      <c r="A397" s="14">
        <v>150101</v>
      </c>
      <c r="B397" s="15" t="s">
        <v>94</v>
      </c>
      <c r="C397" s="15" t="s">
        <v>242</v>
      </c>
      <c r="D397" s="17"/>
      <c r="E397" s="18"/>
      <c r="F397" s="17"/>
      <c r="G397" s="16">
        <v>7492</v>
      </c>
      <c r="I397" s="12"/>
    </row>
    <row r="398" spans="1:9" ht="45.75">
      <c r="A398" s="14">
        <v>150101</v>
      </c>
      <c r="B398" s="15" t="s">
        <v>94</v>
      </c>
      <c r="C398" s="15" t="s">
        <v>243</v>
      </c>
      <c r="D398" s="17"/>
      <c r="E398" s="18"/>
      <c r="F398" s="17"/>
      <c r="G398" s="16">
        <v>7492</v>
      </c>
      <c r="I398" s="12"/>
    </row>
    <row r="399" spans="1:9" ht="30.75">
      <c r="A399" s="14">
        <v>150101</v>
      </c>
      <c r="B399" s="15" t="s">
        <v>94</v>
      </c>
      <c r="C399" s="15" t="s">
        <v>244</v>
      </c>
      <c r="D399" s="17"/>
      <c r="E399" s="18"/>
      <c r="F399" s="17"/>
      <c r="G399" s="16">
        <v>7492</v>
      </c>
      <c r="I399" s="12"/>
    </row>
    <row r="400" spans="1:9" ht="45.75">
      <c r="A400" s="14">
        <v>150101</v>
      </c>
      <c r="B400" s="15" t="s">
        <v>94</v>
      </c>
      <c r="C400" s="15" t="s">
        <v>245</v>
      </c>
      <c r="D400" s="17"/>
      <c r="E400" s="18"/>
      <c r="F400" s="17"/>
      <c r="G400" s="16">
        <v>7492</v>
      </c>
      <c r="I400" s="12"/>
    </row>
    <row r="401" spans="1:9" s="64" customFormat="1" ht="45.75">
      <c r="A401" s="63">
        <v>150101</v>
      </c>
      <c r="B401" s="37" t="s">
        <v>94</v>
      </c>
      <c r="C401" s="37" t="s">
        <v>131</v>
      </c>
      <c r="D401" s="26">
        <v>14805017</v>
      </c>
      <c r="E401" s="36">
        <v>2.9</v>
      </c>
      <c r="F401" s="26">
        <v>14369334</v>
      </c>
      <c r="G401" s="53">
        <f>23974+25000</f>
        <v>48974</v>
      </c>
      <c r="I401" s="65"/>
    </row>
    <row r="402" spans="1:9" ht="15.75">
      <c r="A402" s="14"/>
      <c r="B402" s="15"/>
      <c r="C402" s="31" t="s">
        <v>97</v>
      </c>
      <c r="D402" s="17"/>
      <c r="E402" s="18"/>
      <c r="F402" s="17"/>
      <c r="G402" s="16">
        <v>23974</v>
      </c>
      <c r="I402" s="12"/>
    </row>
    <row r="403" spans="1:9" ht="30.75">
      <c r="A403" s="14">
        <v>150101</v>
      </c>
      <c r="B403" s="15" t="s">
        <v>94</v>
      </c>
      <c r="C403" s="15" t="s">
        <v>330</v>
      </c>
      <c r="D403" s="17">
        <v>2489880</v>
      </c>
      <c r="E403" s="18">
        <f>100-(F403/D403*100)</f>
        <v>47.1762494578052</v>
      </c>
      <c r="F403" s="17">
        <f>1409051-93803</f>
        <v>1315248</v>
      </c>
      <c r="G403" s="16">
        <f>877+834487</f>
        <v>835364</v>
      </c>
      <c r="I403" s="12"/>
    </row>
    <row r="404" spans="1:9" ht="15.75">
      <c r="A404" s="14"/>
      <c r="B404" s="15"/>
      <c r="C404" s="31" t="s">
        <v>97</v>
      </c>
      <c r="D404" s="17"/>
      <c r="E404" s="18"/>
      <c r="F404" s="17"/>
      <c r="G404" s="16">
        <v>877</v>
      </c>
      <c r="I404" s="12"/>
    </row>
    <row r="405" spans="1:9" s="64" customFormat="1" ht="30.75">
      <c r="A405" s="63">
        <v>150101</v>
      </c>
      <c r="B405" s="37" t="s">
        <v>94</v>
      </c>
      <c r="C405" s="37" t="s">
        <v>129</v>
      </c>
      <c r="D405" s="26">
        <v>8969880</v>
      </c>
      <c r="E405" s="36">
        <v>4.6</v>
      </c>
      <c r="F405" s="26">
        <v>8554189</v>
      </c>
      <c r="G405" s="53">
        <f>25426+10000</f>
        <v>35426</v>
      </c>
      <c r="I405" s="65"/>
    </row>
    <row r="406" spans="1:9" ht="15.75">
      <c r="A406" s="14"/>
      <c r="B406" s="15"/>
      <c r="C406" s="31" t="s">
        <v>97</v>
      </c>
      <c r="D406" s="17"/>
      <c r="E406" s="18"/>
      <c r="F406" s="17"/>
      <c r="G406" s="16">
        <v>25426</v>
      </c>
      <c r="I406" s="12"/>
    </row>
    <row r="407" spans="1:9" s="64" customFormat="1" ht="60.75">
      <c r="A407" s="63">
        <v>150101</v>
      </c>
      <c r="B407" s="37" t="s">
        <v>94</v>
      </c>
      <c r="C407" s="31" t="s">
        <v>132</v>
      </c>
      <c r="D407" s="53">
        <v>100423</v>
      </c>
      <c r="E407" s="36"/>
      <c r="F407" s="53">
        <v>100423</v>
      </c>
      <c r="G407" s="53">
        <v>100423</v>
      </c>
      <c r="I407" s="65"/>
    </row>
    <row r="408" spans="1:9" ht="60.75">
      <c r="A408" s="14">
        <v>150101</v>
      </c>
      <c r="B408" s="15" t="s">
        <v>94</v>
      </c>
      <c r="C408" s="15" t="s">
        <v>246</v>
      </c>
      <c r="D408" s="17"/>
      <c r="E408" s="18"/>
      <c r="F408" s="17"/>
      <c r="G408" s="16">
        <v>3800</v>
      </c>
      <c r="I408" s="12"/>
    </row>
    <row r="409" spans="1:9" ht="45.75">
      <c r="A409" s="14">
        <v>150101</v>
      </c>
      <c r="B409" s="15" t="s">
        <v>94</v>
      </c>
      <c r="C409" s="15" t="s">
        <v>332</v>
      </c>
      <c r="D409" s="17">
        <v>4500000</v>
      </c>
      <c r="E409" s="18">
        <f>100-(F409/D409*100)</f>
        <v>6.008688888888898</v>
      </c>
      <c r="F409" s="17">
        <v>4229609</v>
      </c>
      <c r="G409" s="16">
        <f>35675+2000000-1970000</f>
        <v>65675</v>
      </c>
      <c r="I409" s="12"/>
    </row>
    <row r="410" spans="1:9" ht="15.75">
      <c r="A410" s="14"/>
      <c r="B410" s="15"/>
      <c r="C410" s="31" t="s">
        <v>97</v>
      </c>
      <c r="D410" s="17"/>
      <c r="E410" s="18"/>
      <c r="F410" s="17"/>
      <c r="G410" s="16">
        <v>35675</v>
      </c>
      <c r="I410" s="12"/>
    </row>
    <row r="411" spans="1:9" s="64" customFormat="1" ht="30.75">
      <c r="A411" s="63">
        <v>150101</v>
      </c>
      <c r="B411" s="37" t="s">
        <v>94</v>
      </c>
      <c r="C411" s="37" t="s">
        <v>123</v>
      </c>
      <c r="D411" s="26">
        <v>12340582</v>
      </c>
      <c r="E411" s="36">
        <v>1.5</v>
      </c>
      <c r="F411" s="26">
        <v>12150623</v>
      </c>
      <c r="G411" s="53">
        <f>9117+23377</f>
        <v>32494</v>
      </c>
      <c r="I411" s="65"/>
    </row>
    <row r="412" spans="1:9" ht="15.75">
      <c r="A412" s="14"/>
      <c r="B412" s="15"/>
      <c r="C412" s="31" t="s">
        <v>97</v>
      </c>
      <c r="D412" s="17"/>
      <c r="E412" s="18"/>
      <c r="F412" s="17"/>
      <c r="G412" s="16">
        <v>9117</v>
      </c>
      <c r="I412" s="12"/>
    </row>
    <row r="413" spans="1:9" s="64" customFormat="1" ht="30.75">
      <c r="A413" s="63">
        <v>150101</v>
      </c>
      <c r="B413" s="37" t="s">
        <v>94</v>
      </c>
      <c r="C413" s="37" t="s">
        <v>121</v>
      </c>
      <c r="D413" s="26">
        <v>344158</v>
      </c>
      <c r="E413" s="36">
        <v>78</v>
      </c>
      <c r="F413" s="26">
        <v>75863</v>
      </c>
      <c r="G413" s="53">
        <f>539+75324</f>
        <v>75863</v>
      </c>
      <c r="I413" s="65"/>
    </row>
    <row r="414" spans="1:9" ht="15.75">
      <c r="A414" s="14"/>
      <c r="B414" s="15"/>
      <c r="C414" s="31" t="s">
        <v>97</v>
      </c>
      <c r="D414" s="17"/>
      <c r="E414" s="18"/>
      <c r="F414" s="17"/>
      <c r="G414" s="16">
        <v>539</v>
      </c>
      <c r="I414" s="12"/>
    </row>
    <row r="415" spans="1:9" ht="75.75" customHeight="1">
      <c r="A415" s="14">
        <v>150101</v>
      </c>
      <c r="B415" s="15" t="s">
        <v>94</v>
      </c>
      <c r="C415" s="15" t="s">
        <v>247</v>
      </c>
      <c r="D415" s="17"/>
      <c r="E415" s="18"/>
      <c r="F415" s="17"/>
      <c r="G415" s="16">
        <v>32901</v>
      </c>
      <c r="I415" s="12"/>
    </row>
    <row r="416" spans="1:9" ht="60">
      <c r="A416" s="14">
        <v>150101</v>
      </c>
      <c r="B416" s="15" t="s">
        <v>94</v>
      </c>
      <c r="C416" s="86" t="s">
        <v>248</v>
      </c>
      <c r="D416" s="17"/>
      <c r="E416" s="18"/>
      <c r="F416" s="17"/>
      <c r="G416" s="16">
        <v>1507</v>
      </c>
      <c r="I416" s="12"/>
    </row>
    <row r="417" spans="1:9" ht="60.75">
      <c r="A417" s="14">
        <v>150101</v>
      </c>
      <c r="B417" s="15" t="s">
        <v>94</v>
      </c>
      <c r="C417" s="15" t="s">
        <v>249</v>
      </c>
      <c r="D417" s="17"/>
      <c r="E417" s="18"/>
      <c r="F417" s="17"/>
      <c r="G417" s="16">
        <v>1506</v>
      </c>
      <c r="I417" s="12"/>
    </row>
    <row r="418" spans="1:9" ht="60.75">
      <c r="A418" s="14">
        <v>150101</v>
      </c>
      <c r="B418" s="15" t="s">
        <v>94</v>
      </c>
      <c r="C418" s="15" t="s">
        <v>250</v>
      </c>
      <c r="D418" s="17"/>
      <c r="E418" s="18"/>
      <c r="F418" s="17"/>
      <c r="G418" s="16">
        <v>1394</v>
      </c>
      <c r="I418" s="12"/>
    </row>
    <row r="419" spans="1:9" ht="45.75">
      <c r="A419" s="14">
        <v>150101</v>
      </c>
      <c r="B419" s="15" t="s">
        <v>94</v>
      </c>
      <c r="C419" s="15" t="s">
        <v>308</v>
      </c>
      <c r="D419" s="17"/>
      <c r="E419" s="18"/>
      <c r="F419" s="17"/>
      <c r="G419" s="16">
        <v>1519</v>
      </c>
      <c r="I419" s="12"/>
    </row>
    <row r="420" spans="1:9" ht="60.75">
      <c r="A420" s="14">
        <v>150101</v>
      </c>
      <c r="B420" s="15" t="s">
        <v>94</v>
      </c>
      <c r="C420" s="15" t="s">
        <v>252</v>
      </c>
      <c r="D420" s="17"/>
      <c r="E420" s="18"/>
      <c r="F420" s="17"/>
      <c r="G420" s="16">
        <v>1521</v>
      </c>
      <c r="I420" s="12"/>
    </row>
    <row r="421" spans="1:9" s="64" customFormat="1" ht="45.75">
      <c r="A421" s="63">
        <v>150101</v>
      </c>
      <c r="B421" s="37" t="s">
        <v>94</v>
      </c>
      <c r="C421" s="37" t="s">
        <v>95</v>
      </c>
      <c r="D421" s="26">
        <v>20146297</v>
      </c>
      <c r="E421" s="36">
        <v>2</v>
      </c>
      <c r="F421" s="26">
        <v>19744080</v>
      </c>
      <c r="G421" s="53">
        <v>44668</v>
      </c>
      <c r="I421" s="65"/>
    </row>
    <row r="422" spans="1:9" s="64" customFormat="1" ht="30.75">
      <c r="A422" s="63">
        <v>150102</v>
      </c>
      <c r="B422" s="37" t="s">
        <v>94</v>
      </c>
      <c r="C422" s="37" t="s">
        <v>122</v>
      </c>
      <c r="D422" s="26">
        <v>389279</v>
      </c>
      <c r="E422" s="36">
        <v>82.4</v>
      </c>
      <c r="F422" s="26">
        <v>68457</v>
      </c>
      <c r="G422" s="53">
        <v>68457</v>
      </c>
      <c r="I422" s="65"/>
    </row>
    <row r="423" spans="1:9" s="64" customFormat="1" ht="30.75">
      <c r="A423" s="63">
        <v>150101</v>
      </c>
      <c r="B423" s="37" t="s">
        <v>94</v>
      </c>
      <c r="C423" s="37" t="s">
        <v>124</v>
      </c>
      <c r="D423" s="26">
        <v>200000</v>
      </c>
      <c r="E423" s="36">
        <v>0</v>
      </c>
      <c r="F423" s="53">
        <f>495+199505</f>
        <v>200000</v>
      </c>
      <c r="G423" s="53">
        <f>495+199505</f>
        <v>200000</v>
      </c>
      <c r="I423" s="65"/>
    </row>
    <row r="424" spans="1:9" ht="15.75">
      <c r="A424" s="14"/>
      <c r="B424" s="15"/>
      <c r="C424" s="15" t="s">
        <v>97</v>
      </c>
      <c r="D424" s="17"/>
      <c r="E424" s="18"/>
      <c r="F424" s="17"/>
      <c r="G424" s="16">
        <v>495</v>
      </c>
      <c r="I424" s="12"/>
    </row>
    <row r="425" spans="1:9" ht="45.75">
      <c r="A425" s="14">
        <v>150101</v>
      </c>
      <c r="B425" s="15" t="s">
        <v>94</v>
      </c>
      <c r="C425" s="15" t="s">
        <v>331</v>
      </c>
      <c r="D425" s="17">
        <v>612917</v>
      </c>
      <c r="E425" s="18"/>
      <c r="F425" s="17">
        <v>612917</v>
      </c>
      <c r="G425" s="16">
        <f>71323+1026</f>
        <v>72349</v>
      </c>
      <c r="I425" s="12"/>
    </row>
    <row r="426" spans="1:9" ht="15.75">
      <c r="A426" s="14"/>
      <c r="B426" s="15"/>
      <c r="C426" s="15" t="s">
        <v>97</v>
      </c>
      <c r="D426" s="17"/>
      <c r="E426" s="18"/>
      <c r="F426" s="17"/>
      <c r="G426" s="16">
        <v>71323</v>
      </c>
      <c r="I426" s="12"/>
    </row>
    <row r="427" spans="1:9" ht="45.75">
      <c r="A427" s="14">
        <v>150101</v>
      </c>
      <c r="B427" s="15" t="s">
        <v>94</v>
      </c>
      <c r="C427" s="15" t="s">
        <v>254</v>
      </c>
      <c r="D427" s="17"/>
      <c r="E427" s="18"/>
      <c r="F427" s="17"/>
      <c r="G427" s="16">
        <v>322874</v>
      </c>
      <c r="I427" s="12"/>
    </row>
    <row r="428" spans="1:9" ht="30.75">
      <c r="A428" s="14">
        <v>150101</v>
      </c>
      <c r="B428" s="15" t="s">
        <v>94</v>
      </c>
      <c r="C428" s="15" t="s">
        <v>333</v>
      </c>
      <c r="D428" s="17">
        <v>3216012</v>
      </c>
      <c r="E428" s="18">
        <f>100-(F428/D428*100)</f>
        <v>64.50395707478702</v>
      </c>
      <c r="F428" s="17">
        <v>1141557</v>
      </c>
      <c r="G428" s="16">
        <f>141689+809000</f>
        <v>950689</v>
      </c>
      <c r="I428" s="12"/>
    </row>
    <row r="429" spans="1:9" ht="15.75">
      <c r="A429" s="14"/>
      <c r="B429" s="15"/>
      <c r="C429" s="15" t="s">
        <v>97</v>
      </c>
      <c r="D429" s="17"/>
      <c r="E429" s="18"/>
      <c r="F429" s="17"/>
      <c r="G429" s="16">
        <v>141689</v>
      </c>
      <c r="I429" s="12"/>
    </row>
    <row r="430" spans="1:9" ht="45.75">
      <c r="A430" s="14">
        <v>150101</v>
      </c>
      <c r="B430" s="15" t="s">
        <v>94</v>
      </c>
      <c r="C430" s="15" t="s">
        <v>255</v>
      </c>
      <c r="D430" s="17"/>
      <c r="E430" s="18"/>
      <c r="F430" s="17"/>
      <c r="G430" s="16">
        <v>482465</v>
      </c>
      <c r="I430" s="12"/>
    </row>
    <row r="431" spans="1:9" ht="30.75">
      <c r="A431" s="14">
        <v>150101</v>
      </c>
      <c r="B431" s="15" t="s">
        <v>94</v>
      </c>
      <c r="C431" s="15" t="s">
        <v>334</v>
      </c>
      <c r="D431" s="17">
        <v>811974</v>
      </c>
      <c r="E431" s="18"/>
      <c r="F431" s="17">
        <v>811974</v>
      </c>
      <c r="G431" s="16">
        <v>811974</v>
      </c>
      <c r="I431" s="12"/>
    </row>
    <row r="432" spans="1:9" s="93" customFormat="1" ht="33" customHeight="1" hidden="1">
      <c r="A432" s="88">
        <v>150101</v>
      </c>
      <c r="B432" s="89" t="s">
        <v>94</v>
      </c>
      <c r="C432" s="89" t="s">
        <v>335</v>
      </c>
      <c r="D432" s="90"/>
      <c r="E432" s="91"/>
      <c r="F432" s="90"/>
      <c r="G432" s="92">
        <f>486778-486778</f>
        <v>0</v>
      </c>
      <c r="I432" s="94"/>
    </row>
    <row r="433" spans="1:9" ht="29.25" customHeight="1" hidden="1">
      <c r="A433" s="83">
        <v>150101</v>
      </c>
      <c r="B433" s="84" t="s">
        <v>94</v>
      </c>
      <c r="C433" s="84" t="s">
        <v>343</v>
      </c>
      <c r="D433" s="17"/>
      <c r="E433" s="18"/>
      <c r="F433" s="17"/>
      <c r="G433" s="16">
        <f>4640840-4640840</f>
        <v>0</v>
      </c>
      <c r="I433" s="12"/>
    </row>
    <row r="434" spans="1:9" ht="45.75">
      <c r="A434" s="14">
        <v>150101</v>
      </c>
      <c r="B434" s="15" t="s">
        <v>94</v>
      </c>
      <c r="C434" s="15" t="s">
        <v>342</v>
      </c>
      <c r="D434" s="17">
        <v>500000</v>
      </c>
      <c r="E434" s="18"/>
      <c r="F434" s="17">
        <v>500000</v>
      </c>
      <c r="G434" s="16">
        <v>500000</v>
      </c>
      <c r="I434" s="12"/>
    </row>
    <row r="435" spans="1:9" ht="30.75">
      <c r="A435" s="14" t="s">
        <v>223</v>
      </c>
      <c r="B435" s="15" t="s">
        <v>224</v>
      </c>
      <c r="C435" s="15" t="s">
        <v>225</v>
      </c>
      <c r="D435" s="17"/>
      <c r="E435" s="18"/>
      <c r="F435" s="17"/>
      <c r="G435" s="16">
        <f>'[1]Місто'!$F$250</f>
        <v>1292780</v>
      </c>
      <c r="I435" s="12"/>
    </row>
    <row r="436" spans="1:9" ht="30.75">
      <c r="A436" s="14">
        <v>180409</v>
      </c>
      <c r="B436" s="15" t="s">
        <v>256</v>
      </c>
      <c r="C436" s="15" t="s">
        <v>269</v>
      </c>
      <c r="D436" s="17"/>
      <c r="E436" s="18"/>
      <c r="F436" s="17"/>
      <c r="G436" s="16">
        <f>3500000+2500000+506620+2688100+94500</f>
        <v>9289220</v>
      </c>
      <c r="I436" s="12"/>
    </row>
    <row r="437" spans="1:9" ht="15.75">
      <c r="A437" s="14"/>
      <c r="B437" s="15"/>
      <c r="C437" s="15" t="s">
        <v>344</v>
      </c>
      <c r="D437" s="17"/>
      <c r="E437" s="18"/>
      <c r="F437" s="17"/>
      <c r="G437" s="16"/>
      <c r="I437" s="12"/>
    </row>
    <row r="438" spans="1:9" ht="75">
      <c r="A438" s="14"/>
      <c r="B438" s="15"/>
      <c r="C438" s="56" t="s">
        <v>128</v>
      </c>
      <c r="D438" s="17"/>
      <c r="E438" s="18"/>
      <c r="F438" s="17"/>
      <c r="G438" s="16">
        <v>3500000</v>
      </c>
      <c r="I438" s="12"/>
    </row>
    <row r="439" spans="1:9" ht="30">
      <c r="A439" s="14"/>
      <c r="B439" s="15"/>
      <c r="C439" s="56" t="s">
        <v>426</v>
      </c>
      <c r="D439" s="17"/>
      <c r="E439" s="18"/>
      <c r="F439" s="17"/>
      <c r="G439" s="16">
        <v>94500</v>
      </c>
      <c r="I439" s="12"/>
    </row>
    <row r="440" spans="1:9" ht="165">
      <c r="A440" s="14"/>
      <c r="B440" s="15"/>
      <c r="C440" s="56" t="s">
        <v>133</v>
      </c>
      <c r="D440" s="17"/>
      <c r="E440" s="18"/>
      <c r="F440" s="17"/>
      <c r="G440" s="16">
        <v>2500000</v>
      </c>
      <c r="I440" s="12"/>
    </row>
    <row r="441" spans="1:9" ht="45">
      <c r="A441" s="14"/>
      <c r="B441" s="15"/>
      <c r="C441" s="56" t="s">
        <v>449</v>
      </c>
      <c r="D441" s="17"/>
      <c r="E441" s="18"/>
      <c r="F441" s="17"/>
      <c r="G441" s="16">
        <v>506620</v>
      </c>
      <c r="I441" s="12"/>
    </row>
    <row r="442" spans="1:9" ht="30">
      <c r="A442" s="14"/>
      <c r="B442" s="15"/>
      <c r="C442" s="85" t="s">
        <v>391</v>
      </c>
      <c r="D442" s="17"/>
      <c r="E442" s="18"/>
      <c r="F442" s="17"/>
      <c r="G442" s="16">
        <v>2688100</v>
      </c>
      <c r="I442" s="12"/>
    </row>
    <row r="443" spans="1:9" ht="30.75">
      <c r="A443" s="14">
        <v>180409</v>
      </c>
      <c r="B443" s="15" t="s">
        <v>256</v>
      </c>
      <c r="C443" s="15" t="s">
        <v>390</v>
      </c>
      <c r="D443" s="17"/>
      <c r="E443" s="18"/>
      <c r="F443" s="17"/>
      <c r="G443" s="16">
        <v>5134878</v>
      </c>
      <c r="I443" s="12"/>
    </row>
    <row r="444" spans="1:9" ht="15.75">
      <c r="A444" s="14"/>
      <c r="B444" s="15"/>
      <c r="C444" s="15" t="s">
        <v>344</v>
      </c>
      <c r="D444" s="17"/>
      <c r="E444" s="18"/>
      <c r="F444" s="17"/>
      <c r="G444" s="16"/>
      <c r="I444" s="12"/>
    </row>
    <row r="445" spans="1:9" ht="60">
      <c r="A445" s="14"/>
      <c r="B445" s="15"/>
      <c r="C445" s="56" t="s">
        <v>400</v>
      </c>
      <c r="D445" s="17"/>
      <c r="E445" s="18"/>
      <c r="F445" s="17"/>
      <c r="G445" s="16">
        <v>2199604</v>
      </c>
      <c r="I445" s="12"/>
    </row>
    <row r="446" spans="1:9" ht="90">
      <c r="A446" s="14"/>
      <c r="B446" s="15"/>
      <c r="C446" s="56" t="s">
        <v>401</v>
      </c>
      <c r="D446" s="17"/>
      <c r="E446" s="18"/>
      <c r="F446" s="17"/>
      <c r="G446" s="16">
        <v>2935274</v>
      </c>
      <c r="I446" s="12"/>
    </row>
    <row r="447" spans="1:9" s="13" customFormat="1" ht="31.5" hidden="1">
      <c r="A447" s="9">
        <v>41</v>
      </c>
      <c r="B447" s="10" t="s">
        <v>257</v>
      </c>
      <c r="C447" s="10" t="s">
        <v>259</v>
      </c>
      <c r="D447" s="11"/>
      <c r="E447" s="11"/>
      <c r="F447" s="11"/>
      <c r="G447" s="39">
        <f>G448</f>
        <v>0</v>
      </c>
      <c r="H447" s="12">
        <f>'[1]Місто'!$K$300</f>
        <v>0</v>
      </c>
      <c r="I447" s="12">
        <f>H447-G447</f>
        <v>0</v>
      </c>
    </row>
    <row r="448" spans="1:9" s="13" customFormat="1" ht="15.75" hidden="1">
      <c r="A448" s="14" t="s">
        <v>91</v>
      </c>
      <c r="B448" s="15" t="s">
        <v>92</v>
      </c>
      <c r="C448" s="38"/>
      <c r="D448" s="39"/>
      <c r="E448" s="39"/>
      <c r="F448" s="39"/>
      <c r="G448" s="39"/>
      <c r="I448" s="12"/>
    </row>
    <row r="449" spans="1:9" ht="31.5" hidden="1">
      <c r="A449" s="9">
        <v>43</v>
      </c>
      <c r="B449" s="10" t="s">
        <v>260</v>
      </c>
      <c r="C449" s="10"/>
      <c r="D449" s="10"/>
      <c r="E449" s="10"/>
      <c r="F449" s="10"/>
      <c r="G449" s="60">
        <f>SUM(G450:G453)</f>
        <v>0</v>
      </c>
      <c r="H449" s="40">
        <f>'[1]Місто'!$K$266</f>
        <v>0</v>
      </c>
      <c r="I449" s="12">
        <f>H449-G449</f>
        <v>0</v>
      </c>
    </row>
    <row r="450" spans="1:9" ht="15.75" hidden="1">
      <c r="A450" s="14" t="s">
        <v>91</v>
      </c>
      <c r="B450" s="15" t="s">
        <v>92</v>
      </c>
      <c r="C450" s="15"/>
      <c r="D450" s="17"/>
      <c r="E450" s="18"/>
      <c r="F450" s="17"/>
      <c r="G450" s="16"/>
      <c r="I450" s="12"/>
    </row>
    <row r="451" spans="1:9" ht="31.5" hidden="1">
      <c r="A451" s="41" t="s">
        <v>193</v>
      </c>
      <c r="B451" s="42" t="s">
        <v>194</v>
      </c>
      <c r="C451" s="15"/>
      <c r="D451" s="17"/>
      <c r="E451" s="18"/>
      <c r="F451" s="17"/>
      <c r="G451" s="16"/>
      <c r="I451" s="12">
        <f>H451-G451</f>
        <v>0</v>
      </c>
    </row>
    <row r="452" spans="1:9" ht="15.75" hidden="1">
      <c r="A452" s="41" t="s">
        <v>261</v>
      </c>
      <c r="B452" s="42" t="s">
        <v>195</v>
      </c>
      <c r="C452" s="15"/>
      <c r="D452" s="17"/>
      <c r="E452" s="18"/>
      <c r="F452" s="17"/>
      <c r="G452" s="16"/>
      <c r="I452" s="12">
        <f>H452-G452</f>
        <v>0</v>
      </c>
    </row>
    <row r="453" spans="1:9" ht="15.75" hidden="1">
      <c r="A453" s="14" t="s">
        <v>196</v>
      </c>
      <c r="B453" s="15" t="s">
        <v>197</v>
      </c>
      <c r="C453" s="15"/>
      <c r="D453" s="17"/>
      <c r="E453" s="18"/>
      <c r="F453" s="17"/>
      <c r="G453" s="16"/>
      <c r="I453" s="12">
        <f>H453-G453</f>
        <v>0</v>
      </c>
    </row>
    <row r="454" spans="1:9" s="13" customFormat="1" ht="31.5">
      <c r="A454" s="9" t="s">
        <v>262</v>
      </c>
      <c r="B454" s="10" t="s">
        <v>263</v>
      </c>
      <c r="C454" s="10"/>
      <c r="D454" s="11"/>
      <c r="E454" s="20"/>
      <c r="F454" s="11"/>
      <c r="G454" s="11">
        <f>G455</f>
        <v>46423</v>
      </c>
      <c r="H454" s="12">
        <f>'[1]Місто'!$K$327</f>
        <v>46423</v>
      </c>
      <c r="I454" s="12">
        <f>H454-G454</f>
        <v>0</v>
      </c>
    </row>
    <row r="455" spans="1:9" ht="15.75">
      <c r="A455" s="14" t="s">
        <v>91</v>
      </c>
      <c r="B455" s="15" t="s">
        <v>92</v>
      </c>
      <c r="C455" s="15" t="s">
        <v>93</v>
      </c>
      <c r="D455" s="17"/>
      <c r="E455" s="18"/>
      <c r="F455" s="17"/>
      <c r="G455" s="16">
        <f>'[1]Місто'!$K$329</f>
        <v>46423</v>
      </c>
      <c r="I455" s="12"/>
    </row>
    <row r="456" spans="1:9" ht="15.75">
      <c r="A456" s="14"/>
      <c r="B456" s="15"/>
      <c r="C456" s="15" t="s">
        <v>97</v>
      </c>
      <c r="D456" s="17"/>
      <c r="E456" s="18"/>
      <c r="F456" s="17"/>
      <c r="G456" s="16">
        <v>10423</v>
      </c>
      <c r="I456" s="12"/>
    </row>
    <row r="457" spans="1:9" ht="31.5">
      <c r="A457" s="9" t="s">
        <v>264</v>
      </c>
      <c r="B457" s="43" t="s">
        <v>265</v>
      </c>
      <c r="C457" s="43"/>
      <c r="D457" s="43"/>
      <c r="E457" s="43"/>
      <c r="F457" s="43"/>
      <c r="G457" s="62">
        <f>G458</f>
        <v>29000</v>
      </c>
      <c r="H457" s="40">
        <f>'[1]Місто'!$K$350</f>
        <v>29000</v>
      </c>
      <c r="I457" s="12">
        <f>H457-G457</f>
        <v>0</v>
      </c>
    </row>
    <row r="458" spans="1:9" ht="15.75">
      <c r="A458" s="14" t="s">
        <v>91</v>
      </c>
      <c r="B458" s="15" t="s">
        <v>92</v>
      </c>
      <c r="C458" s="15" t="s">
        <v>93</v>
      </c>
      <c r="D458" s="17"/>
      <c r="E458" s="18"/>
      <c r="F458" s="17"/>
      <c r="G458" s="16">
        <f>'[1]Місто'!$K$352</f>
        <v>29000</v>
      </c>
      <c r="I458" s="12"/>
    </row>
    <row r="459" spans="1:9" s="13" customFormat="1" ht="31.5">
      <c r="A459" s="9">
        <v>65</v>
      </c>
      <c r="B459" s="10" t="s">
        <v>266</v>
      </c>
      <c r="C459" s="10"/>
      <c r="D459" s="11">
        <f>SUM(D460:D463)</f>
        <v>2355141</v>
      </c>
      <c r="E459" s="11"/>
      <c r="F459" s="11">
        <f>SUM(F460:F463)</f>
        <v>2355141</v>
      </c>
      <c r="G459" s="11">
        <f>SUM(G460:G463)</f>
        <v>7201826</v>
      </c>
      <c r="H459" s="12">
        <f>'[1]Місто'!$K$364</f>
        <v>7201826</v>
      </c>
      <c r="I459" s="12">
        <f>H459-G459</f>
        <v>0</v>
      </c>
    </row>
    <row r="460" spans="1:9" ht="14.25" customHeight="1" hidden="1">
      <c r="A460" s="14">
        <v>120100</v>
      </c>
      <c r="B460" s="15" t="s">
        <v>267</v>
      </c>
      <c r="C460" s="15" t="s">
        <v>93</v>
      </c>
      <c r="D460" s="17"/>
      <c r="E460" s="18"/>
      <c r="F460" s="17"/>
      <c r="G460" s="16"/>
      <c r="I460" s="12"/>
    </row>
    <row r="461" spans="1:9" ht="45.75">
      <c r="A461" s="14">
        <v>150101</v>
      </c>
      <c r="B461" s="15" t="s">
        <v>94</v>
      </c>
      <c r="C461" s="15" t="s">
        <v>425</v>
      </c>
      <c r="D461" s="16">
        <v>2355141</v>
      </c>
      <c r="E461" s="16"/>
      <c r="F461" s="16">
        <v>2355141</v>
      </c>
      <c r="G461" s="16">
        <v>2355141</v>
      </c>
      <c r="I461" s="12"/>
    </row>
    <row r="462" spans="1:9" ht="27" customHeight="1">
      <c r="A462" s="14">
        <v>171000</v>
      </c>
      <c r="B462" s="15" t="s">
        <v>268</v>
      </c>
      <c r="C462" s="15" t="s">
        <v>93</v>
      </c>
      <c r="D462" s="17"/>
      <c r="E462" s="18"/>
      <c r="F462" s="17"/>
      <c r="G462" s="16">
        <f>'[1]Місто'!$J$373</f>
        <v>1583500</v>
      </c>
      <c r="I462" s="12"/>
    </row>
    <row r="463" spans="1:10" ht="30.75">
      <c r="A463" s="14">
        <v>180409</v>
      </c>
      <c r="B463" s="15" t="s">
        <v>256</v>
      </c>
      <c r="C463" s="15" t="s">
        <v>269</v>
      </c>
      <c r="D463" s="17"/>
      <c r="E463" s="17"/>
      <c r="F463" s="17"/>
      <c r="G463" s="16">
        <f>'[1]Місто'!$K$376</f>
        <v>3263185</v>
      </c>
      <c r="I463" s="12"/>
      <c r="J463" s="95"/>
    </row>
    <row r="464" spans="1:9" ht="15.75">
      <c r="A464" s="14"/>
      <c r="B464" s="15"/>
      <c r="C464" s="15" t="s">
        <v>344</v>
      </c>
      <c r="D464" s="17"/>
      <c r="E464" s="17"/>
      <c r="F464" s="17"/>
      <c r="G464" s="16"/>
      <c r="I464" s="12"/>
    </row>
    <row r="465" spans="1:9" ht="60">
      <c r="A465" s="14"/>
      <c r="B465" s="15"/>
      <c r="C465" s="56" t="s">
        <v>227</v>
      </c>
      <c r="D465" s="17"/>
      <c r="E465" s="17"/>
      <c r="F465" s="17"/>
      <c r="G465" s="16">
        <f>293193+2355141+1540480-2355141</f>
        <v>1833673</v>
      </c>
      <c r="I465" s="12"/>
    </row>
    <row r="466" spans="1:9" ht="45">
      <c r="A466" s="14"/>
      <c r="B466" s="15"/>
      <c r="C466" s="56" t="s">
        <v>399</v>
      </c>
      <c r="D466" s="17"/>
      <c r="E466" s="17"/>
      <c r="F466" s="17"/>
      <c r="G466" s="16">
        <f>634942+794570</f>
        <v>1429512</v>
      </c>
      <c r="I466" s="12"/>
    </row>
    <row r="467" spans="1:9" s="13" customFormat="1" ht="47.25">
      <c r="A467" s="9">
        <v>67</v>
      </c>
      <c r="B467" s="10" t="s">
        <v>270</v>
      </c>
      <c r="C467" s="10"/>
      <c r="D467" s="11">
        <f>D468</f>
        <v>0</v>
      </c>
      <c r="E467" s="11"/>
      <c r="F467" s="11">
        <f>F468</f>
        <v>0</v>
      </c>
      <c r="G467" s="11">
        <f>SUM(G468:G469)</f>
        <v>6922539</v>
      </c>
      <c r="H467" s="12">
        <f>'[1]Місто'!$K$381</f>
        <v>6922539</v>
      </c>
      <c r="I467" s="12">
        <f>H467-G467</f>
        <v>0</v>
      </c>
    </row>
    <row r="468" spans="1:9" ht="30.75">
      <c r="A468" s="14">
        <v>210105</v>
      </c>
      <c r="B468" s="15" t="s">
        <v>271</v>
      </c>
      <c r="C468" s="15" t="s">
        <v>93</v>
      </c>
      <c r="D468" s="17"/>
      <c r="E468" s="18"/>
      <c r="F468" s="17"/>
      <c r="G468" s="16">
        <f>'[1]Місто'!$K$385</f>
        <v>6850000</v>
      </c>
      <c r="I468" s="12"/>
    </row>
    <row r="469" spans="1:9" ht="15.75">
      <c r="A469" s="14">
        <v>210110</v>
      </c>
      <c r="B469" s="15" t="s">
        <v>272</v>
      </c>
      <c r="C469" s="15" t="s">
        <v>93</v>
      </c>
      <c r="D469" s="17"/>
      <c r="E469" s="18"/>
      <c r="F469" s="17"/>
      <c r="G469" s="16">
        <f>'[1]Місто'!$K$388</f>
        <v>72539</v>
      </c>
      <c r="I469" s="12"/>
    </row>
    <row r="470" spans="1:9" s="13" customFormat="1" ht="31.5">
      <c r="A470" s="9">
        <v>73</v>
      </c>
      <c r="B470" s="10" t="s">
        <v>273</v>
      </c>
      <c r="C470" s="10"/>
      <c r="D470" s="11">
        <f>SUM(D471:D487)-D487</f>
        <v>114647478</v>
      </c>
      <c r="E470" s="11"/>
      <c r="F470" s="11">
        <f>SUM(F471:F487)-F487</f>
        <v>103090970.00999999</v>
      </c>
      <c r="G470" s="11">
        <f>SUM(G471:G487)-G487-G485-G479-G481-G483</f>
        <v>37261546</v>
      </c>
      <c r="H470" s="12">
        <f>'[1]Місто'!$K$389</f>
        <v>37261546</v>
      </c>
      <c r="I470" s="12">
        <f>H470-G470</f>
        <v>0</v>
      </c>
    </row>
    <row r="471" spans="1:9" ht="15.75">
      <c r="A471" s="14" t="s">
        <v>91</v>
      </c>
      <c r="B471" s="15" t="s">
        <v>92</v>
      </c>
      <c r="C471" s="15" t="s">
        <v>93</v>
      </c>
      <c r="D471" s="17"/>
      <c r="E471" s="18"/>
      <c r="F471" s="17"/>
      <c r="G471" s="16">
        <f>'[1]Місто'!$K$391</f>
        <v>30000</v>
      </c>
      <c r="I471" s="12"/>
    </row>
    <row r="472" spans="1:9" ht="30.75">
      <c r="A472" s="14">
        <v>210105</v>
      </c>
      <c r="B472" s="15" t="s">
        <v>271</v>
      </c>
      <c r="C472" s="15" t="s">
        <v>93</v>
      </c>
      <c r="D472" s="17"/>
      <c r="E472" s="18"/>
      <c r="F472" s="17"/>
      <c r="G472" s="16">
        <f>'[1]Місто'!$K$403</f>
        <v>20000000</v>
      </c>
      <c r="I472" s="12"/>
    </row>
    <row r="473" spans="1:9" ht="30.75">
      <c r="A473" s="14">
        <v>150101</v>
      </c>
      <c r="B473" s="15" t="s">
        <v>94</v>
      </c>
      <c r="C473" s="15" t="s">
        <v>274</v>
      </c>
      <c r="D473" s="17">
        <v>13415939</v>
      </c>
      <c r="E473" s="18">
        <f>100-(F473/D473*100)</f>
        <v>39.61472596141052</v>
      </c>
      <c r="F473" s="17">
        <f>SUM(D473-(2652.28+224049.34+1231392.82+3025289.68+831303.35))</f>
        <v>8101251.53</v>
      </c>
      <c r="G473" s="16">
        <f>900195+7201057-2500000</f>
        <v>5601252</v>
      </c>
      <c r="I473" s="12"/>
    </row>
    <row r="474" spans="1:9" ht="30.75">
      <c r="A474" s="14">
        <v>150101</v>
      </c>
      <c r="B474" s="15" t="s">
        <v>94</v>
      </c>
      <c r="C474" s="15" t="s">
        <v>275</v>
      </c>
      <c r="D474" s="17">
        <f>2952107</f>
        <v>2952107</v>
      </c>
      <c r="E474" s="18">
        <f>100-(F474/D474*100)</f>
        <v>62.85076726554965</v>
      </c>
      <c r="F474" s="17">
        <v>1096685.1</v>
      </c>
      <c r="G474" s="16">
        <f>1096685-1000000</f>
        <v>96685</v>
      </c>
      <c r="I474" s="12"/>
    </row>
    <row r="475" spans="1:9" ht="45.75">
      <c r="A475" s="14">
        <v>150101</v>
      </c>
      <c r="B475" s="15" t="s">
        <v>94</v>
      </c>
      <c r="C475" s="15" t="s">
        <v>276</v>
      </c>
      <c r="D475" s="17">
        <v>200000</v>
      </c>
      <c r="E475" s="18"/>
      <c r="F475" s="17">
        <v>200000</v>
      </c>
      <c r="G475" s="16">
        <v>200000</v>
      </c>
      <c r="I475" s="12"/>
    </row>
    <row r="476" spans="1:9" ht="45.75">
      <c r="A476" s="14">
        <v>150101</v>
      </c>
      <c r="B476" s="15" t="s">
        <v>94</v>
      </c>
      <c r="C476" s="15" t="s">
        <v>277</v>
      </c>
      <c r="D476" s="17">
        <v>150000</v>
      </c>
      <c r="E476" s="18"/>
      <c r="F476" s="17">
        <v>150000</v>
      </c>
      <c r="G476" s="16">
        <v>150000</v>
      </c>
      <c r="I476" s="12"/>
    </row>
    <row r="477" spans="1:9" ht="60.75">
      <c r="A477" s="14">
        <v>150101</v>
      </c>
      <c r="B477" s="15" t="s">
        <v>94</v>
      </c>
      <c r="C477" s="15" t="s">
        <v>278</v>
      </c>
      <c r="D477" s="17"/>
      <c r="E477" s="18"/>
      <c r="F477" s="17"/>
      <c r="G477" s="16">
        <v>31223</v>
      </c>
      <c r="I477" s="12"/>
    </row>
    <row r="478" spans="1:9" ht="45.75">
      <c r="A478" s="14">
        <v>150101</v>
      </c>
      <c r="B478" s="15" t="s">
        <v>94</v>
      </c>
      <c r="C478" s="15" t="s">
        <v>112</v>
      </c>
      <c r="D478" s="17">
        <v>40486207</v>
      </c>
      <c r="E478" s="18">
        <f>100-(F478/D478*100)</f>
        <v>1.1220537404257271</v>
      </c>
      <c r="F478" s="17">
        <v>40031930</v>
      </c>
      <c r="G478" s="16">
        <f>3408+14653</f>
        <v>18061</v>
      </c>
      <c r="I478" s="12"/>
    </row>
    <row r="479" spans="1:9" ht="15.75">
      <c r="A479" s="14"/>
      <c r="B479" s="15"/>
      <c r="C479" s="15" t="s">
        <v>97</v>
      </c>
      <c r="D479" s="17"/>
      <c r="E479" s="18"/>
      <c r="F479" s="17"/>
      <c r="G479" s="16">
        <v>3408</v>
      </c>
      <c r="I479" s="12"/>
    </row>
    <row r="480" spans="1:9" ht="45.75">
      <c r="A480" s="14">
        <v>150101</v>
      </c>
      <c r="B480" s="15" t="s">
        <v>94</v>
      </c>
      <c r="C480" s="15" t="s">
        <v>113</v>
      </c>
      <c r="D480" s="17">
        <v>41973922</v>
      </c>
      <c r="E480" s="18">
        <f>100-(F480/D480*100)</f>
        <v>1.560881063246839</v>
      </c>
      <c r="F480" s="17">
        <v>41318759</v>
      </c>
      <c r="G480" s="16">
        <f>7119+2914+6798</f>
        <v>16831</v>
      </c>
      <c r="I480" s="12"/>
    </row>
    <row r="481" spans="1:9" ht="15.75">
      <c r="A481" s="14"/>
      <c r="B481" s="15"/>
      <c r="C481" s="15" t="s">
        <v>97</v>
      </c>
      <c r="D481" s="17"/>
      <c r="E481" s="18"/>
      <c r="F481" s="17"/>
      <c r="G481" s="16">
        <v>7119</v>
      </c>
      <c r="I481" s="12"/>
    </row>
    <row r="482" spans="1:9" ht="30.75">
      <c r="A482" s="14">
        <v>150101</v>
      </c>
      <c r="B482" s="15" t="s">
        <v>94</v>
      </c>
      <c r="C482" s="15" t="s">
        <v>114</v>
      </c>
      <c r="D482" s="17">
        <v>1222082</v>
      </c>
      <c r="E482" s="18">
        <f>100-(F482/D482*100)</f>
        <v>11.66648391842773</v>
      </c>
      <c r="F482" s="17">
        <v>1079508</v>
      </c>
      <c r="G482" s="16">
        <f>3907+751</f>
        <v>4658</v>
      </c>
      <c r="I482" s="12"/>
    </row>
    <row r="483" spans="1:9" ht="15.75">
      <c r="A483" s="14"/>
      <c r="B483" s="15"/>
      <c r="C483" s="15" t="s">
        <v>97</v>
      </c>
      <c r="D483" s="17"/>
      <c r="E483" s="18"/>
      <c r="F483" s="17"/>
      <c r="G483" s="16">
        <v>3907</v>
      </c>
      <c r="I483" s="12"/>
    </row>
    <row r="484" spans="1:9" ht="15.75">
      <c r="A484" s="14">
        <v>150101</v>
      </c>
      <c r="B484" s="15" t="s">
        <v>94</v>
      </c>
      <c r="C484" s="15" t="s">
        <v>336</v>
      </c>
      <c r="D484" s="17">
        <v>137164</v>
      </c>
      <c r="E484" s="18">
        <f>100-(F484/D484*100)</f>
        <v>25.139249365722776</v>
      </c>
      <c r="F484" s="17">
        <v>102682</v>
      </c>
      <c r="G484" s="16">
        <f>8150+94532</f>
        <v>102682</v>
      </c>
      <c r="I484" s="12"/>
    </row>
    <row r="485" spans="1:9" ht="15.75">
      <c r="A485" s="14"/>
      <c r="B485" s="15"/>
      <c r="C485" s="15" t="s">
        <v>97</v>
      </c>
      <c r="D485" s="17"/>
      <c r="E485" s="18"/>
      <c r="F485" s="17"/>
      <c r="G485" s="16">
        <v>8150</v>
      </c>
      <c r="I485" s="12"/>
    </row>
    <row r="486" spans="1:9" ht="45.75">
      <c r="A486" s="14">
        <v>150121</v>
      </c>
      <c r="B486" s="15" t="s">
        <v>279</v>
      </c>
      <c r="C486" s="15" t="s">
        <v>280</v>
      </c>
      <c r="D486" s="17">
        <v>14110057</v>
      </c>
      <c r="E486" s="18">
        <f>100-(F486/D486*100)</f>
        <v>21.969454978105347</v>
      </c>
      <c r="F486" s="17">
        <f>SUM(D486)-(56356.56+570604+1000000+338942.4+271527.7+862471.96)</f>
        <v>11010154.379999999</v>
      </c>
      <c r="G486" s="16">
        <f>1348330+10944+9650880</f>
        <v>11010154</v>
      </c>
      <c r="I486" s="12"/>
    </row>
    <row r="487" spans="1:9" ht="15.75">
      <c r="A487" s="14"/>
      <c r="B487" s="15"/>
      <c r="C487" s="15" t="s">
        <v>97</v>
      </c>
      <c r="D487" s="17"/>
      <c r="E487" s="18"/>
      <c r="F487" s="17"/>
      <c r="G487" s="16">
        <v>10944</v>
      </c>
      <c r="I487" s="12"/>
    </row>
    <row r="488" spans="1:9" s="13" customFormat="1" ht="31.5" hidden="1">
      <c r="A488" s="9" t="s">
        <v>281</v>
      </c>
      <c r="B488" s="10" t="s">
        <v>282</v>
      </c>
      <c r="C488" s="10"/>
      <c r="D488" s="11"/>
      <c r="E488" s="20"/>
      <c r="F488" s="11"/>
      <c r="G488" s="39"/>
      <c r="H488" s="12">
        <f>'[1]Місто'!$K$407</f>
        <v>0</v>
      </c>
      <c r="I488" s="12">
        <f>H488-G488</f>
        <v>0</v>
      </c>
    </row>
    <row r="489" spans="1:9" ht="15.75" hidden="1">
      <c r="A489" s="14" t="s">
        <v>91</v>
      </c>
      <c r="B489" s="15" t="s">
        <v>92</v>
      </c>
      <c r="C489" s="15" t="s">
        <v>93</v>
      </c>
      <c r="D489" s="17"/>
      <c r="E489" s="18"/>
      <c r="F489" s="17"/>
      <c r="G489" s="16"/>
      <c r="I489" s="12"/>
    </row>
    <row r="490" spans="1:9" s="13" customFormat="1" ht="31.5">
      <c r="A490" s="9" t="s">
        <v>283</v>
      </c>
      <c r="B490" s="10" t="s">
        <v>282</v>
      </c>
      <c r="C490" s="10"/>
      <c r="D490" s="11"/>
      <c r="E490" s="20"/>
      <c r="F490" s="11"/>
      <c r="G490" s="11">
        <f>G491</f>
        <v>620407</v>
      </c>
      <c r="H490" s="12">
        <f>'[1]Місто'!$K$419</f>
        <v>620407</v>
      </c>
      <c r="I490" s="12">
        <f>H490-G490</f>
        <v>0</v>
      </c>
    </row>
    <row r="491" spans="1:9" ht="15.75">
      <c r="A491" s="14">
        <v>250380</v>
      </c>
      <c r="B491" s="15" t="s">
        <v>251</v>
      </c>
      <c r="C491" s="15" t="s">
        <v>93</v>
      </c>
      <c r="D491" s="17"/>
      <c r="E491" s="18"/>
      <c r="F491" s="17"/>
      <c r="G491" s="16">
        <v>620407</v>
      </c>
      <c r="I491" s="12"/>
    </row>
    <row r="492" spans="1:9" s="13" customFormat="1" ht="31.5">
      <c r="A492" s="9">
        <v>90</v>
      </c>
      <c r="B492" s="10" t="s">
        <v>284</v>
      </c>
      <c r="C492" s="10"/>
      <c r="D492" s="11"/>
      <c r="E492" s="20"/>
      <c r="F492" s="11"/>
      <c r="G492" s="11">
        <f>G493</f>
        <v>105037</v>
      </c>
      <c r="H492" s="12">
        <f>'[1]Місто'!$K$424</f>
        <v>105037</v>
      </c>
      <c r="I492" s="12">
        <f>H492-G492</f>
        <v>0</v>
      </c>
    </row>
    <row r="493" spans="1:9" ht="15.75">
      <c r="A493" s="14" t="s">
        <v>91</v>
      </c>
      <c r="B493" s="15" t="s">
        <v>92</v>
      </c>
      <c r="C493" s="15" t="s">
        <v>93</v>
      </c>
      <c r="D493" s="17"/>
      <c r="E493" s="18"/>
      <c r="F493" s="17"/>
      <c r="G493" s="16">
        <f>'[1]Місто'!$K$426</f>
        <v>105037</v>
      </c>
      <c r="I493" s="12"/>
    </row>
    <row r="494" spans="1:9" ht="15.75" hidden="1">
      <c r="A494" s="14" t="s">
        <v>261</v>
      </c>
      <c r="B494" s="15" t="s">
        <v>285</v>
      </c>
      <c r="C494" s="15" t="s">
        <v>93</v>
      </c>
      <c r="D494" s="17"/>
      <c r="E494" s="18"/>
      <c r="F494" s="17"/>
      <c r="G494" s="16"/>
      <c r="I494" s="12"/>
    </row>
    <row r="495" spans="1:9" ht="15.75" hidden="1">
      <c r="A495" s="14" t="s">
        <v>286</v>
      </c>
      <c r="B495" s="15" t="s">
        <v>94</v>
      </c>
      <c r="C495" s="15"/>
      <c r="D495" s="17"/>
      <c r="E495" s="18"/>
      <c r="F495" s="17"/>
      <c r="G495" s="16"/>
      <c r="I495" s="12"/>
    </row>
    <row r="496" spans="1:9" s="13" customFormat="1" ht="31.5">
      <c r="A496" s="9">
        <v>91</v>
      </c>
      <c r="B496" s="10" t="s">
        <v>287</v>
      </c>
      <c r="C496" s="10"/>
      <c r="D496" s="11">
        <f>SUM(D497:D498)</f>
        <v>0</v>
      </c>
      <c r="E496" s="11"/>
      <c r="F496" s="11">
        <f>SUM(F497:F498)</f>
        <v>0</v>
      </c>
      <c r="G496" s="11">
        <f>SUM(G497:G498)</f>
        <v>11000</v>
      </c>
      <c r="H496" s="12">
        <f>'[1]Місто'!$K$441</f>
        <v>11000</v>
      </c>
      <c r="I496" s="12">
        <f>H496-G496</f>
        <v>0</v>
      </c>
    </row>
    <row r="497" spans="1:9" ht="15.75" hidden="1">
      <c r="A497" s="14">
        <v>10116</v>
      </c>
      <c r="B497" s="15" t="s">
        <v>92</v>
      </c>
      <c r="C497" s="15" t="s">
        <v>93</v>
      </c>
      <c r="D497" s="17"/>
      <c r="E497" s="18"/>
      <c r="F497" s="17"/>
      <c r="G497" s="16"/>
      <c r="I497" s="12"/>
    </row>
    <row r="498" spans="1:9" ht="19.5" customHeight="1">
      <c r="A498" s="14" t="s">
        <v>261</v>
      </c>
      <c r="B498" s="15" t="s">
        <v>285</v>
      </c>
      <c r="C498" s="15" t="s">
        <v>93</v>
      </c>
      <c r="D498" s="17"/>
      <c r="E498" s="18"/>
      <c r="F498" s="17"/>
      <c r="G498" s="16">
        <f>'[1]Місто'!$K$445</f>
        <v>11000</v>
      </c>
      <c r="I498" s="12"/>
    </row>
    <row r="499" spans="1:9" s="13" customFormat="1" ht="31.5">
      <c r="A499" s="9">
        <v>92</v>
      </c>
      <c r="B499" s="10" t="s">
        <v>289</v>
      </c>
      <c r="C499" s="10"/>
      <c r="D499" s="11">
        <f>SUM(D500:D511)-D509</f>
        <v>13092632</v>
      </c>
      <c r="E499" s="11"/>
      <c r="F499" s="11">
        <f>SUM(F500:F511)-F509</f>
        <v>12357087</v>
      </c>
      <c r="G499" s="11">
        <f>SUM(G500:G511)-G509</f>
        <v>4919145</v>
      </c>
      <c r="H499" s="12">
        <f>'[1]Місто'!$K$458</f>
        <v>4919145</v>
      </c>
      <c r="I499" s="12">
        <f>H499-G499</f>
        <v>0</v>
      </c>
    </row>
    <row r="500" spans="1:9" ht="15.75" hidden="1">
      <c r="A500" s="14" t="s">
        <v>91</v>
      </c>
      <c r="B500" s="15" t="s">
        <v>92</v>
      </c>
      <c r="C500" s="15" t="s">
        <v>93</v>
      </c>
      <c r="D500" s="17"/>
      <c r="E500" s="18"/>
      <c r="F500" s="17"/>
      <c r="G500" s="16"/>
      <c r="I500" s="12"/>
    </row>
    <row r="501" spans="1:9" ht="30.75">
      <c r="A501" s="14" t="s">
        <v>261</v>
      </c>
      <c r="B501" s="15" t="s">
        <v>285</v>
      </c>
      <c r="C501" s="15" t="s">
        <v>307</v>
      </c>
      <c r="D501" s="17"/>
      <c r="E501" s="18"/>
      <c r="F501" s="17"/>
      <c r="G501" s="16">
        <f>'[1]Місто'!K461</f>
        <v>38907</v>
      </c>
      <c r="I501" s="12"/>
    </row>
    <row r="502" spans="1:9" ht="15.75">
      <c r="A502" s="14">
        <v>150101</v>
      </c>
      <c r="B502" s="15" t="s">
        <v>94</v>
      </c>
      <c r="C502" s="15" t="s">
        <v>290</v>
      </c>
      <c r="D502" s="17">
        <v>10000000</v>
      </c>
      <c r="E502" s="18"/>
      <c r="F502" s="17">
        <v>10000000</v>
      </c>
      <c r="G502" s="16">
        <f>4000000-916804-18318-48174</f>
        <v>3016704</v>
      </c>
      <c r="I502" s="12"/>
    </row>
    <row r="503" spans="1:9" ht="45.75">
      <c r="A503" s="14">
        <v>150101</v>
      </c>
      <c r="B503" s="15" t="s">
        <v>94</v>
      </c>
      <c r="C503" s="15" t="s">
        <v>291</v>
      </c>
      <c r="D503" s="17">
        <v>146946</v>
      </c>
      <c r="E503" s="18"/>
      <c r="F503" s="17">
        <v>146946</v>
      </c>
      <c r="G503" s="16">
        <f>80000+66946</f>
        <v>146946</v>
      </c>
      <c r="I503" s="12"/>
    </row>
    <row r="504" spans="1:9" ht="45.75">
      <c r="A504" s="14">
        <v>150101</v>
      </c>
      <c r="B504" s="15" t="s">
        <v>94</v>
      </c>
      <c r="C504" s="15" t="s">
        <v>292</v>
      </c>
      <c r="D504" s="17">
        <v>70000</v>
      </c>
      <c r="E504" s="18"/>
      <c r="F504" s="17">
        <v>70000</v>
      </c>
      <c r="G504" s="16">
        <v>70000</v>
      </c>
      <c r="I504" s="12"/>
    </row>
    <row r="505" spans="1:9" ht="30.75">
      <c r="A505" s="14">
        <v>150101</v>
      </c>
      <c r="B505" s="15" t="s">
        <v>94</v>
      </c>
      <c r="C505" s="15" t="s">
        <v>293</v>
      </c>
      <c r="D505" s="17">
        <v>1000000</v>
      </c>
      <c r="E505" s="18"/>
      <c r="F505" s="17">
        <v>1000000</v>
      </c>
      <c r="G505" s="16">
        <v>70000</v>
      </c>
      <c r="I505" s="12"/>
    </row>
    <row r="506" spans="1:9" ht="60.75">
      <c r="A506" s="14">
        <v>150101</v>
      </c>
      <c r="B506" s="15" t="s">
        <v>94</v>
      </c>
      <c r="C506" s="15" t="s">
        <v>294</v>
      </c>
      <c r="D506" s="17"/>
      <c r="E506" s="18"/>
      <c r="F506" s="17"/>
      <c r="G506" s="16">
        <v>291294</v>
      </c>
      <c r="I506" s="12"/>
    </row>
    <row r="507" spans="1:9" ht="45.75">
      <c r="A507" s="14">
        <v>150101</v>
      </c>
      <c r="B507" s="15" t="s">
        <v>94</v>
      </c>
      <c r="C507" s="15" t="s">
        <v>295</v>
      </c>
      <c r="D507" s="17"/>
      <c r="E507" s="18"/>
      <c r="F507" s="17"/>
      <c r="G507" s="16">
        <v>254731</v>
      </c>
      <c r="I507" s="12"/>
    </row>
    <row r="508" spans="1:9" ht="30.75">
      <c r="A508" s="14">
        <v>150101</v>
      </c>
      <c r="B508" s="15" t="s">
        <v>94</v>
      </c>
      <c r="C508" s="15" t="s">
        <v>395</v>
      </c>
      <c r="D508" s="17">
        <v>999736</v>
      </c>
      <c r="E508" s="18">
        <f>100-(F508/D508*100)</f>
        <v>26.385665815775354</v>
      </c>
      <c r="F508" s="17">
        <v>735949</v>
      </c>
      <c r="G508" s="16">
        <f>444096+291853-153361</f>
        <v>582588</v>
      </c>
      <c r="I508" s="12"/>
    </row>
    <row r="509" spans="1:9" ht="15.75">
      <c r="A509" s="14"/>
      <c r="B509" s="15"/>
      <c r="C509" s="15" t="s">
        <v>97</v>
      </c>
      <c r="D509" s="17"/>
      <c r="E509" s="18"/>
      <c r="F509" s="17"/>
      <c r="G509" s="16">
        <v>444096</v>
      </c>
      <c r="I509" s="12"/>
    </row>
    <row r="510" spans="1:9" ht="45.75">
      <c r="A510" s="14">
        <v>150101</v>
      </c>
      <c r="B510" s="15" t="s">
        <v>94</v>
      </c>
      <c r="C510" s="15" t="s">
        <v>296</v>
      </c>
      <c r="D510" s="17"/>
      <c r="E510" s="18"/>
      <c r="F510" s="17"/>
      <c r="G510" s="16">
        <v>43783</v>
      </c>
      <c r="I510" s="12"/>
    </row>
    <row r="511" spans="1:9" ht="30.75">
      <c r="A511" s="14">
        <v>150101</v>
      </c>
      <c r="B511" s="15" t="s">
        <v>94</v>
      </c>
      <c r="C511" s="15" t="s">
        <v>396</v>
      </c>
      <c r="D511" s="17">
        <v>875950</v>
      </c>
      <c r="E511" s="18">
        <f>100-(F511/D511*100)</f>
        <v>53.85672698213369</v>
      </c>
      <c r="F511" s="17">
        <v>404192</v>
      </c>
      <c r="G511" s="16">
        <f>43256+360936</f>
        <v>404192</v>
      </c>
      <c r="I511" s="12"/>
    </row>
    <row r="512" spans="1:9" ht="15.75">
      <c r="A512" s="14"/>
      <c r="B512" s="15"/>
      <c r="C512" s="15" t="s">
        <v>97</v>
      </c>
      <c r="D512" s="17"/>
      <c r="E512" s="18"/>
      <c r="F512" s="17"/>
      <c r="G512" s="16">
        <v>43256</v>
      </c>
      <c r="I512" s="12"/>
    </row>
    <row r="513" spans="1:9" s="13" customFormat="1" ht="36" customHeight="1">
      <c r="A513" s="9">
        <v>93</v>
      </c>
      <c r="B513" s="10" t="s">
        <v>297</v>
      </c>
      <c r="C513" s="10"/>
      <c r="D513" s="11">
        <f>SUM(D516:D519)-D517</f>
        <v>996000</v>
      </c>
      <c r="E513" s="20"/>
      <c r="F513" s="11">
        <f>SUM(F516:F519)-F517</f>
        <v>996000</v>
      </c>
      <c r="G513" s="11">
        <f>SUM(G516:G519)-G517</f>
        <v>1000228</v>
      </c>
      <c r="H513" s="12">
        <f>'[1]Місто'!$K$475</f>
        <v>1000228</v>
      </c>
      <c r="I513" s="12">
        <f>H513-G513</f>
        <v>0</v>
      </c>
    </row>
    <row r="514" spans="1:9" ht="15.75" hidden="1">
      <c r="A514" s="14" t="s">
        <v>91</v>
      </c>
      <c r="B514" s="15" t="s">
        <v>92</v>
      </c>
      <c r="C514" s="15" t="s">
        <v>93</v>
      </c>
      <c r="D514" s="17"/>
      <c r="E514" s="18"/>
      <c r="F514" s="17"/>
      <c r="G514" s="16"/>
      <c r="I514" s="12"/>
    </row>
    <row r="515" spans="1:9" ht="15.75" hidden="1">
      <c r="A515" s="14" t="s">
        <v>261</v>
      </c>
      <c r="B515" s="15" t="s">
        <v>285</v>
      </c>
      <c r="C515" s="15" t="s">
        <v>93</v>
      </c>
      <c r="D515" s="17"/>
      <c r="E515" s="18"/>
      <c r="F515" s="17"/>
      <c r="G515" s="16"/>
      <c r="I515" s="12"/>
    </row>
    <row r="516" spans="1:9" ht="48" customHeight="1" hidden="1">
      <c r="A516" s="14"/>
      <c r="B516" s="15"/>
      <c r="C516" s="15"/>
      <c r="D516" s="17"/>
      <c r="E516" s="17"/>
      <c r="F516" s="17"/>
      <c r="G516" s="16"/>
      <c r="I516" s="12"/>
    </row>
    <row r="517" spans="1:9" ht="36.75" customHeight="1" hidden="1">
      <c r="A517" s="14"/>
      <c r="B517" s="15"/>
      <c r="C517" s="15"/>
      <c r="D517" s="17"/>
      <c r="E517" s="17"/>
      <c r="F517" s="17"/>
      <c r="G517" s="16"/>
      <c r="I517" s="12"/>
    </row>
    <row r="518" spans="1:9" ht="30.75">
      <c r="A518" s="14">
        <v>150101</v>
      </c>
      <c r="B518" s="15" t="s">
        <v>94</v>
      </c>
      <c r="C518" s="15" t="s">
        <v>298</v>
      </c>
      <c r="D518" s="17"/>
      <c r="E518" s="18"/>
      <c r="F518" s="17"/>
      <c r="G518" s="16">
        <f>2692+1536</f>
        <v>4228</v>
      </c>
      <c r="I518" s="12"/>
    </row>
    <row r="519" spans="1:9" ht="30.75">
      <c r="A519" s="14">
        <v>150101</v>
      </c>
      <c r="B519" s="15" t="s">
        <v>94</v>
      </c>
      <c r="C519" s="15" t="s">
        <v>341</v>
      </c>
      <c r="D519" s="17">
        <v>996000</v>
      </c>
      <c r="E519" s="18"/>
      <c r="F519" s="17">
        <v>996000</v>
      </c>
      <c r="G519" s="16">
        <v>996000</v>
      </c>
      <c r="I519" s="12"/>
    </row>
    <row r="520" spans="1:9" ht="33" customHeight="1">
      <c r="A520" s="9">
        <v>94</v>
      </c>
      <c r="B520" s="10" t="s">
        <v>299</v>
      </c>
      <c r="C520" s="44"/>
      <c r="D520" s="45"/>
      <c r="E520" s="46"/>
      <c r="F520" s="45"/>
      <c r="G520" s="11">
        <f>G521</f>
        <v>5200</v>
      </c>
      <c r="H520" s="40">
        <f>'[1]Місто'!$K$492</f>
        <v>5200</v>
      </c>
      <c r="I520" s="12">
        <f>H520-G520</f>
        <v>0</v>
      </c>
    </row>
    <row r="521" spans="1:9" ht="21.75" customHeight="1">
      <c r="A521" s="14" t="s">
        <v>261</v>
      </c>
      <c r="B521" s="15" t="s">
        <v>285</v>
      </c>
      <c r="C521" s="15" t="s">
        <v>93</v>
      </c>
      <c r="D521" s="17"/>
      <c r="E521" s="18"/>
      <c r="F521" s="17"/>
      <c r="G521" s="17">
        <f>'[1]Місто'!$K$496</f>
        <v>5200</v>
      </c>
      <c r="I521" s="12"/>
    </row>
    <row r="522" spans="1:9" s="13" customFormat="1" ht="35.25" customHeight="1">
      <c r="A522" s="9">
        <v>95</v>
      </c>
      <c r="B522" s="10" t="s">
        <v>300</v>
      </c>
      <c r="C522" s="10"/>
      <c r="D522" s="11">
        <f>SUM(D523:D525)</f>
        <v>1145573</v>
      </c>
      <c r="E522" s="11">
        <f>SUM(E523:E525)</f>
        <v>0</v>
      </c>
      <c r="F522" s="11">
        <f>SUM(F523:F525)</f>
        <v>1145573</v>
      </c>
      <c r="G522" s="11">
        <f>SUM(G523:G525)</f>
        <v>1168469</v>
      </c>
      <c r="H522" s="12">
        <f>'[1]Місто'!$K$510</f>
        <v>1168469</v>
      </c>
      <c r="I522" s="12">
        <f>H522-G522</f>
        <v>0</v>
      </c>
    </row>
    <row r="523" spans="1:9" ht="31.5" customHeight="1">
      <c r="A523" s="14" t="s">
        <v>91</v>
      </c>
      <c r="B523" s="15" t="s">
        <v>92</v>
      </c>
      <c r="C523" s="15" t="s">
        <v>307</v>
      </c>
      <c r="D523" s="17"/>
      <c r="E523" s="18"/>
      <c r="F523" s="17"/>
      <c r="G523" s="16">
        <f>'[1]Місто'!$K$512</f>
        <v>2896</v>
      </c>
      <c r="I523" s="12"/>
    </row>
    <row r="524" spans="1:9" ht="30.75">
      <c r="A524" s="14" t="s">
        <v>261</v>
      </c>
      <c r="B524" s="15" t="s">
        <v>285</v>
      </c>
      <c r="C524" s="15" t="s">
        <v>307</v>
      </c>
      <c r="D524" s="17"/>
      <c r="E524" s="18"/>
      <c r="F524" s="17"/>
      <c r="G524" s="16">
        <f>'[1]Місто'!$K$514</f>
        <v>20000</v>
      </c>
      <c r="I524" s="12"/>
    </row>
    <row r="525" spans="1:9" ht="30.75">
      <c r="A525" s="14" t="s">
        <v>286</v>
      </c>
      <c r="B525" s="15" t="s">
        <v>94</v>
      </c>
      <c r="C525" s="15" t="s">
        <v>301</v>
      </c>
      <c r="D525" s="26">
        <v>1145573</v>
      </c>
      <c r="E525" s="36"/>
      <c r="F525" s="26">
        <v>1145573</v>
      </c>
      <c r="G525" s="53">
        <f>1158552-20072-12623+21734-2018</f>
        <v>1145573</v>
      </c>
      <c r="I525" s="12"/>
    </row>
    <row r="526" spans="1:9" ht="15.75">
      <c r="A526" s="14"/>
      <c r="B526" s="15"/>
      <c r="C526" s="15" t="s">
        <v>97</v>
      </c>
      <c r="D526" s="26"/>
      <c r="E526" s="36"/>
      <c r="F526" s="26"/>
      <c r="G526" s="53">
        <v>21734</v>
      </c>
      <c r="I526" s="12"/>
    </row>
    <row r="527" spans="1:9" s="13" customFormat="1" ht="42" customHeight="1">
      <c r="A527" s="9">
        <v>96</v>
      </c>
      <c r="B527" s="10" t="s">
        <v>302</v>
      </c>
      <c r="C527" s="10"/>
      <c r="D527" s="11"/>
      <c r="E527" s="20"/>
      <c r="F527" s="11"/>
      <c r="G527" s="11">
        <f>G528</f>
        <v>146388</v>
      </c>
      <c r="H527" s="12">
        <f>'[1]Місто'!$K$528</f>
        <v>146388</v>
      </c>
      <c r="I527" s="12">
        <f>H527-G527</f>
        <v>0</v>
      </c>
    </row>
    <row r="528" spans="1:7" ht="33.75" customHeight="1">
      <c r="A528" s="14" t="s">
        <v>91</v>
      </c>
      <c r="B528" s="15" t="s">
        <v>92</v>
      </c>
      <c r="C528" s="15" t="s">
        <v>307</v>
      </c>
      <c r="D528" s="17"/>
      <c r="E528" s="18"/>
      <c r="F528" s="17"/>
      <c r="G528" s="16">
        <f>'[1]Місто'!$K$530</f>
        <v>146388</v>
      </c>
    </row>
    <row r="529" spans="1:7" ht="33.75" customHeight="1" hidden="1">
      <c r="A529" s="14" t="s">
        <v>196</v>
      </c>
      <c r="B529" s="15" t="s">
        <v>197</v>
      </c>
      <c r="C529" s="15" t="s">
        <v>93</v>
      </c>
      <c r="D529" s="17"/>
      <c r="E529" s="18"/>
      <c r="F529" s="17"/>
      <c r="G529" s="16"/>
    </row>
    <row r="530" spans="1:9" s="13" customFormat="1" ht="21" customHeight="1">
      <c r="A530" s="47"/>
      <c r="B530" s="48" t="s">
        <v>303</v>
      </c>
      <c r="C530" s="48"/>
      <c r="D530" s="49">
        <f>D12+D19+D55+D86+D100+D102+D104+D115+D118+D120+D447+D449+D454+D457+D459+D467+D470+D488+D490+D492+D496+D499+D513+D520+D522+D527</f>
        <v>387057819</v>
      </c>
      <c r="E530" s="49"/>
      <c r="F530" s="49">
        <f>F12+F19+F55+F86+F100+F102+F104+F115+F118+F120+F447+F449+F454+F457+F459+F467+F470+F488+F490+F492+F496+F499+F513+F520+F522+F527</f>
        <v>341635149.4</v>
      </c>
      <c r="G530" s="39">
        <f>G12+G19+G55+G86+G100+G102+G104+G115+G118+G120+G447+G449+G454+G457+G459+G467+G470+G488+G490+G492+G496+G499+G513+G520+G522+G527</f>
        <v>250356696</v>
      </c>
      <c r="H530" s="50">
        <f>'[1]Місто'!$K$543</f>
        <v>250356696</v>
      </c>
      <c r="I530" s="12">
        <f>H530-G530</f>
        <v>0</v>
      </c>
    </row>
    <row r="531" spans="1:7" ht="18" customHeight="1">
      <c r="A531" s="51"/>
      <c r="B531" s="52"/>
      <c r="C531" s="52"/>
      <c r="D531" s="51"/>
      <c r="E531" s="51"/>
      <c r="F531" s="51"/>
      <c r="G531" s="61"/>
    </row>
    <row r="532" spans="1:7" ht="27.75">
      <c r="A532" s="51"/>
      <c r="B532" s="82" t="s">
        <v>304</v>
      </c>
      <c r="C532" s="52"/>
      <c r="D532" s="51"/>
      <c r="E532" s="51"/>
      <c r="F532" s="81" t="s">
        <v>305</v>
      </c>
      <c r="G532" s="61"/>
    </row>
  </sheetData>
  <sheetProtection selectLockedCells="1" selectUnlockedCells="1"/>
  <mergeCells count="9">
    <mergeCell ref="D3:F3"/>
    <mergeCell ref="D1:F1"/>
    <mergeCell ref="D2:F2"/>
    <mergeCell ref="A6:G6"/>
    <mergeCell ref="C9:C10"/>
    <mergeCell ref="D9:D10"/>
    <mergeCell ref="E9:E10"/>
    <mergeCell ref="F9:F10"/>
    <mergeCell ref="G9:G10"/>
  </mergeCells>
  <printOptions/>
  <pageMargins left="0.47" right="0.31496062992125984" top="0.6" bottom="0.28" header="0.46" footer="0.41"/>
  <pageSetup fitToHeight="44" fitToWidth="1" horizontalDpi="600" verticalDpi="600" orientation="landscape" paperSize="9" scale="67" r:id="rId1"/>
  <headerFooter alignWithMargins="0">
    <oddHeader>&amp;C&amp;P</oddHeader>
  </headerFooter>
  <rowBreaks count="1" manualBreakCount="1">
    <brk id="417"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cp:lastModifiedBy>
  <cp:lastPrinted>2013-05-29T10:28:23Z</cp:lastPrinted>
  <dcterms:created xsi:type="dcterms:W3CDTF">2013-02-22T14:02:03Z</dcterms:created>
  <dcterms:modified xsi:type="dcterms:W3CDTF">2013-06-07T06:15:22Z</dcterms:modified>
  <cp:category/>
  <cp:version/>
  <cp:contentType/>
  <cp:contentStatus/>
</cp:coreProperties>
</file>