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420" activeTab="0"/>
  </bookViews>
  <sheets>
    <sheet name="додаток 1" sheetId="1" r:id="rId1"/>
  </sheets>
  <definedNames>
    <definedName name="_xlnm.Print_Area" localSheetId="0">'додаток 1'!$A$1:$H$281</definedName>
  </definedNames>
  <calcPr fullCalcOnLoad="1"/>
</workbook>
</file>

<file path=xl/sharedStrings.xml><?xml version="1.0" encoding="utf-8"?>
<sst xmlns="http://schemas.openxmlformats.org/spreadsheetml/2006/main" count="389" uniqueCount="193">
  <si>
    <t>ЗАТВЕРДЖЕНО</t>
  </si>
  <si>
    <t>Рішення міської ради</t>
  </si>
  <si>
    <t>29.05.2013 №8</t>
  </si>
  <si>
    <t>Додаток 1</t>
  </si>
  <si>
    <t>до Програми розвитку та утримання житлово-комунального господарства       м. Запоріжжя на 2013-2015 роки</t>
  </si>
  <si>
    <t>Завдання і заходи</t>
  </si>
  <si>
    <t>з виконання Програми розвитку та утримання житлово-комунального господарства м. Запоріжжя на 2013-2015 роки</t>
  </si>
  <si>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</si>
  <si>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</si>
  <si>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</si>
  <si>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</si>
  <si>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Прогнозні обсяги, тис.грн</t>
  </si>
  <si>
    <t>Всього</t>
  </si>
  <si>
    <t>за роками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</si>
  <si>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</si>
  <si>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</si>
  <si>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</si>
  <si>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бюджет міста</t>
  </si>
  <si>
    <t>вибірковий капітальний ремонт житлових будинків</t>
  </si>
  <si>
    <t>капітальний ремонт покрівель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</si>
  <si>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</si>
  <si>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</si>
  <si>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</si>
  <si>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</si>
  <si>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</si>
  <si>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</si>
  <si>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улаштування дитячих майданчиків на прибудинкових територіях житлових будинків</t>
  </si>
  <si>
    <t>капітальний ремонт будинків для передачі на баланс створеним ОСББ</t>
  </si>
  <si>
    <t>проведення капітального ремонту житлового фонду ОСББ</t>
  </si>
  <si>
    <t>капітальний ремонт квартир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</si>
  <si>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</si>
  <si>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</si>
  <si>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</si>
  <si>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ремонту, заміни (модернізації) ліфтів у 2012 році</t>
  </si>
  <si>
    <t>оплата за виконані роботи з капітального ремонту житлового фонду у 2012 році</t>
  </si>
  <si>
    <t>Забезпечення надійного та безперебійного функціонування житлово-експлуатаційного господарства</t>
  </si>
  <si>
    <t>Забезпечення надійного та безперебійного функціонування житлово-експлуатаційного господарства, в тому числі: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</si>
  <si>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</si>
  <si>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</si>
  <si>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проведення технічної інвентаризації гуртожитків комунальної власності міста</t>
  </si>
  <si>
    <t>капітальний ремонт нежитлового приміщення будівлі по вул. Сталеварів, 19</t>
  </si>
  <si>
    <t>капітальний ремонт нежитлового приміщення будівлі по вул. Чекістів, 34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</si>
  <si>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</si>
  <si>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</si>
  <si>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</si>
  <si>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</si>
  <si>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</si>
  <si>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</si>
  <si>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</si>
  <si>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</si>
  <si>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оплата за виконані роботи з капітального ремонту нежитлових приміщень та будівель м. Запоріжжя у 2012 році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</si>
  <si>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</si>
  <si>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</si>
  <si>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забезпечення проектування та будівництва об'єктів</t>
  </si>
  <si>
    <t>забезпечення  проектування та реконструкції об'єктів</t>
  </si>
  <si>
    <t>забезпечення проектування,  будівництва та реконструкції об'єктів за рахунок  коштів депутатського фонду</t>
  </si>
  <si>
    <t xml:space="preserve">оплата за виконані у 2012 році роботи по об'єктах будівництва та реконструкції 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</si>
  <si>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</si>
  <si>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</si>
  <si>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забезпечення  проектування, будівництва та реконструкції об'єктів</t>
  </si>
  <si>
    <t>Районна адміністрація Запорізької міської ради по Орджонікідзевському  району</t>
  </si>
  <si>
    <t xml:space="preserve">забезпечення  проектування та реконструкції об'єктів </t>
  </si>
  <si>
    <t>Районна адміністрація Запорізької міської ради по Жовтневому  району</t>
  </si>
  <si>
    <t xml:space="preserve">оплата за виконані у 2012 році роботи по об'єктах реконструкції </t>
  </si>
  <si>
    <t>Районна адміністрація Запорізької міської ради по Заводському  району</t>
  </si>
  <si>
    <t>Заходи, пов'язані з  поліпшенням питної води</t>
  </si>
  <si>
    <t>Забезпечення населення питною водою належної якості, в тому числі:</t>
  </si>
  <si>
    <t>проведення капітального ремонту системи водопостачання</t>
  </si>
  <si>
    <t>Надання допомоги у вирішені житлових питань</t>
  </si>
  <si>
    <t>Забезпечення житлом окремих категорій населення, в тому числі:</t>
  </si>
  <si>
    <t>придбання квартир для призерів Олімпійських та Параолімпійських Ігор у Лондоні</t>
  </si>
  <si>
    <t>Благоустрій міста та розвиток інфраструктури міських доріг</t>
  </si>
  <si>
    <t>Утримання об'єктів благоустрою, в тому числі:</t>
  </si>
  <si>
    <t>утримання доріг</t>
  </si>
  <si>
    <t>в тому числі за рахунок надходжень до спеціального фонду бюджету міста</t>
  </si>
  <si>
    <t>утримання мереж зовнішнього освітлення</t>
  </si>
  <si>
    <t>утримання парків</t>
  </si>
  <si>
    <t xml:space="preserve">прибирання газонів, парків, скверів (прибирання листя) </t>
  </si>
  <si>
    <t xml:space="preserve">збирання і видалення безпечних відходів </t>
  </si>
  <si>
    <t xml:space="preserve">утримання міських пляжів </t>
  </si>
  <si>
    <t xml:space="preserve">утримання міських фонтанів </t>
  </si>
  <si>
    <t>утримання громадських вбиралень (туалетів) та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</si>
  <si>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</si>
  <si>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</si>
  <si>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 xml:space="preserve">освітлення міста 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</si>
  <si>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</si>
  <si>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</si>
  <si>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</si>
  <si>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</si>
  <si>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</si>
  <si>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оплата за роботи виконані у 2012 році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</si>
  <si>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</si>
  <si>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</si>
  <si>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</si>
  <si>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</si>
  <si>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</si>
  <si>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</si>
  <si>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 xml:space="preserve">поточний ремонт доріг та тротуарів 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</si>
  <si>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</si>
  <si>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</si>
  <si>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поточний ремонт та технічне обслуговування засобів регулювання дорожнього руху</t>
  </si>
  <si>
    <t xml:space="preserve">нанесення дорожньої розмітки </t>
  </si>
  <si>
    <t>поточний ремонт мереж зовнішнього освітлення</t>
  </si>
  <si>
    <t>поточний ремонт та технічне обслуговування малих архітектурних форм парків</t>
  </si>
  <si>
    <t>догляд за зеленими насадженнями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</si>
  <si>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</si>
  <si>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</si>
  <si>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</si>
  <si>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забезпечення перевезення експертних трупів </t>
  </si>
  <si>
    <t>поточний ремонт об’єктів благоустрою за рахунок  коштів депутатського фонду</t>
  </si>
  <si>
    <t>оплата за роботи з благоустрою міста виконані у 2012 році</t>
  </si>
  <si>
    <t>Будівництво, реконструкція та капітальний ремонт об’єктів благоустрою, в тому числі:</t>
  </si>
  <si>
    <t>капітальний ремонт об’єктів транспортної інфраструктури</t>
  </si>
  <si>
    <t xml:space="preserve">установка дорожніх знаків </t>
  </si>
  <si>
    <t>встановлення малих архітектурних форм</t>
  </si>
  <si>
    <t>капітальний ремонт прилеглої до обласної філармонії території</t>
  </si>
  <si>
    <t>влаштування засобів примусового зниження швидкості ("лежачі поліцейські" та дорожні знаки)</t>
  </si>
  <si>
    <t>реконструкція об’єктів транспортної інфраструктури</t>
  </si>
  <si>
    <t>будівництво об’єктів транспортної інфраструктури</t>
  </si>
  <si>
    <t>будівництво світлофорного об'єкту</t>
  </si>
  <si>
    <t>капітальний ремонт об’єктів благоустрою за рахунок  коштів депутатського фонду</t>
  </si>
  <si>
    <t>районна адміністрація Запорізької міської ради по Ленінському району</t>
  </si>
  <si>
    <t>охорона об'єктів благоустрою</t>
  </si>
  <si>
    <t>нанесення та відновлення дорожньої розмітки</t>
  </si>
  <si>
    <t>поточний  ремонт малих архітектурних форм</t>
  </si>
  <si>
    <t>поточний ремонт меморіального комплексу</t>
  </si>
  <si>
    <t>Забезпечення належного санітарного та екологічного стану території району, в тому числі:</t>
  </si>
  <si>
    <t>підбір та утилізація мертвих тварин</t>
  </si>
  <si>
    <t>ліквідація стихійних звалищ</t>
  </si>
  <si>
    <t>Проведення технічної інвентаризації та паспортизації об'єктів благоустрою, в тому числі:</t>
  </si>
  <si>
    <t>інвентаризація вулиць</t>
  </si>
  <si>
    <t>Погашення заборгованості минулих років, в тому числі: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</si>
  <si>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</si>
  <si>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</si>
  <si>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</si>
  <si>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</si>
  <si>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</si>
  <si>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</si>
  <si>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поточний ремонт малих архітектурних форм</t>
  </si>
  <si>
    <t>перевезення безпечних відходів</t>
  </si>
  <si>
    <t>збирання безпечних відходів (очищення території від сміття)</t>
  </si>
  <si>
    <t>Погашення заборгованості минулих років, в тому числі</t>
  </si>
  <si>
    <t>районна адміністрація Запорізької міської ради по Жовтневому району</t>
  </si>
  <si>
    <t xml:space="preserve">технічне обслуговування мереж зовнішнього освітлення </t>
  </si>
  <si>
    <t>освітлення пам’ятника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</si>
  <si>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</si>
  <si>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</si>
  <si>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</si>
  <si>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штучної споруди (міст)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</si>
  <si>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</si>
  <si>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</si>
  <si>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</si>
  <si>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утримання парків та скверів</t>
  </si>
  <si>
    <t>утримання малих архітектурних форм</t>
  </si>
  <si>
    <t>Капітальний ремонт об’єктів благоустрою, в тому числі:</t>
  </si>
  <si>
    <t>встановлення малих архітектурних форм за рахунок  коштів депутатського фонду</t>
  </si>
  <si>
    <t>перевезення безпечних відходів та захоронення твердих побутових відходів</t>
  </si>
  <si>
    <t>інвентаризація та паспортизація вулиць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</si>
  <si>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</si>
  <si>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</si>
  <si>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</si>
  <si>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</si>
  <si>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</si>
  <si>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</si>
  <si>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</si>
  <si>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встановлення тіньового навісу з лавами за рахунок  коштів депутатського фонду</t>
  </si>
  <si>
    <t>районна адміністрація Запорізької міської ради по Заводському району</t>
  </si>
  <si>
    <t xml:space="preserve">утримання громадських вбиралень (туалетів) </t>
  </si>
  <si>
    <t>технічне обслуговування та встановлення засобів регулювання дорожнього руху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</si>
  <si>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</si>
  <si>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</si>
  <si>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</si>
  <si>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</si>
  <si>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</si>
  <si>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</si>
  <si>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</si>
  <si>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</si>
  <si>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</si>
  <si>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комунального підприємства для виплати заробітної плати з нарахуваннями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</si>
  <si>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</si>
  <si>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Поховання померлих безрідних і невідомих та почесних громадян міста</t>
  </si>
  <si>
    <t>Поховання померлих безрідних та невідомих громадян міста,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</si>
  <si>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</si>
  <si>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почесних громадян міста</t>
  </si>
  <si>
    <t>Всього по програмі</t>
  </si>
  <si>
    <t>Інші кошти</t>
  </si>
  <si>
    <t>кошти підприємств</t>
  </si>
  <si>
    <t>Погашення заборгованості по заробітній платі з нарахуваннями працівникам підприємства</t>
  </si>
  <si>
    <t>дозволити Концерну «Міські теплові мережі» надати поворотну фінансову допомогу (позику) Запорізькому комунальному підприємству міського електротранспорту «Запоріжелектротранс» у розмірі 2400000,00 (два мільйони чотириста тисяч гривень 00 копійок) і укласти відповідний договір</t>
  </si>
  <si>
    <t>Підтримання комунального підприємства для утримання та експлуатації житлового фонду</t>
  </si>
  <si>
    <t>дозволити комунальному підприємству «Виробниче ремонтно-експлуатаційне житлове об'єднання №8» надати безповоротну фінансову допомогу міському комунальному підприємству «Основаніє» у розмірі 300000,00 (триста тисяч гривень 00 копійок) і укласти відповідний договір</t>
  </si>
  <si>
    <t>Секретар міської ради</t>
  </si>
  <si>
    <t>Р.О. Таран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</si>
</sst>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188" fontId="24" fillId="0" borderId="10" xfId="0" applyNumberFormat="1" applyFont="1" applyFill="1" applyBorder="1" applyAlignment="1">
      <alignment horizontal="center" vertical="top" wrapText="1"/>
    </xf>
    <xf numFmtId="188" fontId="24" fillId="0" borderId="10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7" xfId="0" applyFont="1" applyBorder="1" applyAlignment="1">
      <alignment horizontal="center" vertical="top" wrapText="1"/>
    </xf>
    <xf numFmtId="188" fontId="23" fillId="0" borderId="10" xfId="0" applyNumberFormat="1" applyFont="1" applyFill="1" applyBorder="1" applyAlignment="1">
      <alignment horizontal="center" vertical="top" wrapText="1"/>
    </xf>
    <xf numFmtId="188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188" fontId="23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80"/>
  <sheetViews>
    <sheetView tabSelected="1" view="pageBreakPreview" zoomScale="90" zoomScaleNormal="75" zoomScaleSheetLayoutView="90" zoomScalePageLayoutView="0" workbookViewId="0" topLeftCell="A1">
      <selection activeCell="D1" sqref="D1"/>
    </sheetView>
  </sheetViews>
  <sheetFormatPr defaultColWidth="9.140625" defaultRowHeight="12.75"/>
  <cols>
    <col min="1" max="1" width="25.57421875" style="44" customWidth="1"/>
    <col min="2" max="2" width="28.421875" style="44" customWidth="1"/>
    <col min="3" max="3" width="22.7109375" style="40" customWidth="1"/>
    <col min="4" max="4" width="22.28125" style="40" customWidth="1"/>
    <col min="5" max="5" width="14.8515625" style="40" customWidth="1"/>
    <col min="6" max="6" width="12.421875" style="40" customWidth="1"/>
    <col min="7" max="7" width="11.7109375" style="40" customWidth="1"/>
    <col min="8" max="8" width="12.28125" style="40" customWidth="1"/>
    <col min="9" max="16384" width="9.140625" style="44" customWidth="1"/>
  </cols>
  <sheetData>
    <row r="1" spans="3:8" s="1" customFormat="1" ht="18.75">
      <c r="C1" s="2"/>
      <c r="D1" s="2"/>
      <c r="E1" s="2"/>
      <c r="F1" s="3" t="s">
        <v>0</v>
      </c>
      <c r="G1" s="3"/>
      <c r="H1" s="3"/>
    </row>
    <row r="2" spans="3:8" s="1" customFormat="1" ht="18.75">
      <c r="C2" s="2"/>
      <c r="D2" s="2"/>
      <c r="E2" s="2"/>
      <c r="F2" s="3" t="s">
        <v>1</v>
      </c>
      <c r="G2" s="3"/>
      <c r="H2" s="3"/>
    </row>
    <row r="3" spans="3:8" s="1" customFormat="1" ht="18.75">
      <c r="C3" s="2"/>
      <c r="D3" s="2"/>
      <c r="E3" s="2"/>
      <c r="F3" s="4" t="s">
        <v>2</v>
      </c>
      <c r="G3" s="3"/>
      <c r="H3" s="3"/>
    </row>
    <row r="4" spans="3:8" s="1" customFormat="1" ht="18.75">
      <c r="C4" s="2"/>
      <c r="D4" s="2"/>
      <c r="E4" s="2"/>
      <c r="F4" s="5"/>
      <c r="G4" s="5"/>
      <c r="H4" s="5"/>
    </row>
    <row r="5" spans="3:8" s="1" customFormat="1" ht="18.75">
      <c r="C5" s="2"/>
      <c r="D5" s="2"/>
      <c r="E5" s="2"/>
      <c r="F5" s="3" t="s">
        <v>3</v>
      </c>
      <c r="G5" s="3"/>
      <c r="H5" s="3"/>
    </row>
    <row r="6" spans="3:8" s="1" customFormat="1" ht="76.5" customHeight="1">
      <c r="C6" s="2"/>
      <c r="D6" s="2"/>
      <c r="E6" s="2"/>
      <c r="F6" s="3" t="s">
        <v>4</v>
      </c>
      <c r="G6" s="3"/>
      <c r="H6" s="3"/>
    </row>
    <row r="8" spans="1:8" s="1" customFormat="1" ht="18.75">
      <c r="A8" s="6" t="s">
        <v>5</v>
      </c>
      <c r="B8" s="6"/>
      <c r="C8" s="6"/>
      <c r="D8" s="6"/>
      <c r="E8" s="6"/>
      <c r="F8" s="6"/>
      <c r="G8" s="6"/>
      <c r="H8" s="6"/>
    </row>
    <row r="9" spans="1:8" s="1" customFormat="1" ht="18.75">
      <c r="A9" s="7" t="s">
        <v>6</v>
      </c>
      <c r="B9" s="7"/>
      <c r="C9" s="7"/>
      <c r="D9" s="7"/>
      <c r="E9" s="7"/>
      <c r="F9" s="7"/>
      <c r="G9" s="7"/>
      <c r="H9" s="7"/>
    </row>
    <row r="11" spans="1:8" s="9" customFormat="1" ht="23.25" customHeight="1">
      <c r="A11" s="8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/>
      <c r="G11" s="8"/>
      <c r="H11" s="8"/>
    </row>
    <row r="12" spans="1:8" s="9" customFormat="1" ht="23.25" customHeight="1">
      <c r="A12" s="8"/>
      <c r="B12" s="8"/>
      <c r="C12" s="8"/>
      <c r="D12" s="8"/>
      <c r="E12" s="8" t="s">
        <v>12</v>
      </c>
      <c r="F12" s="8" t="s">
        <v>13</v>
      </c>
      <c r="G12" s="8"/>
      <c r="H12" s="8"/>
    </row>
    <row r="13" spans="1:8" s="9" customFormat="1" ht="12.75">
      <c r="A13" s="8"/>
      <c r="B13" s="8"/>
      <c r="C13" s="8"/>
      <c r="D13" s="8"/>
      <c r="E13" s="8"/>
      <c r="F13" s="10">
        <v>2013</v>
      </c>
      <c r="G13" s="10">
        <v>2014</v>
      </c>
      <c r="H13" s="10">
        <v>2015</v>
      </c>
    </row>
    <row r="14" spans="1:8" s="9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9" customFormat="1" ht="12.75">
      <c r="A15" s="11" t="s">
        <v>14</v>
      </c>
      <c r="B15" s="12"/>
      <c r="C15" s="12"/>
      <c r="D15" s="12"/>
      <c r="E15" s="12"/>
      <c r="F15" s="12"/>
      <c r="G15" s="12"/>
      <c r="H15" s="13"/>
    </row>
    <row r="16" spans="1:8" s="9" customFormat="1" ht="12.75">
      <c r="A16" s="14" t="s">
        <v>15</v>
      </c>
      <c r="B16" s="15"/>
      <c r="C16" s="16" t="s">
        <v>16</v>
      </c>
      <c r="D16" s="16" t="s">
        <v>17</v>
      </c>
      <c r="E16" s="17">
        <f aca="true" t="shared" si="0" ref="E16:E33">F16+G16+H16</f>
        <v>123771.438</v>
      </c>
      <c r="F16" s="18">
        <f>SUM(F17:F33)</f>
        <v>57883.151999999995</v>
      </c>
      <c r="G16" s="18">
        <f>SUM(G17:G33)</f>
        <v>32250.751</v>
      </c>
      <c r="H16" s="18">
        <f>SUM(H17:H33)</f>
        <v>33637.535</v>
      </c>
    </row>
    <row r="17" spans="1:8" s="9" customFormat="1" ht="25.5">
      <c r="A17" s="19"/>
      <c r="B17" s="20" t="s">
        <v>18</v>
      </c>
      <c r="C17" s="21"/>
      <c r="D17" s="21"/>
      <c r="E17" s="22">
        <f t="shared" si="0"/>
        <v>10316.989</v>
      </c>
      <c r="F17" s="23">
        <v>6743.827</v>
      </c>
      <c r="G17" s="22">
        <v>1748.978</v>
      </c>
      <c r="H17" s="22">
        <v>1824.184</v>
      </c>
    </row>
    <row r="18" spans="1:8" s="9" customFormat="1" ht="25.5">
      <c r="A18" s="19"/>
      <c r="B18" s="20" t="s">
        <v>19</v>
      </c>
      <c r="C18" s="21"/>
      <c r="D18" s="21"/>
      <c r="E18" s="22">
        <f t="shared" si="0"/>
        <v>28411.357</v>
      </c>
      <c r="F18" s="23">
        <f>3795.633-900</f>
        <v>2895.633</v>
      </c>
      <c r="G18" s="22">
        <v>12489.341</v>
      </c>
      <c r="H18" s="22">
        <v>13026.383</v>
      </c>
    </row>
    <row r="19" spans="1:8" s="9" customFormat="1" ht="25.5">
      <c r="A19" s="19"/>
      <c r="B19" s="20" t="s">
        <v>20</v>
      </c>
      <c r="C19" s="21"/>
      <c r="D19" s="21"/>
      <c r="E19" s="22">
        <f t="shared" si="0"/>
        <v>6019.093</v>
      </c>
      <c r="F19" s="23">
        <v>3147.166</v>
      </c>
      <c r="G19" s="22">
        <v>1405.74</v>
      </c>
      <c r="H19" s="22">
        <v>1466.187</v>
      </c>
    </row>
    <row r="20" spans="1:8" s="9" customFormat="1" ht="12.75">
      <c r="A20" s="19"/>
      <c r="B20" s="20" t="s">
        <v>21</v>
      </c>
      <c r="C20" s="21"/>
      <c r="D20" s="21"/>
      <c r="E20" s="22">
        <f t="shared" si="0"/>
        <v>397.747</v>
      </c>
      <c r="F20" s="23">
        <v>397.747</v>
      </c>
      <c r="G20" s="22"/>
      <c r="H20" s="22"/>
    </row>
    <row r="21" spans="1:8" s="9" customFormat="1" ht="12.75">
      <c r="A21" s="19"/>
      <c r="B21" s="20" t="s">
        <v>22</v>
      </c>
      <c r="C21" s="21"/>
      <c r="D21" s="21"/>
      <c r="E21" s="22">
        <f t="shared" si="0"/>
        <v>63.328</v>
      </c>
      <c r="F21" s="23">
        <v>63.328</v>
      </c>
      <c r="G21" s="22"/>
      <c r="H21" s="22"/>
    </row>
    <row r="22" spans="1:8" s="9" customFormat="1" ht="38.25">
      <c r="A22" s="19"/>
      <c r="B22" s="20" t="s">
        <v>23</v>
      </c>
      <c r="C22" s="21"/>
      <c r="D22" s="21"/>
      <c r="E22" s="22">
        <f t="shared" si="0"/>
        <v>40893.834</v>
      </c>
      <c r="F22" s="23">
        <f>9989.47+9452.864</f>
        <v>19442.334</v>
      </c>
      <c r="G22" s="22">
        <v>10500</v>
      </c>
      <c r="H22" s="22">
        <v>10951.5</v>
      </c>
    </row>
    <row r="23" spans="1:8" s="9" customFormat="1" ht="12.75">
      <c r="A23" s="19"/>
      <c r="B23" s="20" t="s">
        <v>24</v>
      </c>
      <c r="C23" s="21"/>
      <c r="D23" s="21"/>
      <c r="E23" s="22">
        <f t="shared" si="0"/>
        <v>1523.7530000000002</v>
      </c>
      <c r="F23" s="23">
        <f>623.753+900</f>
        <v>1523.7530000000002</v>
      </c>
      <c r="G23" s="22"/>
      <c r="H23" s="22"/>
    </row>
    <row r="24" spans="1:8" s="9" customFormat="1" ht="12.75">
      <c r="A24" s="19"/>
      <c r="B24" s="20" t="s">
        <v>25</v>
      </c>
      <c r="C24" s="21"/>
      <c r="D24" s="21"/>
      <c r="E24" s="22">
        <f t="shared" si="0"/>
        <v>2289.616</v>
      </c>
      <c r="F24" s="23">
        <v>1163.627</v>
      </c>
      <c r="G24" s="22">
        <v>551.145</v>
      </c>
      <c r="H24" s="22">
        <v>574.844</v>
      </c>
    </row>
    <row r="25" spans="1:8" s="9" customFormat="1" ht="38.25">
      <c r="A25" s="19"/>
      <c r="B25" s="20" t="s">
        <v>26</v>
      </c>
      <c r="C25" s="21"/>
      <c r="D25" s="21"/>
      <c r="E25" s="22">
        <f t="shared" si="0"/>
        <v>6.93</v>
      </c>
      <c r="F25" s="23">
        <v>6.93</v>
      </c>
      <c r="G25" s="22"/>
      <c r="H25" s="22"/>
    </row>
    <row r="26" spans="1:8" s="9" customFormat="1" ht="38.25">
      <c r="A26" s="19"/>
      <c r="B26" s="20" t="s">
        <v>27</v>
      </c>
      <c r="C26" s="21"/>
      <c r="D26" s="21"/>
      <c r="E26" s="22">
        <f t="shared" si="0"/>
        <v>6940.466</v>
      </c>
      <c r="F26" s="23">
        <f>2502.01-483.781-80.5-467.396</f>
        <v>1470.3330000000003</v>
      </c>
      <c r="G26" s="22">
        <v>2677.5</v>
      </c>
      <c r="H26" s="22">
        <v>2792.633</v>
      </c>
    </row>
    <row r="27" spans="1:8" s="9" customFormat="1" ht="25.5">
      <c r="A27" s="19"/>
      <c r="B27" s="20" t="s">
        <v>28</v>
      </c>
      <c r="C27" s="21"/>
      <c r="D27" s="21"/>
      <c r="E27" s="22">
        <f t="shared" si="0"/>
        <v>951.177</v>
      </c>
      <c r="F27" s="23">
        <f>483.781+467.396</f>
        <v>951.177</v>
      </c>
      <c r="G27" s="22"/>
      <c r="H27" s="22"/>
    </row>
    <row r="28" spans="1:8" s="9" customFormat="1" ht="12.75">
      <c r="A28" s="19"/>
      <c r="B28" s="20" t="s">
        <v>29</v>
      </c>
      <c r="C28" s="21"/>
      <c r="D28" s="21"/>
      <c r="E28" s="22">
        <f t="shared" si="0"/>
        <v>80.5</v>
      </c>
      <c r="F28" s="23">
        <v>80.5</v>
      </c>
      <c r="G28" s="22"/>
      <c r="H28" s="22"/>
    </row>
    <row r="29" spans="1:8" s="9" customFormat="1" ht="38.25">
      <c r="A29" s="19"/>
      <c r="B29" s="20" t="s">
        <v>30</v>
      </c>
      <c r="C29" s="21"/>
      <c r="D29" s="21"/>
      <c r="E29" s="22">
        <f t="shared" si="0"/>
        <v>912.094</v>
      </c>
      <c r="F29" s="23">
        <v>290</v>
      </c>
      <c r="G29" s="22">
        <v>304.5</v>
      </c>
      <c r="H29" s="22">
        <v>317.594</v>
      </c>
    </row>
    <row r="30" spans="1:8" s="9" customFormat="1" ht="25.5">
      <c r="A30" s="19"/>
      <c r="B30" s="20" t="s">
        <v>31</v>
      </c>
      <c r="C30" s="21"/>
      <c r="D30" s="21"/>
      <c r="E30" s="22">
        <f t="shared" si="0"/>
        <v>7256.196</v>
      </c>
      <c r="F30" s="23">
        <v>1998.439</v>
      </c>
      <c r="G30" s="22">
        <v>2573.547</v>
      </c>
      <c r="H30" s="22">
        <v>2684.21</v>
      </c>
    </row>
    <row r="31" spans="1:8" s="9" customFormat="1" ht="38.25">
      <c r="A31" s="19"/>
      <c r="B31" s="24" t="s">
        <v>32</v>
      </c>
      <c r="C31" s="21"/>
      <c r="D31" s="21"/>
      <c r="E31" s="22">
        <f t="shared" si="0"/>
        <v>304.5</v>
      </c>
      <c r="F31" s="23">
        <f>228+49+20+7.5</f>
        <v>304.5</v>
      </c>
      <c r="G31" s="22"/>
      <c r="H31" s="22"/>
    </row>
    <row r="32" spans="1:8" s="9" customFormat="1" ht="38.25">
      <c r="A32" s="19"/>
      <c r="B32" s="20" t="s">
        <v>33</v>
      </c>
      <c r="C32" s="21"/>
      <c r="D32" s="21"/>
      <c r="E32" s="22">
        <f t="shared" si="0"/>
        <v>9994.025</v>
      </c>
      <c r="F32" s="23">
        <v>9994.025</v>
      </c>
      <c r="G32" s="22"/>
      <c r="H32" s="22"/>
    </row>
    <row r="33" spans="1:8" s="9" customFormat="1" ht="38.25">
      <c r="A33" s="25"/>
      <c r="B33" s="20" t="s">
        <v>34</v>
      </c>
      <c r="C33" s="26"/>
      <c r="D33" s="26"/>
      <c r="E33" s="22">
        <f t="shared" si="0"/>
        <v>7409.833</v>
      </c>
      <c r="F33" s="23">
        <f>7409.833</f>
        <v>7409.833</v>
      </c>
      <c r="G33" s="22"/>
      <c r="H33" s="22"/>
    </row>
    <row r="34" spans="1:8" s="9" customFormat="1" ht="12.75">
      <c r="A34" s="11" t="s">
        <v>35</v>
      </c>
      <c r="B34" s="12"/>
      <c r="C34" s="12"/>
      <c r="D34" s="12"/>
      <c r="E34" s="12"/>
      <c r="F34" s="12"/>
      <c r="G34" s="12"/>
      <c r="H34" s="13"/>
    </row>
    <row r="35" spans="1:8" s="9" customFormat="1" ht="12.75">
      <c r="A35" s="27" t="s">
        <v>36</v>
      </c>
      <c r="B35" s="15"/>
      <c r="C35" s="16" t="s">
        <v>16</v>
      </c>
      <c r="D35" s="16" t="s">
        <v>17</v>
      </c>
      <c r="E35" s="17">
        <f aca="true" t="shared" si="1" ref="E35:E49">F35+G35+H35</f>
        <v>11572.058999999997</v>
      </c>
      <c r="F35" s="18">
        <f>SUM(F36:F49)</f>
        <v>10768.066999999997</v>
      </c>
      <c r="G35" s="18">
        <f>SUM(G36:G49)</f>
        <v>393.535</v>
      </c>
      <c r="H35" s="18">
        <f>SUM(H36:H49)</f>
        <v>410.457</v>
      </c>
    </row>
    <row r="36" spans="1:8" s="9" customFormat="1" ht="51">
      <c r="A36" s="28"/>
      <c r="B36" s="24" t="s">
        <v>37</v>
      </c>
      <c r="C36" s="21"/>
      <c r="D36" s="21"/>
      <c r="E36" s="22">
        <f t="shared" si="1"/>
        <v>4000</v>
      </c>
      <c r="F36" s="22">
        <v>4000</v>
      </c>
      <c r="G36" s="22"/>
      <c r="H36" s="22"/>
    </row>
    <row r="37" spans="1:8" s="9" customFormat="1" ht="89.25">
      <c r="A37" s="28"/>
      <c r="B37" s="24" t="s">
        <v>38</v>
      </c>
      <c r="C37" s="21"/>
      <c r="D37" s="21"/>
      <c r="E37" s="22">
        <f t="shared" si="1"/>
        <v>1149.24</v>
      </c>
      <c r="F37" s="22">
        <v>345.248</v>
      </c>
      <c r="G37" s="22">
        <v>393.535</v>
      </c>
      <c r="H37" s="22">
        <v>410.457</v>
      </c>
    </row>
    <row r="38" spans="1:8" s="9" customFormat="1" ht="38.25">
      <c r="A38" s="28"/>
      <c r="B38" s="24" t="s">
        <v>39</v>
      </c>
      <c r="C38" s="21"/>
      <c r="D38" s="21"/>
      <c r="E38" s="22">
        <f t="shared" si="1"/>
        <v>29.547</v>
      </c>
      <c r="F38" s="22">
        <v>29.547</v>
      </c>
      <c r="G38" s="22"/>
      <c r="H38" s="22"/>
    </row>
    <row r="39" spans="1:8" s="9" customFormat="1" ht="38.25">
      <c r="A39" s="28"/>
      <c r="B39" s="24" t="s">
        <v>40</v>
      </c>
      <c r="C39" s="21"/>
      <c r="D39" s="21"/>
      <c r="E39" s="22">
        <f t="shared" si="1"/>
        <v>1700</v>
      </c>
      <c r="F39" s="22">
        <v>1700</v>
      </c>
      <c r="G39" s="22"/>
      <c r="H39" s="22"/>
    </row>
    <row r="40" spans="1:8" s="9" customFormat="1" ht="38.25">
      <c r="A40" s="28"/>
      <c r="B40" s="24" t="s">
        <v>41</v>
      </c>
      <c r="C40" s="21"/>
      <c r="D40" s="21"/>
      <c r="E40" s="22">
        <f t="shared" si="1"/>
        <v>36.188</v>
      </c>
      <c r="F40" s="22">
        <v>36.188</v>
      </c>
      <c r="G40" s="22"/>
      <c r="H40" s="22"/>
    </row>
    <row r="41" spans="1:8" s="9" customFormat="1" ht="63.75">
      <c r="A41" s="28"/>
      <c r="B41" s="24" t="s">
        <v>42</v>
      </c>
      <c r="C41" s="21"/>
      <c r="D41" s="21"/>
      <c r="E41" s="22">
        <f t="shared" si="1"/>
        <v>252.4</v>
      </c>
      <c r="F41" s="22">
        <f>164.9+79.5+8</f>
        <v>252.4</v>
      </c>
      <c r="G41" s="22"/>
      <c r="H41" s="22"/>
    </row>
    <row r="42" spans="1:8" s="9" customFormat="1" ht="63.75">
      <c r="A42" s="28"/>
      <c r="B42" s="24" t="s">
        <v>43</v>
      </c>
      <c r="C42" s="21"/>
      <c r="D42" s="21"/>
      <c r="E42" s="22">
        <f t="shared" si="1"/>
        <v>727.521</v>
      </c>
      <c r="F42" s="22">
        <v>727.521</v>
      </c>
      <c r="G42" s="22"/>
      <c r="H42" s="22"/>
    </row>
    <row r="43" spans="1:8" s="9" customFormat="1" ht="63.75">
      <c r="A43" s="28"/>
      <c r="B43" s="24" t="s">
        <v>44</v>
      </c>
      <c r="C43" s="21"/>
      <c r="D43" s="21"/>
      <c r="E43" s="22">
        <f t="shared" si="1"/>
        <v>922.684</v>
      </c>
      <c r="F43" s="22">
        <v>922.684</v>
      </c>
      <c r="G43" s="22"/>
      <c r="H43" s="22"/>
    </row>
    <row r="44" spans="1:8" s="9" customFormat="1" ht="102">
      <c r="A44" s="28"/>
      <c r="B44" s="20" t="s">
        <v>45</v>
      </c>
      <c r="C44" s="21"/>
      <c r="D44" s="21"/>
      <c r="E44" s="22">
        <f t="shared" si="1"/>
        <v>79.165</v>
      </c>
      <c r="F44" s="23">
        <v>79.165</v>
      </c>
      <c r="G44" s="22"/>
      <c r="H44" s="22"/>
    </row>
    <row r="45" spans="1:8" s="9" customFormat="1" ht="102">
      <c r="A45" s="28"/>
      <c r="B45" s="20" t="s">
        <v>46</v>
      </c>
      <c r="C45" s="21"/>
      <c r="D45" s="21"/>
      <c r="E45" s="22">
        <f t="shared" si="1"/>
        <v>1701.739</v>
      </c>
      <c r="F45" s="23">
        <v>1701.739</v>
      </c>
      <c r="G45" s="22"/>
      <c r="H45" s="22"/>
    </row>
    <row r="46" spans="1:8" s="9" customFormat="1" ht="114.75">
      <c r="A46" s="28"/>
      <c r="B46" s="24" t="s">
        <v>47</v>
      </c>
      <c r="C46" s="21"/>
      <c r="D46" s="21"/>
      <c r="E46" s="22">
        <f t="shared" si="1"/>
        <v>915.401</v>
      </c>
      <c r="F46" s="23">
        <v>915.401</v>
      </c>
      <c r="G46" s="22"/>
      <c r="H46" s="22"/>
    </row>
    <row r="47" spans="1:8" s="9" customFormat="1" ht="51">
      <c r="A47" s="28"/>
      <c r="B47" s="24" t="s">
        <v>48</v>
      </c>
      <c r="C47" s="21"/>
      <c r="D47" s="21"/>
      <c r="E47" s="22">
        <f t="shared" si="1"/>
        <v>35.782</v>
      </c>
      <c r="F47" s="23">
        <v>35.782</v>
      </c>
      <c r="G47" s="22"/>
      <c r="H47" s="22"/>
    </row>
    <row r="48" spans="1:8" s="9" customFormat="1" ht="63.75">
      <c r="A48" s="28"/>
      <c r="B48" s="24" t="s">
        <v>49</v>
      </c>
      <c r="C48" s="21"/>
      <c r="D48" s="21"/>
      <c r="E48" s="22">
        <f t="shared" si="1"/>
        <v>8.76</v>
      </c>
      <c r="F48" s="23">
        <v>8.76</v>
      </c>
      <c r="G48" s="22"/>
      <c r="H48" s="22"/>
    </row>
    <row r="49" spans="1:8" s="9" customFormat="1" ht="63.75">
      <c r="A49" s="29"/>
      <c r="B49" s="24" t="s">
        <v>50</v>
      </c>
      <c r="C49" s="26"/>
      <c r="D49" s="26"/>
      <c r="E49" s="22">
        <f t="shared" si="1"/>
        <v>13.632</v>
      </c>
      <c r="F49" s="22">
        <v>13.632</v>
      </c>
      <c r="G49" s="22"/>
      <c r="H49" s="22"/>
    </row>
    <row r="50" spans="1:8" s="9" customFormat="1" ht="12.75">
      <c r="A50" s="11" t="s">
        <v>51</v>
      </c>
      <c r="B50" s="12"/>
      <c r="C50" s="12"/>
      <c r="D50" s="12"/>
      <c r="E50" s="12"/>
      <c r="F50" s="12"/>
      <c r="G50" s="12"/>
      <c r="H50" s="13"/>
    </row>
    <row r="51" spans="1:8" s="9" customFormat="1" ht="12.75" customHeight="1">
      <c r="A51" s="30" t="s">
        <v>52</v>
      </c>
      <c r="B51" s="15"/>
      <c r="C51" s="16" t="s">
        <v>16</v>
      </c>
      <c r="D51" s="16" t="s">
        <v>17</v>
      </c>
      <c r="E51" s="17">
        <f aca="true" t="shared" si="2" ref="E51:E63">F51+G51+H51</f>
        <v>171003.49899999998</v>
      </c>
      <c r="F51" s="18">
        <f>SUM(F52:F63)</f>
        <v>57628.051</v>
      </c>
      <c r="G51" s="18">
        <f>SUM(G52:G62)</f>
        <v>91501.87399999998</v>
      </c>
      <c r="H51" s="18">
        <f>SUM(H52:H62)</f>
        <v>21873.574</v>
      </c>
    </row>
    <row r="52" spans="1:8" s="9" customFormat="1" ht="25.5" customHeight="1">
      <c r="A52" s="31"/>
      <c r="B52" s="24" t="s">
        <v>53</v>
      </c>
      <c r="C52" s="32"/>
      <c r="D52" s="32"/>
      <c r="E52" s="22">
        <f t="shared" si="2"/>
        <v>10898.579</v>
      </c>
      <c r="F52" s="22">
        <v>10850.399</v>
      </c>
      <c r="G52" s="22">
        <v>48.18</v>
      </c>
      <c r="H52" s="22"/>
    </row>
    <row r="53" spans="1:8" s="9" customFormat="1" ht="25.5">
      <c r="A53" s="31"/>
      <c r="B53" s="24" t="s">
        <v>54</v>
      </c>
      <c r="C53" s="32"/>
      <c r="D53" s="32"/>
      <c r="E53" s="22">
        <f t="shared" si="2"/>
        <v>131162.05099999998</v>
      </c>
      <c r="F53" s="22">
        <v>25834.494</v>
      </c>
      <c r="G53" s="22">
        <v>83453.983</v>
      </c>
      <c r="H53" s="22">
        <v>21873.574</v>
      </c>
    </row>
    <row r="54" spans="1:8" s="9" customFormat="1" ht="51">
      <c r="A54" s="31"/>
      <c r="B54" s="24" t="s">
        <v>55</v>
      </c>
      <c r="C54" s="32"/>
      <c r="D54" s="32"/>
      <c r="E54" s="22">
        <f t="shared" si="2"/>
        <v>25</v>
      </c>
      <c r="F54" s="22">
        <v>25</v>
      </c>
      <c r="G54" s="22"/>
      <c r="H54" s="22"/>
    </row>
    <row r="55" spans="1:8" s="9" customFormat="1" ht="38.25">
      <c r="A55" s="31"/>
      <c r="B55" s="24" t="s">
        <v>56</v>
      </c>
      <c r="C55" s="32"/>
      <c r="D55" s="32"/>
      <c r="E55" s="22">
        <f t="shared" si="2"/>
        <v>2156.121</v>
      </c>
      <c r="F55" s="22">
        <v>2156.121</v>
      </c>
      <c r="G55" s="22"/>
      <c r="H55" s="22"/>
    </row>
    <row r="56" spans="1:8" s="9" customFormat="1" ht="38.25">
      <c r="A56" s="31"/>
      <c r="B56" s="24" t="s">
        <v>57</v>
      </c>
      <c r="C56" s="32"/>
      <c r="D56" s="32"/>
      <c r="E56" s="22">
        <f t="shared" si="2"/>
        <v>6601.12</v>
      </c>
      <c r="F56" s="22">
        <f>6506.62+94.5</f>
        <v>6601.12</v>
      </c>
      <c r="G56" s="22"/>
      <c r="H56" s="22"/>
    </row>
    <row r="57" spans="1:8" s="9" customFormat="1" ht="51">
      <c r="A57" s="31"/>
      <c r="B57" s="24" t="s">
        <v>58</v>
      </c>
      <c r="C57" s="33"/>
      <c r="D57" s="33"/>
      <c r="E57" s="22">
        <f t="shared" si="2"/>
        <v>5134.878</v>
      </c>
      <c r="F57" s="22">
        <v>5134.878</v>
      </c>
      <c r="G57" s="22"/>
      <c r="H57" s="22"/>
    </row>
    <row r="58" spans="1:8" s="9" customFormat="1" ht="38.25">
      <c r="A58" s="31"/>
      <c r="B58" s="24" t="s">
        <v>59</v>
      </c>
      <c r="C58" s="34" t="s">
        <v>60</v>
      </c>
      <c r="D58" s="34" t="s">
        <v>17</v>
      </c>
      <c r="E58" s="22">
        <f t="shared" si="2"/>
        <v>11802.789</v>
      </c>
      <c r="F58" s="22">
        <f>3736.132+66.946</f>
        <v>3803.078</v>
      </c>
      <c r="G58" s="22">
        <f>8066.657-66.946</f>
        <v>7999.711</v>
      </c>
      <c r="H58" s="22"/>
    </row>
    <row r="59" spans="1:8" s="9" customFormat="1" ht="38.25">
      <c r="A59" s="31"/>
      <c r="B59" s="24" t="s">
        <v>56</v>
      </c>
      <c r="C59" s="35"/>
      <c r="D59" s="35"/>
      <c r="E59" s="22">
        <f t="shared" si="2"/>
        <v>1077.16</v>
      </c>
      <c r="F59" s="22">
        <v>1077.16</v>
      </c>
      <c r="G59" s="22"/>
      <c r="H59" s="22"/>
    </row>
    <row r="60" spans="1:8" s="9" customFormat="1" ht="25.5">
      <c r="A60" s="31"/>
      <c r="B60" s="24" t="s">
        <v>61</v>
      </c>
      <c r="C60" s="34" t="s">
        <v>62</v>
      </c>
      <c r="D60" s="34" t="s">
        <v>17</v>
      </c>
      <c r="E60" s="22">
        <f t="shared" si="2"/>
        <v>997.536</v>
      </c>
      <c r="F60" s="22">
        <f>996+1.536</f>
        <v>997.536</v>
      </c>
      <c r="G60" s="22"/>
      <c r="H60" s="22"/>
    </row>
    <row r="61" spans="1:8" s="9" customFormat="1" ht="25.5">
      <c r="A61" s="31"/>
      <c r="B61" s="24" t="s">
        <v>63</v>
      </c>
      <c r="C61" s="35"/>
      <c r="D61" s="35"/>
      <c r="E61" s="22">
        <f t="shared" si="2"/>
        <v>2.692</v>
      </c>
      <c r="F61" s="22">
        <v>2.692</v>
      </c>
      <c r="G61" s="22"/>
      <c r="H61" s="22"/>
    </row>
    <row r="62" spans="1:8" s="9" customFormat="1" ht="25.5">
      <c r="A62" s="31"/>
      <c r="B62" s="24" t="s">
        <v>61</v>
      </c>
      <c r="C62" s="34" t="s">
        <v>64</v>
      </c>
      <c r="D62" s="34" t="s">
        <v>17</v>
      </c>
      <c r="E62" s="22">
        <f t="shared" si="2"/>
        <v>1123.839</v>
      </c>
      <c r="F62" s="22">
        <v>1123.839</v>
      </c>
      <c r="G62" s="22"/>
      <c r="H62" s="22"/>
    </row>
    <row r="63" spans="1:8" s="9" customFormat="1" ht="25.5">
      <c r="A63" s="36"/>
      <c r="B63" s="24" t="s">
        <v>63</v>
      </c>
      <c r="C63" s="35"/>
      <c r="D63" s="35"/>
      <c r="E63" s="22">
        <f t="shared" si="2"/>
        <v>21.734</v>
      </c>
      <c r="F63" s="22">
        <v>21.734</v>
      </c>
      <c r="G63" s="22"/>
      <c r="H63" s="22"/>
    </row>
    <row r="64" spans="1:8" s="9" customFormat="1" ht="12.75">
      <c r="A64" s="11" t="s">
        <v>65</v>
      </c>
      <c r="B64" s="37"/>
      <c r="C64" s="37"/>
      <c r="D64" s="37"/>
      <c r="E64" s="37"/>
      <c r="F64" s="37"/>
      <c r="G64" s="37"/>
      <c r="H64" s="38"/>
    </row>
    <row r="65" spans="1:8" s="9" customFormat="1" ht="12.75">
      <c r="A65" s="30" t="s">
        <v>66</v>
      </c>
      <c r="B65" s="24"/>
      <c r="C65" s="34" t="s">
        <v>16</v>
      </c>
      <c r="D65" s="34" t="s">
        <v>17</v>
      </c>
      <c r="E65" s="17">
        <f>F65+G65+H65</f>
        <v>620.407</v>
      </c>
      <c r="F65" s="18">
        <f>SUM(F66:F66)</f>
        <v>620.407</v>
      </c>
      <c r="G65" s="18">
        <f>SUM(G66:G66)</f>
        <v>0</v>
      </c>
      <c r="H65" s="18">
        <f>SUM(H66:H66)</f>
        <v>0</v>
      </c>
    </row>
    <row r="66" spans="1:8" s="9" customFormat="1" ht="38.25">
      <c r="A66" s="36"/>
      <c r="B66" s="24" t="s">
        <v>67</v>
      </c>
      <c r="C66" s="35"/>
      <c r="D66" s="35"/>
      <c r="E66" s="22">
        <f>F66+G66+H66</f>
        <v>620.407</v>
      </c>
      <c r="F66" s="22">
        <v>620.407</v>
      </c>
      <c r="G66" s="22"/>
      <c r="H66" s="22"/>
    </row>
    <row r="67" spans="1:8" s="9" customFormat="1" ht="12.75">
      <c r="A67" s="11" t="s">
        <v>68</v>
      </c>
      <c r="B67" s="37"/>
      <c r="C67" s="37"/>
      <c r="D67" s="37"/>
      <c r="E67" s="37"/>
      <c r="F67" s="37"/>
      <c r="G67" s="37"/>
      <c r="H67" s="38"/>
    </row>
    <row r="68" spans="1:8" s="9" customFormat="1" ht="12.75">
      <c r="A68" s="30" t="s">
        <v>69</v>
      </c>
      <c r="B68" s="24"/>
      <c r="C68" s="34" t="s">
        <v>16</v>
      </c>
      <c r="D68" s="34" t="s">
        <v>17</v>
      </c>
      <c r="E68" s="17">
        <f>F68+G68+H68</f>
        <v>1292.78</v>
      </c>
      <c r="F68" s="18">
        <f>SUM(F69:F69)</f>
        <v>1292.78</v>
      </c>
      <c r="G68" s="18">
        <f>SUM(G69:G69)</f>
        <v>0</v>
      </c>
      <c r="H68" s="18">
        <f>SUM(H69:H69)</f>
        <v>0</v>
      </c>
    </row>
    <row r="69" spans="1:8" s="9" customFormat="1" ht="38.25">
      <c r="A69" s="36"/>
      <c r="B69" s="24" t="s">
        <v>70</v>
      </c>
      <c r="C69" s="35"/>
      <c r="D69" s="35"/>
      <c r="E69" s="22">
        <f>F69+G69+H69</f>
        <v>1292.78</v>
      </c>
      <c r="F69" s="22">
        <v>1292.78</v>
      </c>
      <c r="G69" s="22"/>
      <c r="H69" s="22"/>
    </row>
    <row r="70" spans="1:8" s="40" customFormat="1" ht="12.75">
      <c r="A70" s="39" t="s">
        <v>71</v>
      </c>
      <c r="B70" s="39"/>
      <c r="C70" s="39"/>
      <c r="D70" s="39"/>
      <c r="E70" s="39"/>
      <c r="F70" s="39"/>
      <c r="G70" s="39"/>
      <c r="H70" s="39"/>
    </row>
    <row r="71" spans="1:8" s="40" customFormat="1" ht="12.75">
      <c r="A71" s="41" t="s">
        <v>72</v>
      </c>
      <c r="B71" s="42"/>
      <c r="C71" s="43" t="s">
        <v>16</v>
      </c>
      <c r="D71" s="43" t="s">
        <v>17</v>
      </c>
      <c r="E71" s="17">
        <f aca="true" t="shared" si="3" ref="E71:E94">F71+G71+H71</f>
        <v>155673.672</v>
      </c>
      <c r="F71" s="17">
        <f>SUM(F72:F81)-F73</f>
        <v>47458.456</v>
      </c>
      <c r="G71" s="17">
        <f>SUM(G72:G81)-G73</f>
        <v>52968.779</v>
      </c>
      <c r="H71" s="17">
        <f>SUM(H72:H81)-H73</f>
        <v>55246.43699999999</v>
      </c>
    </row>
    <row r="72" spans="1:8" ht="12.75" customHeight="1">
      <c r="A72" s="41"/>
      <c r="B72" s="24" t="s">
        <v>73</v>
      </c>
      <c r="C72" s="43"/>
      <c r="D72" s="43"/>
      <c r="E72" s="22">
        <f t="shared" si="3"/>
        <v>100690.064</v>
      </c>
      <c r="F72" s="22">
        <f>30000.036+3000-3100</f>
        <v>29900.036</v>
      </c>
      <c r="G72" s="22">
        <v>34650.038</v>
      </c>
      <c r="H72" s="22">
        <v>36139.99</v>
      </c>
    </row>
    <row r="73" spans="1:8" s="47" customFormat="1" ht="42.75" customHeight="1">
      <c r="A73" s="41"/>
      <c r="B73" s="45" t="s">
        <v>74</v>
      </c>
      <c r="C73" s="43"/>
      <c r="D73" s="43"/>
      <c r="E73" s="46">
        <f t="shared" si="3"/>
        <v>9435.45</v>
      </c>
      <c r="F73" s="46">
        <v>3000</v>
      </c>
      <c r="G73" s="46">
        <v>3150</v>
      </c>
      <c r="H73" s="46">
        <v>3285.45</v>
      </c>
    </row>
    <row r="74" spans="1:8" ht="25.5">
      <c r="A74" s="41"/>
      <c r="B74" s="48" t="s">
        <v>75</v>
      </c>
      <c r="C74" s="43"/>
      <c r="D74" s="43"/>
      <c r="E74" s="22">
        <f t="shared" si="3"/>
        <v>29249.895</v>
      </c>
      <c r="F74" s="22">
        <v>9300</v>
      </c>
      <c r="G74" s="22">
        <v>9765</v>
      </c>
      <c r="H74" s="22">
        <v>10184.895</v>
      </c>
    </row>
    <row r="75" spans="1:8" ht="12.75">
      <c r="A75" s="41"/>
      <c r="B75" s="48" t="s">
        <v>76</v>
      </c>
      <c r="C75" s="43"/>
      <c r="D75" s="43"/>
      <c r="E75" s="22">
        <f t="shared" si="3"/>
        <v>3302.408</v>
      </c>
      <c r="F75" s="22">
        <v>1050</v>
      </c>
      <c r="G75" s="22">
        <v>1102.5</v>
      </c>
      <c r="H75" s="22">
        <v>1149.908</v>
      </c>
    </row>
    <row r="76" spans="1:8" ht="25.5">
      <c r="A76" s="41"/>
      <c r="B76" s="48" t="s">
        <v>77</v>
      </c>
      <c r="C76" s="43"/>
      <c r="D76" s="43"/>
      <c r="E76" s="22">
        <f t="shared" si="3"/>
        <v>12580.6</v>
      </c>
      <c r="F76" s="22">
        <v>4000</v>
      </c>
      <c r="G76" s="22">
        <v>4200</v>
      </c>
      <c r="H76" s="22">
        <v>4380.6</v>
      </c>
    </row>
    <row r="77" spans="1:8" ht="25.5">
      <c r="A77" s="41"/>
      <c r="B77" s="48" t="s">
        <v>78</v>
      </c>
      <c r="C77" s="43"/>
      <c r="D77" s="43"/>
      <c r="E77" s="22">
        <f t="shared" si="3"/>
        <v>99</v>
      </c>
      <c r="F77" s="22">
        <v>99</v>
      </c>
      <c r="G77" s="22"/>
      <c r="H77" s="22"/>
    </row>
    <row r="78" spans="1:8" ht="12.75">
      <c r="A78" s="41"/>
      <c r="B78" s="48" t="s">
        <v>79</v>
      </c>
      <c r="C78" s="43"/>
      <c r="D78" s="43"/>
      <c r="E78" s="22">
        <f t="shared" si="3"/>
        <v>1390.971</v>
      </c>
      <c r="F78" s="22">
        <f>407.5+34.759</f>
        <v>442.259</v>
      </c>
      <c r="G78" s="22">
        <v>464.372</v>
      </c>
      <c r="H78" s="22">
        <v>484.34</v>
      </c>
    </row>
    <row r="79" spans="1:8" ht="12.75">
      <c r="A79" s="41"/>
      <c r="B79" s="48" t="s">
        <v>80</v>
      </c>
      <c r="C79" s="43"/>
      <c r="D79" s="43"/>
      <c r="E79" s="22">
        <f t="shared" si="3"/>
        <v>1572.575</v>
      </c>
      <c r="F79" s="22">
        <v>500</v>
      </c>
      <c r="G79" s="22">
        <v>525</v>
      </c>
      <c r="H79" s="22">
        <v>547.575</v>
      </c>
    </row>
    <row r="80" spans="1:8" ht="38.25">
      <c r="A80" s="41"/>
      <c r="B80" s="48" t="s">
        <v>81</v>
      </c>
      <c r="C80" s="43"/>
      <c r="D80" s="43"/>
      <c r="E80" s="22">
        <f t="shared" si="3"/>
        <v>497.859</v>
      </c>
      <c r="F80" s="22">
        <f>92.401+61.76+13</f>
        <v>167.161</v>
      </c>
      <c r="G80" s="22">
        <v>161.869</v>
      </c>
      <c r="H80" s="22">
        <v>168.829</v>
      </c>
    </row>
    <row r="81" spans="1:8" ht="25.5">
      <c r="A81" s="41"/>
      <c r="B81" s="48" t="s">
        <v>82</v>
      </c>
      <c r="C81" s="43"/>
      <c r="D81" s="43"/>
      <c r="E81" s="22">
        <f t="shared" si="3"/>
        <v>6290.3</v>
      </c>
      <c r="F81" s="22">
        <v>2000</v>
      </c>
      <c r="G81" s="22">
        <v>2100</v>
      </c>
      <c r="H81" s="22">
        <v>2190.3</v>
      </c>
    </row>
    <row r="82" spans="1:8" ht="12.75" customHeight="1">
      <c r="A82" s="30" t="s">
        <v>83</v>
      </c>
      <c r="B82" s="48"/>
      <c r="C82" s="16" t="s">
        <v>16</v>
      </c>
      <c r="D82" s="16" t="s">
        <v>17</v>
      </c>
      <c r="E82" s="17">
        <f t="shared" si="3"/>
        <v>26387.266000000003</v>
      </c>
      <c r="F82" s="17">
        <f>SUM(F83:F89)</f>
        <v>8330.880000000001</v>
      </c>
      <c r="G82" s="17">
        <f>SUM(G83:G89)</f>
        <v>8838.172</v>
      </c>
      <c r="H82" s="17">
        <f>SUM(H83:H89)</f>
        <v>9218.214</v>
      </c>
    </row>
    <row r="83" spans="1:8" ht="12.75">
      <c r="A83" s="31"/>
      <c r="B83" s="48" t="s">
        <v>84</v>
      </c>
      <c r="C83" s="32"/>
      <c r="D83" s="32"/>
      <c r="E83" s="22">
        <f t="shared" si="3"/>
        <v>20443.475</v>
      </c>
      <c r="F83" s="22">
        <f>6500</f>
        <v>6500</v>
      </c>
      <c r="G83" s="22">
        <v>6825</v>
      </c>
      <c r="H83" s="22">
        <v>7118.475</v>
      </c>
    </row>
    <row r="84" spans="1:8" ht="25.5">
      <c r="A84" s="31"/>
      <c r="B84" s="24" t="s">
        <v>85</v>
      </c>
      <c r="C84" s="32"/>
      <c r="D84" s="32"/>
      <c r="E84" s="22">
        <f t="shared" si="3"/>
        <v>2679.407</v>
      </c>
      <c r="F84" s="22">
        <v>851.917</v>
      </c>
      <c r="G84" s="22">
        <v>894.513</v>
      </c>
      <c r="H84" s="22">
        <v>932.977</v>
      </c>
    </row>
    <row r="85" spans="1:8" ht="12.75">
      <c r="A85" s="31"/>
      <c r="B85" s="48" t="s">
        <v>86</v>
      </c>
      <c r="C85" s="32"/>
      <c r="D85" s="32"/>
      <c r="E85" s="22">
        <f t="shared" si="3"/>
        <v>187.63299999999998</v>
      </c>
      <c r="F85" s="22">
        <v>24.07</v>
      </c>
      <c r="G85" s="22">
        <v>80.06</v>
      </c>
      <c r="H85" s="22">
        <v>83.503</v>
      </c>
    </row>
    <row r="86" spans="1:8" ht="12.75">
      <c r="A86" s="31"/>
      <c r="B86" s="48" t="s">
        <v>87</v>
      </c>
      <c r="C86" s="32"/>
      <c r="D86" s="32"/>
      <c r="E86" s="22">
        <f t="shared" si="3"/>
        <v>98.612</v>
      </c>
      <c r="F86" s="22">
        <v>77.71</v>
      </c>
      <c r="G86" s="22">
        <v>10.231</v>
      </c>
      <c r="H86" s="22">
        <v>10.671</v>
      </c>
    </row>
    <row r="87" spans="1:8" ht="12.75">
      <c r="A87" s="31"/>
      <c r="B87" s="48" t="s">
        <v>88</v>
      </c>
      <c r="C87" s="32"/>
      <c r="D87" s="32"/>
      <c r="E87" s="22">
        <f t="shared" si="3"/>
        <v>2944.9310000000005</v>
      </c>
      <c r="F87" s="22">
        <v>857.34</v>
      </c>
      <c r="G87" s="22">
        <v>1021.826</v>
      </c>
      <c r="H87" s="22">
        <v>1065.765</v>
      </c>
    </row>
    <row r="88" spans="1:8" ht="25.5">
      <c r="A88" s="31"/>
      <c r="B88" s="48" t="s">
        <v>89</v>
      </c>
      <c r="C88" s="32"/>
      <c r="D88" s="32"/>
      <c r="E88" s="22">
        <f t="shared" si="3"/>
        <v>20.634999999999998</v>
      </c>
      <c r="F88" s="22">
        <v>7.27</v>
      </c>
      <c r="G88" s="22">
        <v>6.542</v>
      </c>
      <c r="H88" s="22">
        <v>6.823</v>
      </c>
    </row>
    <row r="89" spans="1:8" ht="25.5">
      <c r="A89" s="36"/>
      <c r="B89" s="24" t="s">
        <v>90</v>
      </c>
      <c r="C89" s="33"/>
      <c r="D89" s="33"/>
      <c r="E89" s="22">
        <f>F89+G89+H89</f>
        <v>12.573</v>
      </c>
      <c r="F89" s="22">
        <v>12.573</v>
      </c>
      <c r="G89" s="46"/>
      <c r="H89" s="46"/>
    </row>
    <row r="90" spans="1:8" ht="12.75">
      <c r="A90" s="41" t="s">
        <v>91</v>
      </c>
      <c r="B90" s="48"/>
      <c r="C90" s="43" t="s">
        <v>16</v>
      </c>
      <c r="D90" s="16" t="s">
        <v>17</v>
      </c>
      <c r="E90" s="17">
        <f t="shared" si="3"/>
        <v>339.259</v>
      </c>
      <c r="F90" s="17">
        <f>SUM(F91:F94)</f>
        <v>99</v>
      </c>
      <c r="G90" s="17">
        <f>SUM(G91:G94)</f>
        <v>117.601</v>
      </c>
      <c r="H90" s="17">
        <f>SUM(H91:H94)</f>
        <v>122.658</v>
      </c>
    </row>
    <row r="91" spans="1:8" ht="25.5">
      <c r="A91" s="41"/>
      <c r="B91" s="48" t="s">
        <v>92</v>
      </c>
      <c r="C91" s="43"/>
      <c r="D91" s="32"/>
      <c r="E91" s="22">
        <f t="shared" si="3"/>
        <v>19.284</v>
      </c>
      <c r="F91" s="22">
        <v>6.131</v>
      </c>
      <c r="G91" s="22">
        <v>6.438</v>
      </c>
      <c r="H91" s="22">
        <v>6.715</v>
      </c>
    </row>
    <row r="92" spans="1:8" ht="25.5">
      <c r="A92" s="41"/>
      <c r="B92" s="48" t="s">
        <v>93</v>
      </c>
      <c r="C92" s="43"/>
      <c r="D92" s="32"/>
      <c r="E92" s="22">
        <f t="shared" si="3"/>
        <v>70.92699999999999</v>
      </c>
      <c r="F92" s="22">
        <v>22.551</v>
      </c>
      <c r="G92" s="22">
        <v>23.679</v>
      </c>
      <c r="H92" s="22">
        <v>24.697</v>
      </c>
    </row>
    <row r="93" spans="1:8" ht="25.5">
      <c r="A93" s="41"/>
      <c r="B93" s="48" t="s">
        <v>94</v>
      </c>
      <c r="C93" s="43"/>
      <c r="D93" s="32"/>
      <c r="E93" s="22">
        <f t="shared" si="3"/>
        <v>216.168</v>
      </c>
      <c r="F93" s="22">
        <v>59.864</v>
      </c>
      <c r="G93" s="22">
        <v>76.507</v>
      </c>
      <c r="H93" s="22">
        <v>79.797</v>
      </c>
    </row>
    <row r="94" spans="1:8" ht="38.25">
      <c r="A94" s="41"/>
      <c r="B94" s="48" t="s">
        <v>95</v>
      </c>
      <c r="C94" s="43"/>
      <c r="D94" s="33"/>
      <c r="E94" s="22">
        <f t="shared" si="3"/>
        <v>32.88</v>
      </c>
      <c r="F94" s="22">
        <v>10.454</v>
      </c>
      <c r="G94" s="22">
        <v>10.977</v>
      </c>
      <c r="H94" s="22">
        <v>11.449</v>
      </c>
    </row>
    <row r="95" spans="1:8" ht="12.75" customHeight="1">
      <c r="A95" s="30" t="s">
        <v>96</v>
      </c>
      <c r="B95" s="48"/>
      <c r="C95" s="16" t="s">
        <v>16</v>
      </c>
      <c r="D95" s="16" t="s">
        <v>17</v>
      </c>
      <c r="E95" s="17">
        <f aca="true" t="shared" si="4" ref="E95:E110">F95+G95+H95</f>
        <v>122560.01199999997</v>
      </c>
      <c r="F95" s="17">
        <f>SUM(F96:F112)-F97-F98-F99-F102-F112</f>
        <v>42283.166</v>
      </c>
      <c r="G95" s="17">
        <f>SUM(G96:G112)-G97-G98-G99-G102-G112</f>
        <v>39293.60999999999</v>
      </c>
      <c r="H95" s="17">
        <f>SUM(H96:H112)-H97-H98-H99-H102-H112</f>
        <v>40983.23599999999</v>
      </c>
    </row>
    <row r="96" spans="1:8" ht="25.5">
      <c r="A96" s="31"/>
      <c r="B96" s="48" t="s">
        <v>97</v>
      </c>
      <c r="C96" s="32"/>
      <c r="D96" s="32"/>
      <c r="E96" s="22">
        <f t="shared" si="4"/>
        <v>42861.645</v>
      </c>
      <c r="F96" s="22">
        <f>3000+9854.1+2115.823+317.749</f>
        <v>15287.672</v>
      </c>
      <c r="G96" s="22">
        <v>13496.805</v>
      </c>
      <c r="H96" s="22">
        <v>14077.168</v>
      </c>
    </row>
    <row r="97" spans="1:8" s="47" customFormat="1" ht="89.25">
      <c r="A97" s="31"/>
      <c r="B97" s="45" t="s">
        <v>98</v>
      </c>
      <c r="C97" s="32"/>
      <c r="D97" s="32"/>
      <c r="E97" s="46">
        <f t="shared" si="4"/>
        <v>30992.623</v>
      </c>
      <c r="F97" s="46">
        <f>9854.112-0.012</f>
        <v>9854.099999999999</v>
      </c>
      <c r="G97" s="46">
        <v>10346.805</v>
      </c>
      <c r="H97" s="46">
        <v>10791.718</v>
      </c>
    </row>
    <row r="98" spans="1:8" s="47" customFormat="1" ht="102">
      <c r="A98" s="31"/>
      <c r="B98" s="45" t="s">
        <v>99</v>
      </c>
      <c r="C98" s="32"/>
      <c r="D98" s="32"/>
      <c r="E98" s="46">
        <f t="shared" si="4"/>
        <v>2115.823</v>
      </c>
      <c r="F98" s="46">
        <v>2115.823</v>
      </c>
      <c r="G98" s="46"/>
      <c r="H98" s="46"/>
    </row>
    <row r="99" spans="1:8" s="47" customFormat="1" ht="38.25">
      <c r="A99" s="31"/>
      <c r="B99" s="45" t="s">
        <v>74</v>
      </c>
      <c r="C99" s="32"/>
      <c r="D99" s="32"/>
      <c r="E99" s="46">
        <f t="shared" si="4"/>
        <v>317.749</v>
      </c>
      <c r="F99" s="46">
        <v>317.749</v>
      </c>
      <c r="G99" s="46"/>
      <c r="H99" s="46"/>
    </row>
    <row r="100" spans="1:8" ht="38.25">
      <c r="A100" s="31"/>
      <c r="B100" s="48" t="s">
        <v>100</v>
      </c>
      <c r="C100" s="32"/>
      <c r="D100" s="32"/>
      <c r="E100" s="22">
        <f t="shared" si="4"/>
        <v>16260.712999999998</v>
      </c>
      <c r="F100" s="22">
        <f>4595.557+574.534</f>
        <v>5170.090999999999</v>
      </c>
      <c r="G100" s="22">
        <v>5428.596</v>
      </c>
      <c r="H100" s="22">
        <v>5662.026</v>
      </c>
    </row>
    <row r="101" spans="1:8" ht="12.75">
      <c r="A101" s="31"/>
      <c r="B101" s="48" t="s">
        <v>101</v>
      </c>
      <c r="C101" s="32"/>
      <c r="D101" s="32"/>
      <c r="E101" s="22">
        <f t="shared" si="4"/>
        <v>4385.942999999999</v>
      </c>
      <c r="F101" s="22">
        <f>1101.34+420-108.9-290</f>
        <v>1122.4399999999998</v>
      </c>
      <c r="G101" s="22">
        <v>1597.407</v>
      </c>
      <c r="H101" s="22">
        <v>1666.096</v>
      </c>
    </row>
    <row r="102" spans="1:8" s="47" customFormat="1" ht="42.75" customHeight="1">
      <c r="A102" s="31"/>
      <c r="B102" s="45" t="s">
        <v>74</v>
      </c>
      <c r="C102" s="32"/>
      <c r="D102" s="32"/>
      <c r="E102" s="46">
        <f t="shared" si="4"/>
        <v>1320.963</v>
      </c>
      <c r="F102" s="46">
        <f>420</f>
        <v>420</v>
      </c>
      <c r="G102" s="46">
        <v>441</v>
      </c>
      <c r="H102" s="46">
        <v>459.963</v>
      </c>
    </row>
    <row r="103" spans="1:8" ht="25.5">
      <c r="A103" s="31"/>
      <c r="B103" s="48" t="s">
        <v>102</v>
      </c>
      <c r="C103" s="32"/>
      <c r="D103" s="32"/>
      <c r="E103" s="22">
        <f t="shared" si="4"/>
        <v>4088.6949999999997</v>
      </c>
      <c r="F103" s="22">
        <f>1300</f>
        <v>1300</v>
      </c>
      <c r="G103" s="22">
        <v>1365</v>
      </c>
      <c r="H103" s="22">
        <v>1423.695</v>
      </c>
    </row>
    <row r="104" spans="1:8" ht="38.25">
      <c r="A104" s="31"/>
      <c r="B104" s="48" t="s">
        <v>103</v>
      </c>
      <c r="C104" s="32"/>
      <c r="D104" s="32"/>
      <c r="E104" s="22">
        <f>F104+G104+H104</f>
        <v>167.768</v>
      </c>
      <c r="F104" s="22">
        <v>53.342</v>
      </c>
      <c r="G104" s="22">
        <v>56.009</v>
      </c>
      <c r="H104" s="22">
        <v>58.417</v>
      </c>
    </row>
    <row r="105" spans="1:8" ht="25.5">
      <c r="A105" s="31"/>
      <c r="B105" s="48" t="s">
        <v>104</v>
      </c>
      <c r="C105" s="32"/>
      <c r="D105" s="32"/>
      <c r="E105" s="22">
        <f>F105+G105+H105</f>
        <v>42100.585</v>
      </c>
      <c r="F105" s="22">
        <f>13000+385.875</f>
        <v>13385.875</v>
      </c>
      <c r="G105" s="22">
        <v>14055.169</v>
      </c>
      <c r="H105" s="22">
        <v>14659.541</v>
      </c>
    </row>
    <row r="106" spans="1:8" ht="38.25">
      <c r="A106" s="31"/>
      <c r="B106" s="48" t="s">
        <v>105</v>
      </c>
      <c r="C106" s="32"/>
      <c r="D106" s="32"/>
      <c r="E106" s="22">
        <f t="shared" si="4"/>
        <v>131.63899999999998</v>
      </c>
      <c r="F106" s="22">
        <f>39.137+8.547</f>
        <v>47.684</v>
      </c>
      <c r="G106" s="22">
        <v>41.094</v>
      </c>
      <c r="H106" s="22">
        <v>42.861</v>
      </c>
    </row>
    <row r="107" spans="1:8" ht="25.5">
      <c r="A107" s="31"/>
      <c r="B107" s="48" t="s">
        <v>106</v>
      </c>
      <c r="C107" s="32"/>
      <c r="D107" s="32"/>
      <c r="E107" s="22">
        <f t="shared" si="4"/>
        <v>4717.725</v>
      </c>
      <c r="F107" s="22">
        <f>1500</f>
        <v>1500</v>
      </c>
      <c r="G107" s="22">
        <v>1575</v>
      </c>
      <c r="H107" s="22">
        <v>1642.725</v>
      </c>
    </row>
    <row r="108" spans="1:8" ht="25.5">
      <c r="A108" s="31"/>
      <c r="B108" s="48" t="s">
        <v>107</v>
      </c>
      <c r="C108" s="32"/>
      <c r="D108" s="32"/>
      <c r="E108" s="22">
        <f t="shared" si="4"/>
        <v>310.11199999999997</v>
      </c>
      <c r="F108" s="22">
        <f>98.6</f>
        <v>98.6</v>
      </c>
      <c r="G108" s="22">
        <v>103.53</v>
      </c>
      <c r="H108" s="22">
        <v>107.982</v>
      </c>
    </row>
    <row r="109" spans="1:8" ht="25.5">
      <c r="A109" s="31"/>
      <c r="B109" s="24" t="s">
        <v>108</v>
      </c>
      <c r="C109" s="32"/>
      <c r="D109" s="32"/>
      <c r="E109" s="22">
        <f t="shared" si="4"/>
        <v>4717.725</v>
      </c>
      <c r="F109" s="22">
        <f>1500</f>
        <v>1500</v>
      </c>
      <c r="G109" s="22">
        <v>1575</v>
      </c>
      <c r="H109" s="22">
        <v>1642.725</v>
      </c>
    </row>
    <row r="110" spans="1:8" ht="38.25">
      <c r="A110" s="31"/>
      <c r="B110" s="24" t="s">
        <v>109</v>
      </c>
      <c r="C110" s="32"/>
      <c r="D110" s="32"/>
      <c r="E110" s="22">
        <f t="shared" si="4"/>
        <v>29</v>
      </c>
      <c r="F110" s="22">
        <f>10+19</f>
        <v>29</v>
      </c>
      <c r="G110" s="22"/>
      <c r="H110" s="22"/>
    </row>
    <row r="111" spans="1:8" ht="25.5">
      <c r="A111" s="31"/>
      <c r="B111" s="24" t="s">
        <v>110</v>
      </c>
      <c r="C111" s="33"/>
      <c r="D111" s="33"/>
      <c r="E111" s="22">
        <f>F111+G111+H111</f>
        <v>2788.462</v>
      </c>
      <c r="F111" s="22">
        <f>1749.328+1039.134</f>
        <v>2788.462</v>
      </c>
      <c r="G111" s="46"/>
      <c r="H111" s="46"/>
    </row>
    <row r="112" spans="1:8" s="47" customFormat="1" ht="102">
      <c r="A112" s="36"/>
      <c r="B112" s="45" t="s">
        <v>99</v>
      </c>
      <c r="C112" s="49"/>
      <c r="D112" s="49"/>
      <c r="E112" s="46">
        <f>F112+G112+H112</f>
        <v>1039.134</v>
      </c>
      <c r="F112" s="46">
        <v>1039.134</v>
      </c>
      <c r="G112" s="46"/>
      <c r="H112" s="46"/>
    </row>
    <row r="113" spans="1:8" ht="12.75" customHeight="1">
      <c r="A113" s="30" t="s">
        <v>111</v>
      </c>
      <c r="B113" s="24"/>
      <c r="C113" s="16" t="s">
        <v>16</v>
      </c>
      <c r="D113" s="16" t="s">
        <v>17</v>
      </c>
      <c r="E113" s="17">
        <f aca="true" t="shared" si="5" ref="E113:E133">F113+G113+H113</f>
        <v>86660.748</v>
      </c>
      <c r="F113" s="17">
        <f>SUM(F114:F130)-F115-F120-F122-F124-F126-F129-F130</f>
        <v>31230.074000000004</v>
      </c>
      <c r="G113" s="17">
        <f>SUM(G114:G130)-G115-G120-G122-G124-G126-G129-G130</f>
        <v>27131.999000000003</v>
      </c>
      <c r="H113" s="17">
        <f>SUM(H114:H130)-H115-H120-H122-H124-H126-H129-H130</f>
        <v>28298.675000000003</v>
      </c>
    </row>
    <row r="114" spans="1:8" ht="25.5">
      <c r="A114" s="31"/>
      <c r="B114" s="48" t="s">
        <v>112</v>
      </c>
      <c r="C114" s="32"/>
      <c r="D114" s="32"/>
      <c r="E114" s="22">
        <f t="shared" si="5"/>
        <v>43542.619</v>
      </c>
      <c r="F114" s="22">
        <f>2500+5877.295</f>
        <v>8377.295</v>
      </c>
      <c r="G114" s="22">
        <f>16267.553+945.038</f>
        <v>17212.591</v>
      </c>
      <c r="H114" s="22">
        <f>16967.058+985.675</f>
        <v>17952.733</v>
      </c>
    </row>
    <row r="115" spans="1:8" ht="102">
      <c r="A115" s="31"/>
      <c r="B115" s="45" t="s">
        <v>99</v>
      </c>
      <c r="C115" s="32"/>
      <c r="D115" s="32"/>
      <c r="E115" s="46">
        <f t="shared" si="5"/>
        <v>5877.295</v>
      </c>
      <c r="F115" s="46">
        <v>5877.295</v>
      </c>
      <c r="G115" s="46"/>
      <c r="H115" s="46"/>
    </row>
    <row r="116" spans="1:8" ht="12.75">
      <c r="A116" s="31"/>
      <c r="B116" s="48" t="s">
        <v>113</v>
      </c>
      <c r="C116" s="32"/>
      <c r="D116" s="32"/>
      <c r="E116" s="22">
        <f t="shared" si="5"/>
        <v>314.515</v>
      </c>
      <c r="F116" s="22">
        <v>100</v>
      </c>
      <c r="G116" s="22">
        <v>105</v>
      </c>
      <c r="H116" s="22">
        <v>109.515</v>
      </c>
    </row>
    <row r="117" spans="1:8" ht="25.5">
      <c r="A117" s="31"/>
      <c r="B117" s="48" t="s">
        <v>114</v>
      </c>
      <c r="C117" s="32"/>
      <c r="D117" s="32"/>
      <c r="E117" s="22">
        <f t="shared" si="5"/>
        <v>52.805</v>
      </c>
      <c r="F117" s="22">
        <v>52.805</v>
      </c>
      <c r="G117" s="22"/>
      <c r="H117" s="22"/>
    </row>
    <row r="118" spans="1:8" ht="25.5">
      <c r="A118" s="31"/>
      <c r="B118" s="48" t="s">
        <v>115</v>
      </c>
      <c r="C118" s="32"/>
      <c r="D118" s="32"/>
      <c r="E118" s="22">
        <f t="shared" si="5"/>
        <v>708.121</v>
      </c>
      <c r="F118" s="22">
        <v>708.121</v>
      </c>
      <c r="G118" s="22"/>
      <c r="H118" s="22"/>
    </row>
    <row r="119" spans="1:8" ht="51">
      <c r="A119" s="31"/>
      <c r="B119" s="48" t="s">
        <v>116</v>
      </c>
      <c r="C119" s="32"/>
      <c r="D119" s="32"/>
      <c r="E119" s="22">
        <f t="shared" si="5"/>
        <v>123.027</v>
      </c>
      <c r="F119" s="22">
        <v>123.027</v>
      </c>
      <c r="G119" s="22"/>
      <c r="H119" s="22"/>
    </row>
    <row r="120" spans="1:8" s="47" customFormat="1" ht="38.25">
      <c r="A120" s="31"/>
      <c r="B120" s="45" t="s">
        <v>74</v>
      </c>
      <c r="C120" s="32"/>
      <c r="D120" s="32"/>
      <c r="E120" s="46">
        <f t="shared" si="5"/>
        <v>123.027</v>
      </c>
      <c r="F120" s="46">
        <v>123.027</v>
      </c>
      <c r="G120" s="46"/>
      <c r="H120" s="46"/>
    </row>
    <row r="121" spans="1:8" ht="25.5">
      <c r="A121" s="31"/>
      <c r="B121" s="24" t="s">
        <v>117</v>
      </c>
      <c r="C121" s="32"/>
      <c r="D121" s="32"/>
      <c r="E121" s="22">
        <f t="shared" si="5"/>
        <v>35357.463</v>
      </c>
      <c r="F121" s="22">
        <v>19155.985</v>
      </c>
      <c r="G121" s="22">
        <v>7930.239</v>
      </c>
      <c r="H121" s="22">
        <v>8271.239</v>
      </c>
    </row>
    <row r="122" spans="1:8" ht="89.25">
      <c r="A122" s="31"/>
      <c r="B122" s="45" t="s">
        <v>98</v>
      </c>
      <c r="C122" s="32"/>
      <c r="D122" s="32"/>
      <c r="E122" s="46">
        <f aca="true" t="shared" si="6" ref="E122:E130">F122+G122+H122</f>
        <v>35357.463</v>
      </c>
      <c r="F122" s="46">
        <v>19155.985</v>
      </c>
      <c r="G122" s="46">
        <v>7930.239</v>
      </c>
      <c r="H122" s="46">
        <v>8271.239</v>
      </c>
    </row>
    <row r="123" spans="1:8" ht="25.5">
      <c r="A123" s="31"/>
      <c r="B123" s="24" t="s">
        <v>118</v>
      </c>
      <c r="C123" s="32"/>
      <c r="D123" s="32"/>
      <c r="E123" s="22">
        <f t="shared" si="6"/>
        <v>5633.372</v>
      </c>
      <c r="F123" s="22">
        <f>(1794.447-10.432)</f>
        <v>1784.0149999999999</v>
      </c>
      <c r="G123" s="22">
        <v>1884.169</v>
      </c>
      <c r="H123" s="22">
        <v>1965.188</v>
      </c>
    </row>
    <row r="124" spans="1:8" ht="89.25">
      <c r="A124" s="31"/>
      <c r="B124" s="45" t="s">
        <v>98</v>
      </c>
      <c r="C124" s="32"/>
      <c r="D124" s="32"/>
      <c r="E124" s="46">
        <f t="shared" si="6"/>
        <v>5633.372</v>
      </c>
      <c r="F124" s="46">
        <f>1794.447-10.432</f>
        <v>1784.0149999999999</v>
      </c>
      <c r="G124" s="46">
        <v>1884.169</v>
      </c>
      <c r="H124" s="46">
        <v>1965.188</v>
      </c>
    </row>
    <row r="125" spans="1:8" ht="25.5">
      <c r="A125" s="31"/>
      <c r="B125" s="24" t="s">
        <v>119</v>
      </c>
      <c r="C125" s="32"/>
      <c r="D125" s="32"/>
      <c r="E125" s="22">
        <f t="shared" si="6"/>
        <v>171.764</v>
      </c>
      <c r="F125" s="22">
        <v>171.764</v>
      </c>
      <c r="G125" s="22"/>
      <c r="H125" s="22"/>
    </row>
    <row r="126" spans="1:8" ht="38.25">
      <c r="A126" s="31"/>
      <c r="B126" s="45" t="s">
        <v>74</v>
      </c>
      <c r="C126" s="32"/>
      <c r="D126" s="32"/>
      <c r="E126" s="46">
        <f t="shared" si="6"/>
        <v>171.764</v>
      </c>
      <c r="F126" s="46">
        <v>171.764</v>
      </c>
      <c r="G126" s="46"/>
      <c r="H126" s="46"/>
    </row>
    <row r="127" spans="1:8" ht="38.25">
      <c r="A127" s="31"/>
      <c r="B127" s="24" t="s">
        <v>120</v>
      </c>
      <c r="C127" s="32"/>
      <c r="D127" s="32"/>
      <c r="E127" s="22">
        <f t="shared" si="6"/>
        <v>41.7</v>
      </c>
      <c r="F127" s="22">
        <v>41.7</v>
      </c>
      <c r="G127" s="22"/>
      <c r="H127" s="22"/>
    </row>
    <row r="128" spans="1:8" ht="25.5">
      <c r="A128" s="31"/>
      <c r="B128" s="24" t="s">
        <v>90</v>
      </c>
      <c r="C128" s="32"/>
      <c r="D128" s="32"/>
      <c r="E128" s="22">
        <f t="shared" si="6"/>
        <v>715.362</v>
      </c>
      <c r="F128" s="22">
        <f>319.273+338.135+57.954</f>
        <v>715.362</v>
      </c>
      <c r="G128" s="46"/>
      <c r="H128" s="46"/>
    </row>
    <row r="129" spans="1:8" ht="102">
      <c r="A129" s="31"/>
      <c r="B129" s="45" t="s">
        <v>99</v>
      </c>
      <c r="C129" s="32"/>
      <c r="D129" s="32"/>
      <c r="E129" s="46">
        <f t="shared" si="6"/>
        <v>57.954</v>
      </c>
      <c r="F129" s="46">
        <v>57.954</v>
      </c>
      <c r="G129" s="46"/>
      <c r="H129" s="46"/>
    </row>
    <row r="130" spans="1:8" s="47" customFormat="1" ht="42.75" customHeight="1">
      <c r="A130" s="36"/>
      <c r="B130" s="45" t="s">
        <v>74</v>
      </c>
      <c r="C130" s="33"/>
      <c r="D130" s="33"/>
      <c r="E130" s="46">
        <f t="shared" si="6"/>
        <v>338.135</v>
      </c>
      <c r="F130" s="46">
        <v>338.135</v>
      </c>
      <c r="G130" s="46"/>
      <c r="H130" s="46"/>
    </row>
    <row r="131" spans="1:8" ht="12.75" customHeight="1">
      <c r="A131" s="41" t="s">
        <v>72</v>
      </c>
      <c r="B131" s="24"/>
      <c r="C131" s="43" t="s">
        <v>121</v>
      </c>
      <c r="D131" s="43" t="s">
        <v>17</v>
      </c>
      <c r="E131" s="17">
        <f t="shared" si="5"/>
        <v>411.27000000000004</v>
      </c>
      <c r="F131" s="17">
        <f>SUM(F132:F133)</f>
        <v>198.9</v>
      </c>
      <c r="G131" s="17">
        <f>SUM(G132:G133)</f>
        <v>103.95</v>
      </c>
      <c r="H131" s="17">
        <f>SUM(H132:H133)</f>
        <v>108.42</v>
      </c>
    </row>
    <row r="132" spans="1:8" ht="25.5">
      <c r="A132" s="41"/>
      <c r="B132" s="48" t="s">
        <v>104</v>
      </c>
      <c r="C132" s="43"/>
      <c r="D132" s="43"/>
      <c r="E132" s="22">
        <f t="shared" si="5"/>
        <v>311.37</v>
      </c>
      <c r="F132" s="22">
        <v>99</v>
      </c>
      <c r="G132" s="22">
        <v>103.95</v>
      </c>
      <c r="H132" s="22">
        <v>108.42</v>
      </c>
    </row>
    <row r="133" spans="1:8" ht="12.75">
      <c r="A133" s="41"/>
      <c r="B133" s="48" t="s">
        <v>122</v>
      </c>
      <c r="C133" s="43"/>
      <c r="D133" s="43"/>
      <c r="E133" s="22">
        <f t="shared" si="5"/>
        <v>99.9</v>
      </c>
      <c r="F133" s="22">
        <v>99.9</v>
      </c>
      <c r="G133" s="22"/>
      <c r="H133" s="22"/>
    </row>
    <row r="134" spans="1:8" ht="12.75" customHeight="1">
      <c r="A134" s="30" t="s">
        <v>96</v>
      </c>
      <c r="B134" s="24"/>
      <c r="C134" s="16" t="s">
        <v>121</v>
      </c>
      <c r="D134" s="16" t="s">
        <v>17</v>
      </c>
      <c r="E134" s="17">
        <f>F134+G134+H134</f>
        <v>686.796</v>
      </c>
      <c r="F134" s="17">
        <f>SUM(F135:F138)</f>
        <v>300.696</v>
      </c>
      <c r="G134" s="17">
        <f>SUM(G135:G138)</f>
        <v>188.987</v>
      </c>
      <c r="H134" s="17">
        <f>SUM(H135:H138)</f>
        <v>197.113</v>
      </c>
    </row>
    <row r="135" spans="1:8" ht="25.5" customHeight="1">
      <c r="A135" s="31"/>
      <c r="B135" s="48" t="s">
        <v>97</v>
      </c>
      <c r="C135" s="32"/>
      <c r="D135" s="32"/>
      <c r="E135" s="22">
        <f aca="true" t="shared" si="7" ref="E135:E143">F135+G135+H135</f>
        <v>157.236</v>
      </c>
      <c r="F135" s="22">
        <f>29.97+20.023</f>
        <v>49.992999999999995</v>
      </c>
      <c r="G135" s="22">
        <v>52.493</v>
      </c>
      <c r="H135" s="22">
        <v>54.75</v>
      </c>
    </row>
    <row r="136" spans="1:8" ht="25.5">
      <c r="A136" s="31"/>
      <c r="B136" s="48" t="s">
        <v>123</v>
      </c>
      <c r="C136" s="32"/>
      <c r="D136" s="32"/>
      <c r="E136" s="22">
        <f t="shared" si="7"/>
        <v>187.139</v>
      </c>
      <c r="F136" s="22">
        <f>49.994+29.9</f>
        <v>79.894</v>
      </c>
      <c r="G136" s="22">
        <v>52.494</v>
      </c>
      <c r="H136" s="22">
        <v>54.751</v>
      </c>
    </row>
    <row r="137" spans="1:8" ht="25.5">
      <c r="A137" s="31"/>
      <c r="B137" s="48" t="s">
        <v>124</v>
      </c>
      <c r="C137" s="32"/>
      <c r="D137" s="32"/>
      <c r="E137" s="22">
        <f>F137+G137+H137</f>
        <v>251.612</v>
      </c>
      <c r="F137" s="22">
        <v>80</v>
      </c>
      <c r="G137" s="22">
        <v>84</v>
      </c>
      <c r="H137" s="22">
        <v>87.612</v>
      </c>
    </row>
    <row r="138" spans="1:8" ht="25.5">
      <c r="A138" s="36"/>
      <c r="B138" s="48" t="s">
        <v>125</v>
      </c>
      <c r="C138" s="33"/>
      <c r="D138" s="33"/>
      <c r="E138" s="22">
        <f>F138+G138+H138</f>
        <v>90.809</v>
      </c>
      <c r="F138" s="22">
        <v>90.809</v>
      </c>
      <c r="G138" s="22"/>
      <c r="H138" s="22"/>
    </row>
    <row r="139" spans="1:8" ht="12.75" customHeight="1">
      <c r="A139" s="41" t="s">
        <v>126</v>
      </c>
      <c r="B139" s="48"/>
      <c r="C139" s="43" t="s">
        <v>121</v>
      </c>
      <c r="D139" s="43" t="s">
        <v>17</v>
      </c>
      <c r="E139" s="17">
        <f>F139+G139+H139</f>
        <v>332.15999999999997</v>
      </c>
      <c r="F139" s="17">
        <f>SUM(F140:F141)</f>
        <v>105.61</v>
      </c>
      <c r="G139" s="17">
        <f>SUM(G140:G141)</f>
        <v>110.891</v>
      </c>
      <c r="H139" s="17">
        <f>SUM(H140:H141)</f>
        <v>115.65899999999999</v>
      </c>
    </row>
    <row r="140" spans="1:8" ht="25.5">
      <c r="A140" s="41"/>
      <c r="B140" s="48" t="s">
        <v>127</v>
      </c>
      <c r="C140" s="43"/>
      <c r="D140" s="43"/>
      <c r="E140" s="22">
        <f t="shared" si="7"/>
        <v>31.238</v>
      </c>
      <c r="F140" s="22">
        <v>9.932</v>
      </c>
      <c r="G140" s="22">
        <v>10.429</v>
      </c>
      <c r="H140" s="22">
        <v>10.877</v>
      </c>
    </row>
    <row r="141" spans="1:8" ht="12.75">
      <c r="A141" s="41"/>
      <c r="B141" s="48" t="s">
        <v>128</v>
      </c>
      <c r="C141" s="43"/>
      <c r="D141" s="43"/>
      <c r="E141" s="22">
        <f t="shared" si="7"/>
        <v>300.92199999999997</v>
      </c>
      <c r="F141" s="22">
        <v>95.678</v>
      </c>
      <c r="G141" s="22">
        <v>100.462</v>
      </c>
      <c r="H141" s="22">
        <v>104.782</v>
      </c>
    </row>
    <row r="142" spans="1:8" ht="39.75" customHeight="1">
      <c r="A142" s="41" t="s">
        <v>129</v>
      </c>
      <c r="B142" s="48"/>
      <c r="C142" s="43" t="s">
        <v>121</v>
      </c>
      <c r="D142" s="43" t="s">
        <v>17</v>
      </c>
      <c r="E142" s="17">
        <f t="shared" si="7"/>
        <v>268.605</v>
      </c>
      <c r="F142" s="17">
        <f>SUM(F143)</f>
        <v>85.403</v>
      </c>
      <c r="G142" s="17">
        <f>SUM(G143)</f>
        <v>89.673</v>
      </c>
      <c r="H142" s="17">
        <f>SUM(H143)</f>
        <v>93.529</v>
      </c>
    </row>
    <row r="143" spans="1:8" ht="12.75">
      <c r="A143" s="41"/>
      <c r="B143" s="48" t="s">
        <v>130</v>
      </c>
      <c r="C143" s="43"/>
      <c r="D143" s="43"/>
      <c r="E143" s="22">
        <f t="shared" si="7"/>
        <v>268.605</v>
      </c>
      <c r="F143" s="22">
        <v>85.403</v>
      </c>
      <c r="G143" s="22">
        <v>89.673</v>
      </c>
      <c r="H143" s="22">
        <v>93.529</v>
      </c>
    </row>
    <row r="144" spans="1:8" ht="12.75">
      <c r="A144" s="27" t="s">
        <v>131</v>
      </c>
      <c r="B144" s="48"/>
      <c r="C144" s="43" t="s">
        <v>121</v>
      </c>
      <c r="D144" s="42"/>
      <c r="E144" s="17">
        <f>E145</f>
        <v>43.781</v>
      </c>
      <c r="F144" s="17">
        <f>F145</f>
        <v>43.781</v>
      </c>
      <c r="G144" s="17">
        <f>G145</f>
        <v>0</v>
      </c>
      <c r="H144" s="17">
        <f>H145</f>
        <v>0</v>
      </c>
    </row>
    <row r="145" spans="1:8" ht="25.5" customHeight="1">
      <c r="A145" s="50"/>
      <c r="B145" s="24" t="s">
        <v>90</v>
      </c>
      <c r="C145" s="43"/>
      <c r="D145" s="42" t="s">
        <v>17</v>
      </c>
      <c r="E145" s="22">
        <f>F145+G145+H145</f>
        <v>43.781</v>
      </c>
      <c r="F145" s="22">
        <v>43.781</v>
      </c>
      <c r="G145" s="22"/>
      <c r="H145" s="22"/>
    </row>
    <row r="146" spans="1:8" ht="12.75" customHeight="1">
      <c r="A146" s="41" t="s">
        <v>72</v>
      </c>
      <c r="B146" s="48"/>
      <c r="C146" s="43" t="s">
        <v>132</v>
      </c>
      <c r="D146" s="43" t="s">
        <v>17</v>
      </c>
      <c r="E146" s="17">
        <f aca="true" t="shared" si="8" ref="E146:E160">F146+G146+H146</f>
        <v>902.5429999999999</v>
      </c>
      <c r="F146" s="17">
        <f>SUM(F147:F149)</f>
        <v>355.1</v>
      </c>
      <c r="G146" s="17">
        <f>SUM(G147:G149)</f>
        <v>267.96</v>
      </c>
      <c r="H146" s="17">
        <f>SUM(H147:H149)</f>
        <v>279.483</v>
      </c>
    </row>
    <row r="147" spans="1:8" ht="25.5">
      <c r="A147" s="41"/>
      <c r="B147" s="48" t="s">
        <v>133</v>
      </c>
      <c r="C147" s="43"/>
      <c r="D147" s="43"/>
      <c r="E147" s="22">
        <f t="shared" si="8"/>
        <v>267.967</v>
      </c>
      <c r="F147" s="22">
        <v>85.2</v>
      </c>
      <c r="G147" s="22">
        <v>89.46</v>
      </c>
      <c r="H147" s="22">
        <v>93.307</v>
      </c>
    </row>
    <row r="148" spans="1:8" ht="51">
      <c r="A148" s="41"/>
      <c r="B148" s="48" t="s">
        <v>134</v>
      </c>
      <c r="C148" s="43"/>
      <c r="D148" s="43"/>
      <c r="E148" s="22">
        <f>F148+G148+H148</f>
        <v>534.6759999999999</v>
      </c>
      <c r="F148" s="22">
        <f>120+50</f>
        <v>170</v>
      </c>
      <c r="G148" s="22">
        <v>178.5</v>
      </c>
      <c r="H148" s="22">
        <v>186.176</v>
      </c>
    </row>
    <row r="149" spans="1:8" ht="12.75">
      <c r="A149" s="41"/>
      <c r="B149" s="48" t="s">
        <v>122</v>
      </c>
      <c r="C149" s="43"/>
      <c r="D149" s="43"/>
      <c r="E149" s="22">
        <f>F149+G149+H149</f>
        <v>99.9</v>
      </c>
      <c r="F149" s="22">
        <v>99.9</v>
      </c>
      <c r="G149" s="22"/>
      <c r="H149" s="22"/>
    </row>
    <row r="150" spans="1:8" ht="25.5" customHeight="1">
      <c r="A150" s="30" t="s">
        <v>96</v>
      </c>
      <c r="B150" s="48"/>
      <c r="C150" s="16" t="s">
        <v>132</v>
      </c>
      <c r="D150" s="16" t="s">
        <v>17</v>
      </c>
      <c r="E150" s="17">
        <f t="shared" si="8"/>
        <v>1083.287</v>
      </c>
      <c r="F150" s="17">
        <f>SUM(F151:F156)</f>
        <v>405.165</v>
      </c>
      <c r="G150" s="17">
        <f>SUM(G151:G156)</f>
        <v>331.974</v>
      </c>
      <c r="H150" s="17">
        <f>SUM(H151:H156)</f>
        <v>346.14799999999997</v>
      </c>
    </row>
    <row r="151" spans="1:8" ht="25.5">
      <c r="A151" s="31"/>
      <c r="B151" s="48" t="s">
        <v>97</v>
      </c>
      <c r="C151" s="32"/>
      <c r="D151" s="32"/>
      <c r="E151" s="22">
        <f t="shared" si="8"/>
        <v>209.859</v>
      </c>
      <c r="F151" s="22">
        <f>52.83+43.7</f>
        <v>96.53</v>
      </c>
      <c r="G151" s="22">
        <v>55.472</v>
      </c>
      <c r="H151" s="22">
        <v>57.857</v>
      </c>
    </row>
    <row r="152" spans="1:8" ht="25.5">
      <c r="A152" s="31"/>
      <c r="B152" s="48" t="s">
        <v>135</v>
      </c>
      <c r="C152" s="32"/>
      <c r="D152" s="32"/>
      <c r="E152" s="22">
        <f t="shared" si="8"/>
        <v>78.529</v>
      </c>
      <c r="F152" s="22">
        <v>25</v>
      </c>
      <c r="G152" s="22">
        <v>26.25</v>
      </c>
      <c r="H152" s="22">
        <v>27.279</v>
      </c>
    </row>
    <row r="153" spans="1:8" ht="25.5">
      <c r="A153" s="31"/>
      <c r="B153" s="48" t="s">
        <v>136</v>
      </c>
      <c r="C153" s="32"/>
      <c r="D153" s="32"/>
      <c r="E153" s="22">
        <f t="shared" si="8"/>
        <v>50.321999999999996</v>
      </c>
      <c r="F153" s="22">
        <v>16</v>
      </c>
      <c r="G153" s="22">
        <v>16.8</v>
      </c>
      <c r="H153" s="22">
        <v>17.522</v>
      </c>
    </row>
    <row r="154" spans="1:8" ht="12.75">
      <c r="A154" s="31"/>
      <c r="B154" s="48" t="s">
        <v>137</v>
      </c>
      <c r="C154" s="32"/>
      <c r="D154" s="32"/>
      <c r="E154" s="22">
        <f t="shared" si="8"/>
        <v>141.903</v>
      </c>
      <c r="F154" s="22">
        <f>20+79</f>
        <v>99</v>
      </c>
      <c r="G154" s="22">
        <v>21</v>
      </c>
      <c r="H154" s="22">
        <v>21.903</v>
      </c>
    </row>
    <row r="155" spans="1:8" ht="25.5">
      <c r="A155" s="31"/>
      <c r="B155" s="48" t="s">
        <v>138</v>
      </c>
      <c r="C155" s="32"/>
      <c r="D155" s="32"/>
      <c r="E155" s="22">
        <f>F155+G155+H155</f>
        <v>527.309</v>
      </c>
      <c r="F155" s="22">
        <f>41.49+51.78+109.065-33.7-75.365</f>
        <v>93.27</v>
      </c>
      <c r="G155" s="22">
        <v>212.452</v>
      </c>
      <c r="H155" s="22">
        <v>221.587</v>
      </c>
    </row>
    <row r="156" spans="1:8" ht="25.5">
      <c r="A156" s="36"/>
      <c r="B156" s="48" t="s">
        <v>114</v>
      </c>
      <c r="C156" s="33"/>
      <c r="D156" s="33"/>
      <c r="E156" s="22">
        <f>F156+G156+H156</f>
        <v>75.365</v>
      </c>
      <c r="F156" s="22">
        <v>75.365</v>
      </c>
      <c r="G156" s="22"/>
      <c r="H156" s="22"/>
    </row>
    <row r="157" spans="1:8" ht="12.75">
      <c r="A157" s="41" t="s">
        <v>126</v>
      </c>
      <c r="B157" s="24"/>
      <c r="C157" s="43" t="s">
        <v>132</v>
      </c>
      <c r="D157" s="43" t="s">
        <v>17</v>
      </c>
      <c r="E157" s="17">
        <f t="shared" si="8"/>
        <v>672.451</v>
      </c>
      <c r="F157" s="17">
        <f>SUM(F158:F160)</f>
        <v>184</v>
      </c>
      <c r="G157" s="17">
        <f>SUM(G158:G160)</f>
        <v>239.085</v>
      </c>
      <c r="H157" s="17">
        <f>SUM(H158:H160)</f>
        <v>249.36599999999999</v>
      </c>
    </row>
    <row r="158" spans="1:8" ht="25.5">
      <c r="A158" s="41"/>
      <c r="B158" s="48" t="s">
        <v>127</v>
      </c>
      <c r="C158" s="43"/>
      <c r="D158" s="43"/>
      <c r="E158" s="22">
        <f t="shared" si="8"/>
        <v>24.218</v>
      </c>
      <c r="F158" s="22">
        <v>7.7</v>
      </c>
      <c r="G158" s="22">
        <v>8.085</v>
      </c>
      <c r="H158" s="22">
        <v>8.433</v>
      </c>
    </row>
    <row r="159" spans="1:8" ht="12.75">
      <c r="A159" s="41"/>
      <c r="B159" s="48" t="s">
        <v>139</v>
      </c>
      <c r="C159" s="43"/>
      <c r="D159" s="43"/>
      <c r="E159" s="22">
        <f t="shared" si="8"/>
        <v>228.00900000000001</v>
      </c>
      <c r="F159" s="22">
        <f>143-43.7</f>
        <v>99.3</v>
      </c>
      <c r="G159" s="22">
        <v>63</v>
      </c>
      <c r="H159" s="22">
        <v>65.709</v>
      </c>
    </row>
    <row r="160" spans="1:8" ht="25.5">
      <c r="A160" s="41"/>
      <c r="B160" s="48" t="s">
        <v>140</v>
      </c>
      <c r="C160" s="43"/>
      <c r="D160" s="43"/>
      <c r="E160" s="22">
        <f t="shared" si="8"/>
        <v>420.224</v>
      </c>
      <c r="F160" s="22">
        <v>77</v>
      </c>
      <c r="G160" s="22">
        <v>168</v>
      </c>
      <c r="H160" s="22">
        <v>175.224</v>
      </c>
    </row>
    <row r="161" spans="1:8" ht="12.75">
      <c r="A161" s="27" t="s">
        <v>141</v>
      </c>
      <c r="B161" s="48"/>
      <c r="C161" s="42"/>
      <c r="D161" s="42"/>
      <c r="E161" s="17">
        <f>E162</f>
        <v>117.316</v>
      </c>
      <c r="F161" s="17">
        <f>SUM(F162)</f>
        <v>117.316</v>
      </c>
      <c r="G161" s="17">
        <f>SUM(G162)</f>
        <v>0</v>
      </c>
      <c r="H161" s="17">
        <f>SUM(H162)</f>
        <v>0</v>
      </c>
    </row>
    <row r="162" spans="1:8" ht="51">
      <c r="A162" s="50"/>
      <c r="B162" s="24" t="s">
        <v>90</v>
      </c>
      <c r="C162" s="42" t="s">
        <v>132</v>
      </c>
      <c r="D162" s="42" t="s">
        <v>17</v>
      </c>
      <c r="E162" s="22">
        <f aca="true" t="shared" si="9" ref="E162:E181">F162+G162+H162</f>
        <v>117.316</v>
      </c>
      <c r="F162" s="22">
        <f>38.907+44.709+33.7</f>
        <v>117.316</v>
      </c>
      <c r="G162" s="22"/>
      <c r="H162" s="22"/>
    </row>
    <row r="163" spans="1:8" ht="12.75" customHeight="1">
      <c r="A163" s="41" t="s">
        <v>72</v>
      </c>
      <c r="B163" s="48"/>
      <c r="C163" s="43" t="s">
        <v>142</v>
      </c>
      <c r="D163" s="43" t="s">
        <v>17</v>
      </c>
      <c r="E163" s="17">
        <f t="shared" si="9"/>
        <v>735.732</v>
      </c>
      <c r="F163" s="17">
        <f>SUM(F164:F167)</f>
        <v>302.062</v>
      </c>
      <c r="G163" s="17">
        <f>SUM(G164:G167)</f>
        <v>212.271</v>
      </c>
      <c r="H163" s="17">
        <f>SUM(H164:H167)</f>
        <v>221.399</v>
      </c>
    </row>
    <row r="164" spans="1:8" ht="25.5" customHeight="1">
      <c r="A164" s="41"/>
      <c r="B164" s="48" t="s">
        <v>133</v>
      </c>
      <c r="C164" s="43"/>
      <c r="D164" s="43"/>
      <c r="E164" s="22">
        <f t="shared" si="9"/>
        <v>313.415</v>
      </c>
      <c r="F164" s="22">
        <v>99.65</v>
      </c>
      <c r="G164" s="22">
        <v>104.633</v>
      </c>
      <c r="H164" s="22">
        <v>109.132</v>
      </c>
    </row>
    <row r="165" spans="1:8" ht="51">
      <c r="A165" s="41"/>
      <c r="B165" s="48" t="s">
        <v>134</v>
      </c>
      <c r="C165" s="43"/>
      <c r="D165" s="43"/>
      <c r="E165" s="22">
        <f>F165+G165+H165</f>
        <v>309.207</v>
      </c>
      <c r="F165" s="22">
        <f>33.04+65.272</f>
        <v>98.31200000000001</v>
      </c>
      <c r="G165" s="22">
        <v>103.228</v>
      </c>
      <c r="H165" s="22">
        <v>107.667</v>
      </c>
    </row>
    <row r="166" spans="1:8" ht="25.5">
      <c r="A166" s="41"/>
      <c r="B166" s="48" t="s">
        <v>143</v>
      </c>
      <c r="C166" s="43"/>
      <c r="D166" s="43"/>
      <c r="E166" s="22">
        <f>F166+G166+H166</f>
        <v>13.209999999999999</v>
      </c>
      <c r="F166" s="22">
        <v>4.2</v>
      </c>
      <c r="G166" s="22">
        <v>4.41</v>
      </c>
      <c r="H166" s="22">
        <v>4.6</v>
      </c>
    </row>
    <row r="167" spans="1:8" ht="12.75">
      <c r="A167" s="41"/>
      <c r="B167" s="48" t="s">
        <v>122</v>
      </c>
      <c r="C167" s="43"/>
      <c r="D167" s="43"/>
      <c r="E167" s="22">
        <f>F167+G167+H167</f>
        <v>99.9</v>
      </c>
      <c r="F167" s="22">
        <v>99.9</v>
      </c>
      <c r="G167" s="22"/>
      <c r="H167" s="22"/>
    </row>
    <row r="168" spans="1:8" ht="12.75">
      <c r="A168" s="41" t="s">
        <v>83</v>
      </c>
      <c r="B168" s="48"/>
      <c r="C168" s="43" t="s">
        <v>142</v>
      </c>
      <c r="D168" s="43" t="s">
        <v>17</v>
      </c>
      <c r="E168" s="17">
        <f>F168+G168+H168</f>
        <v>13.751000000000001</v>
      </c>
      <c r="F168" s="17">
        <f>SUM(F169)</f>
        <v>4.372</v>
      </c>
      <c r="G168" s="17">
        <f>SUM(G169)</f>
        <v>4.591</v>
      </c>
      <c r="H168" s="17">
        <f>SUM(H169)</f>
        <v>4.788</v>
      </c>
    </row>
    <row r="169" spans="1:8" ht="25.5" customHeight="1">
      <c r="A169" s="41"/>
      <c r="B169" s="48" t="s">
        <v>144</v>
      </c>
      <c r="C169" s="43"/>
      <c r="D169" s="43"/>
      <c r="E169" s="22">
        <f>F169+G169+H169</f>
        <v>13.751000000000001</v>
      </c>
      <c r="F169" s="22">
        <v>4.372</v>
      </c>
      <c r="G169" s="22">
        <v>4.591</v>
      </c>
      <c r="H169" s="22">
        <v>4.788</v>
      </c>
    </row>
    <row r="170" spans="1:8" ht="12.75">
      <c r="A170" s="41" t="s">
        <v>96</v>
      </c>
      <c r="B170" s="48"/>
      <c r="C170" s="43" t="s">
        <v>142</v>
      </c>
      <c r="D170" s="43" t="s">
        <v>17</v>
      </c>
      <c r="E170" s="17">
        <f t="shared" si="9"/>
        <v>480.99</v>
      </c>
      <c r="F170" s="17">
        <f>SUM(F171:F176)</f>
        <v>207.49400000000003</v>
      </c>
      <c r="G170" s="17">
        <f>SUM(G171:G176)</f>
        <v>133.86999999999998</v>
      </c>
      <c r="H170" s="17">
        <f>SUM(H171:H176)</f>
        <v>139.626</v>
      </c>
    </row>
    <row r="171" spans="1:8" ht="25.5">
      <c r="A171" s="41"/>
      <c r="B171" s="48" t="s">
        <v>145</v>
      </c>
      <c r="C171" s="43"/>
      <c r="D171" s="43"/>
      <c r="E171" s="22">
        <f t="shared" si="9"/>
        <v>14.707</v>
      </c>
      <c r="F171" s="22">
        <v>4.676</v>
      </c>
      <c r="G171" s="22">
        <v>4.91</v>
      </c>
      <c r="H171" s="22">
        <v>5.121</v>
      </c>
    </row>
    <row r="172" spans="1:8" ht="25.5">
      <c r="A172" s="41"/>
      <c r="B172" s="48" t="s">
        <v>146</v>
      </c>
      <c r="C172" s="43"/>
      <c r="D172" s="43"/>
      <c r="E172" s="22">
        <f t="shared" si="9"/>
        <v>130.95100000000002</v>
      </c>
      <c r="F172" s="22">
        <f>16.2+80</f>
        <v>96.2</v>
      </c>
      <c r="G172" s="22">
        <v>17.01</v>
      </c>
      <c r="H172" s="22">
        <v>17.741</v>
      </c>
    </row>
    <row r="173" spans="1:8" ht="25.5">
      <c r="A173" s="41"/>
      <c r="B173" s="48" t="s">
        <v>138</v>
      </c>
      <c r="C173" s="43"/>
      <c r="D173" s="43"/>
      <c r="E173" s="22">
        <f t="shared" si="9"/>
        <v>172.701</v>
      </c>
      <c r="F173" s="22">
        <f>45.58+9.33</f>
        <v>54.91</v>
      </c>
      <c r="G173" s="22">
        <v>57.656</v>
      </c>
      <c r="H173" s="22">
        <v>60.135</v>
      </c>
    </row>
    <row r="174" spans="1:8" ht="25.5">
      <c r="A174" s="41"/>
      <c r="B174" s="48" t="s">
        <v>147</v>
      </c>
      <c r="C174" s="43"/>
      <c r="D174" s="43"/>
      <c r="E174" s="22">
        <f t="shared" si="9"/>
        <v>125.986</v>
      </c>
      <c r="F174" s="22">
        <v>40.057</v>
      </c>
      <c r="G174" s="22">
        <v>42.06</v>
      </c>
      <c r="H174" s="22">
        <v>43.869</v>
      </c>
    </row>
    <row r="175" spans="1:8" ht="25.5">
      <c r="A175" s="41"/>
      <c r="B175" s="48" t="s">
        <v>148</v>
      </c>
      <c r="C175" s="43"/>
      <c r="D175" s="43"/>
      <c r="E175" s="22">
        <f t="shared" si="9"/>
        <v>24.403</v>
      </c>
      <c r="F175" s="22">
        <v>7.759</v>
      </c>
      <c r="G175" s="22">
        <v>8.147</v>
      </c>
      <c r="H175" s="22">
        <v>8.497</v>
      </c>
    </row>
    <row r="176" spans="1:8" ht="12.75">
      <c r="A176" s="41"/>
      <c r="B176" s="48" t="s">
        <v>149</v>
      </c>
      <c r="C176" s="43"/>
      <c r="D176" s="43"/>
      <c r="E176" s="22">
        <f t="shared" si="9"/>
        <v>12.241999999999999</v>
      </c>
      <c r="F176" s="22">
        <v>3.892</v>
      </c>
      <c r="G176" s="22">
        <v>4.087</v>
      </c>
      <c r="H176" s="22">
        <v>4.263</v>
      </c>
    </row>
    <row r="177" spans="1:8" ht="12.75">
      <c r="A177" s="41" t="s">
        <v>126</v>
      </c>
      <c r="B177" s="48"/>
      <c r="C177" s="43" t="s">
        <v>142</v>
      </c>
      <c r="D177" s="43" t="s">
        <v>17</v>
      </c>
      <c r="E177" s="17">
        <f t="shared" si="9"/>
        <v>333.682</v>
      </c>
      <c r="F177" s="17">
        <f>SUM(F178:F179)</f>
        <v>106.094</v>
      </c>
      <c r="G177" s="17">
        <f>SUM(G178:G179)</f>
        <v>111.399</v>
      </c>
      <c r="H177" s="17">
        <f>SUM(H178:H179)</f>
        <v>116.18900000000001</v>
      </c>
    </row>
    <row r="178" spans="1:8" ht="29.25" customHeight="1">
      <c r="A178" s="41"/>
      <c r="B178" s="48" t="s">
        <v>127</v>
      </c>
      <c r="C178" s="43"/>
      <c r="D178" s="43"/>
      <c r="E178" s="22">
        <f t="shared" si="9"/>
        <v>20.302</v>
      </c>
      <c r="F178" s="22">
        <v>6.455</v>
      </c>
      <c r="G178" s="22">
        <v>6.778</v>
      </c>
      <c r="H178" s="22">
        <v>7.069</v>
      </c>
    </row>
    <row r="179" spans="1:8" ht="12.75">
      <c r="A179" s="41"/>
      <c r="B179" s="48" t="s">
        <v>128</v>
      </c>
      <c r="C179" s="43"/>
      <c r="D179" s="43"/>
      <c r="E179" s="22">
        <f t="shared" si="9"/>
        <v>313.38</v>
      </c>
      <c r="F179" s="22">
        <v>99.639</v>
      </c>
      <c r="G179" s="22">
        <v>104.621</v>
      </c>
      <c r="H179" s="22">
        <v>109.12</v>
      </c>
    </row>
    <row r="180" spans="1:8" ht="30.75" customHeight="1">
      <c r="A180" s="41" t="s">
        <v>129</v>
      </c>
      <c r="B180" s="24"/>
      <c r="C180" s="43" t="s">
        <v>142</v>
      </c>
      <c r="D180" s="43" t="s">
        <v>17</v>
      </c>
      <c r="E180" s="17">
        <f t="shared" si="9"/>
        <v>60.411</v>
      </c>
      <c r="F180" s="17">
        <f>SUM(F181)</f>
        <v>19.208</v>
      </c>
      <c r="G180" s="17">
        <f>SUM(G181)</f>
        <v>20.168</v>
      </c>
      <c r="H180" s="17">
        <f>SUM(H181)</f>
        <v>21.035</v>
      </c>
    </row>
    <row r="181" spans="1:8" ht="18.75" customHeight="1">
      <c r="A181" s="41"/>
      <c r="B181" s="48" t="s">
        <v>150</v>
      </c>
      <c r="C181" s="43"/>
      <c r="D181" s="43"/>
      <c r="E181" s="22">
        <f t="shared" si="9"/>
        <v>60.411</v>
      </c>
      <c r="F181" s="22">
        <v>19.208</v>
      </c>
      <c r="G181" s="22">
        <v>20.168</v>
      </c>
      <c r="H181" s="22">
        <v>21.035</v>
      </c>
    </row>
    <row r="182" spans="1:8" ht="18.75" customHeight="1">
      <c r="A182" s="27" t="s">
        <v>141</v>
      </c>
      <c r="B182" s="48"/>
      <c r="C182" s="43" t="s">
        <v>142</v>
      </c>
      <c r="D182" s="43" t="s">
        <v>17</v>
      </c>
      <c r="E182" s="17">
        <f>F182+G182+H182</f>
        <v>32.173</v>
      </c>
      <c r="F182" s="17">
        <f>SUM(F183)</f>
        <v>32.173</v>
      </c>
      <c r="G182" s="22"/>
      <c r="H182" s="22"/>
    </row>
    <row r="183" spans="1:8" ht="25.5">
      <c r="A183" s="50"/>
      <c r="B183" s="24" t="s">
        <v>90</v>
      </c>
      <c r="C183" s="43"/>
      <c r="D183" s="43"/>
      <c r="E183" s="22">
        <f>F183+G183+H183</f>
        <v>32.173</v>
      </c>
      <c r="F183" s="22">
        <v>32.173</v>
      </c>
      <c r="G183" s="22"/>
      <c r="H183" s="22"/>
    </row>
    <row r="184" spans="1:8" ht="12.75" customHeight="1">
      <c r="A184" s="30" t="s">
        <v>72</v>
      </c>
      <c r="B184" s="48"/>
      <c r="C184" s="16" t="s">
        <v>151</v>
      </c>
      <c r="D184" s="16" t="s">
        <v>17</v>
      </c>
      <c r="E184" s="17">
        <f aca="true" t="shared" si="10" ref="E184:E209">F184+G184+H184</f>
        <v>1253.05</v>
      </c>
      <c r="F184" s="17">
        <f>SUM(F185:F189)</f>
        <v>466.544</v>
      </c>
      <c r="G184" s="17">
        <f>SUM(G185:G189)</f>
        <v>384.976</v>
      </c>
      <c r="H184" s="17">
        <f>SUM(H185:H189)</f>
        <v>401.53000000000003</v>
      </c>
    </row>
    <row r="185" spans="1:8" ht="25.5" customHeight="1">
      <c r="A185" s="31"/>
      <c r="B185" s="24" t="s">
        <v>133</v>
      </c>
      <c r="C185" s="32"/>
      <c r="D185" s="32"/>
      <c r="E185" s="22">
        <f t="shared" si="10"/>
        <v>311.37</v>
      </c>
      <c r="F185" s="22">
        <v>99</v>
      </c>
      <c r="G185" s="22">
        <v>103.95</v>
      </c>
      <c r="H185" s="22">
        <v>108.42</v>
      </c>
    </row>
    <row r="186" spans="1:8" ht="51">
      <c r="A186" s="31"/>
      <c r="B186" s="48" t="s">
        <v>134</v>
      </c>
      <c r="C186" s="32"/>
      <c r="D186" s="32"/>
      <c r="E186" s="22">
        <f t="shared" si="10"/>
        <v>313.395</v>
      </c>
      <c r="F186" s="22">
        <f>70.33+29.314</f>
        <v>99.644</v>
      </c>
      <c r="G186" s="22">
        <v>104.626</v>
      </c>
      <c r="H186" s="22">
        <v>109.125</v>
      </c>
    </row>
    <row r="187" spans="1:8" ht="12.75">
      <c r="A187" s="31"/>
      <c r="B187" s="48" t="s">
        <v>152</v>
      </c>
      <c r="C187" s="32"/>
      <c r="D187" s="32"/>
      <c r="E187" s="22">
        <f t="shared" si="10"/>
        <v>311.37</v>
      </c>
      <c r="F187" s="22">
        <v>99</v>
      </c>
      <c r="G187" s="22">
        <v>103.95</v>
      </c>
      <c r="H187" s="22">
        <v>108.42</v>
      </c>
    </row>
    <row r="188" spans="1:8" ht="25.5" customHeight="1">
      <c r="A188" s="31"/>
      <c r="B188" s="48" t="s">
        <v>153</v>
      </c>
      <c r="C188" s="32"/>
      <c r="D188" s="32"/>
      <c r="E188" s="22">
        <f t="shared" si="10"/>
        <v>217.015</v>
      </c>
      <c r="F188" s="22">
        <v>69</v>
      </c>
      <c r="G188" s="22">
        <v>72.45</v>
      </c>
      <c r="H188" s="22">
        <v>75.565</v>
      </c>
    </row>
    <row r="189" spans="1:8" ht="12.75">
      <c r="A189" s="36"/>
      <c r="B189" s="48" t="s">
        <v>122</v>
      </c>
      <c r="C189" s="33"/>
      <c r="D189" s="33"/>
      <c r="E189" s="22">
        <f t="shared" si="10"/>
        <v>99.9</v>
      </c>
      <c r="F189" s="22">
        <v>99.9</v>
      </c>
      <c r="G189" s="22"/>
      <c r="H189" s="22"/>
    </row>
    <row r="190" spans="1:8" ht="12.75">
      <c r="A190" s="41" t="s">
        <v>96</v>
      </c>
      <c r="B190" s="24"/>
      <c r="C190" s="43" t="s">
        <v>151</v>
      </c>
      <c r="D190" s="43" t="s">
        <v>17</v>
      </c>
      <c r="E190" s="17">
        <f t="shared" si="10"/>
        <v>441.00699999999995</v>
      </c>
      <c r="F190" s="17">
        <f>SUM(F191:F194)</f>
        <v>167.5</v>
      </c>
      <c r="G190" s="17">
        <f>SUM(G191:G194)</f>
        <v>133.875</v>
      </c>
      <c r="H190" s="17">
        <f>SUM(H191:H194)</f>
        <v>139.63199999999998</v>
      </c>
    </row>
    <row r="191" spans="1:8" ht="25.5">
      <c r="A191" s="41"/>
      <c r="B191" s="48" t="s">
        <v>136</v>
      </c>
      <c r="C191" s="43"/>
      <c r="D191" s="43"/>
      <c r="E191" s="22">
        <f t="shared" si="10"/>
        <v>130.524</v>
      </c>
      <c r="F191" s="22">
        <v>41.5</v>
      </c>
      <c r="G191" s="22">
        <v>43.575</v>
      </c>
      <c r="H191" s="22">
        <v>45.449</v>
      </c>
    </row>
    <row r="192" spans="1:8" ht="12.75">
      <c r="A192" s="41"/>
      <c r="B192" s="48" t="s">
        <v>137</v>
      </c>
      <c r="C192" s="43"/>
      <c r="D192" s="43"/>
      <c r="E192" s="22">
        <f t="shared" si="10"/>
        <v>222.419</v>
      </c>
      <c r="F192" s="22">
        <f>58+40</f>
        <v>98</v>
      </c>
      <c r="G192" s="22">
        <v>60.9</v>
      </c>
      <c r="H192" s="22">
        <v>63.519</v>
      </c>
    </row>
    <row r="193" spans="1:8" ht="25.5">
      <c r="A193" s="41"/>
      <c r="B193" s="48" t="s">
        <v>114</v>
      </c>
      <c r="C193" s="43"/>
      <c r="D193" s="43"/>
      <c r="E193" s="22">
        <f t="shared" si="10"/>
        <v>50.321999999999996</v>
      </c>
      <c r="F193" s="22">
        <v>16</v>
      </c>
      <c r="G193" s="22">
        <v>16.8</v>
      </c>
      <c r="H193" s="22">
        <v>17.522</v>
      </c>
    </row>
    <row r="194" spans="1:8" ht="25.5">
      <c r="A194" s="41"/>
      <c r="B194" s="48" t="s">
        <v>138</v>
      </c>
      <c r="C194" s="43"/>
      <c r="D194" s="43"/>
      <c r="E194" s="22">
        <f t="shared" si="10"/>
        <v>37.742000000000004</v>
      </c>
      <c r="F194" s="22">
        <v>12</v>
      </c>
      <c r="G194" s="22">
        <v>12.6</v>
      </c>
      <c r="H194" s="22">
        <v>13.142</v>
      </c>
    </row>
    <row r="195" spans="1:8" ht="12.75">
      <c r="A195" s="30" t="s">
        <v>154</v>
      </c>
      <c r="B195" s="48"/>
      <c r="C195" s="16" t="s">
        <v>151</v>
      </c>
      <c r="D195" s="16" t="s">
        <v>17</v>
      </c>
      <c r="E195" s="17">
        <f t="shared" si="10"/>
        <v>5.2</v>
      </c>
      <c r="F195" s="17">
        <f>SUM(F196)</f>
        <v>5.2</v>
      </c>
      <c r="G195" s="17">
        <f>SUM(G196)</f>
        <v>0</v>
      </c>
      <c r="H195" s="17">
        <f>SUM(H196)</f>
        <v>0</v>
      </c>
    </row>
    <row r="196" spans="1:8" ht="38.25">
      <c r="A196" s="36"/>
      <c r="B196" s="48" t="s">
        <v>155</v>
      </c>
      <c r="C196" s="33"/>
      <c r="D196" s="33"/>
      <c r="E196" s="22">
        <f t="shared" si="10"/>
        <v>5.2</v>
      </c>
      <c r="F196" s="22">
        <v>5.2</v>
      </c>
      <c r="G196" s="22"/>
      <c r="H196" s="22"/>
    </row>
    <row r="197" spans="1:8" ht="12.75">
      <c r="A197" s="41" t="s">
        <v>126</v>
      </c>
      <c r="B197" s="24"/>
      <c r="C197" s="43" t="s">
        <v>151</v>
      </c>
      <c r="D197" s="43" t="s">
        <v>17</v>
      </c>
      <c r="E197" s="17">
        <f t="shared" si="10"/>
        <v>574.462</v>
      </c>
      <c r="F197" s="17">
        <f>SUM(F198:F200)</f>
        <v>182.65</v>
      </c>
      <c r="G197" s="17">
        <f>SUM(G198:G200)</f>
        <v>191.78199999999998</v>
      </c>
      <c r="H197" s="17">
        <f>SUM(H198:H200)</f>
        <v>200.03</v>
      </c>
    </row>
    <row r="198" spans="1:8" ht="25.5">
      <c r="A198" s="41"/>
      <c r="B198" s="48" t="s">
        <v>127</v>
      </c>
      <c r="C198" s="43"/>
      <c r="D198" s="43"/>
      <c r="E198" s="22">
        <f t="shared" si="10"/>
        <v>110.08</v>
      </c>
      <c r="F198" s="22">
        <v>35</v>
      </c>
      <c r="G198" s="22">
        <v>36.75</v>
      </c>
      <c r="H198" s="22">
        <v>38.33</v>
      </c>
    </row>
    <row r="199" spans="1:8" ht="38.25">
      <c r="A199" s="41"/>
      <c r="B199" s="48" t="s">
        <v>156</v>
      </c>
      <c r="C199" s="43"/>
      <c r="D199" s="43"/>
      <c r="E199" s="22">
        <f t="shared" si="10"/>
        <v>213.833</v>
      </c>
      <c r="F199" s="22">
        <v>67.988</v>
      </c>
      <c r="G199" s="22">
        <v>71.387</v>
      </c>
      <c r="H199" s="22">
        <v>74.458</v>
      </c>
    </row>
    <row r="200" spans="1:8" ht="25.5">
      <c r="A200" s="41"/>
      <c r="B200" s="48" t="s">
        <v>140</v>
      </c>
      <c r="C200" s="43"/>
      <c r="D200" s="43"/>
      <c r="E200" s="22">
        <f t="shared" si="10"/>
        <v>250.54900000000004</v>
      </c>
      <c r="F200" s="22">
        <v>79.662</v>
      </c>
      <c r="G200" s="22">
        <v>83.645</v>
      </c>
      <c r="H200" s="22">
        <v>87.242</v>
      </c>
    </row>
    <row r="201" spans="1:8" ht="24" customHeight="1">
      <c r="A201" s="41" t="s">
        <v>129</v>
      </c>
      <c r="B201" s="48"/>
      <c r="C201" s="43" t="s">
        <v>151</v>
      </c>
      <c r="D201" s="43" t="s">
        <v>17</v>
      </c>
      <c r="E201" s="17">
        <f t="shared" si="10"/>
        <v>235.886</v>
      </c>
      <c r="F201" s="17">
        <f>SUM(F202)</f>
        <v>75</v>
      </c>
      <c r="G201" s="17">
        <f>SUM(G202)</f>
        <v>78.75</v>
      </c>
      <c r="H201" s="17">
        <f>SUM(H202)</f>
        <v>82.136</v>
      </c>
    </row>
    <row r="202" spans="1:8" ht="25.5">
      <c r="A202" s="41"/>
      <c r="B202" s="48" t="s">
        <v>157</v>
      </c>
      <c r="C202" s="43"/>
      <c r="D202" s="43"/>
      <c r="E202" s="22">
        <f t="shared" si="10"/>
        <v>235.886</v>
      </c>
      <c r="F202" s="22">
        <f>25+25+25</f>
        <v>75</v>
      </c>
      <c r="G202" s="22">
        <v>78.75</v>
      </c>
      <c r="H202" s="22">
        <v>82.136</v>
      </c>
    </row>
    <row r="203" spans="1:8" ht="12.75">
      <c r="A203" s="27" t="s">
        <v>141</v>
      </c>
      <c r="B203" s="48"/>
      <c r="C203" s="43" t="s">
        <v>151</v>
      </c>
      <c r="D203" s="43" t="s">
        <v>17</v>
      </c>
      <c r="E203" s="17">
        <f>F203+G203+H203</f>
        <v>66.655</v>
      </c>
      <c r="F203" s="17">
        <f>SUM(F204)</f>
        <v>66.655</v>
      </c>
      <c r="G203" s="22"/>
      <c r="H203" s="22"/>
    </row>
    <row r="204" spans="1:8" ht="25.5">
      <c r="A204" s="50"/>
      <c r="B204" s="24" t="s">
        <v>90</v>
      </c>
      <c r="C204" s="43"/>
      <c r="D204" s="43"/>
      <c r="E204" s="22">
        <f>F204+G204+H204</f>
        <v>66.655</v>
      </c>
      <c r="F204" s="22">
        <v>66.655</v>
      </c>
      <c r="G204" s="22"/>
      <c r="H204" s="22"/>
    </row>
    <row r="205" spans="1:8" ht="12.75" customHeight="1">
      <c r="A205" s="30" t="s">
        <v>72</v>
      </c>
      <c r="B205" s="24"/>
      <c r="C205" s="16" t="s">
        <v>158</v>
      </c>
      <c r="D205" s="16" t="s">
        <v>17</v>
      </c>
      <c r="E205" s="17">
        <f t="shared" si="10"/>
        <v>895.3810000000001</v>
      </c>
      <c r="F205" s="17">
        <f>SUM(F206:F209)</f>
        <v>311.9</v>
      </c>
      <c r="G205" s="17">
        <f>SUM(G206:G209)</f>
        <v>285.6</v>
      </c>
      <c r="H205" s="17">
        <f>SUM(H206:H209)</f>
        <v>297.88100000000003</v>
      </c>
    </row>
    <row r="206" spans="1:8" ht="25.5">
      <c r="A206" s="31"/>
      <c r="B206" s="48" t="s">
        <v>133</v>
      </c>
      <c r="C206" s="32"/>
      <c r="D206" s="32"/>
      <c r="E206" s="22">
        <f t="shared" si="10"/>
        <v>251.37</v>
      </c>
      <c r="F206" s="22">
        <v>39</v>
      </c>
      <c r="G206" s="22">
        <v>103.95</v>
      </c>
      <c r="H206" s="22">
        <v>108.42</v>
      </c>
    </row>
    <row r="207" spans="1:8" ht="51">
      <c r="A207" s="31"/>
      <c r="B207" s="48" t="s">
        <v>134</v>
      </c>
      <c r="C207" s="32"/>
      <c r="D207" s="32"/>
      <c r="E207" s="22">
        <f t="shared" si="10"/>
        <v>232.74099999999999</v>
      </c>
      <c r="F207" s="22">
        <f>30+44</f>
        <v>74</v>
      </c>
      <c r="G207" s="22">
        <v>77.7</v>
      </c>
      <c r="H207" s="22">
        <v>81.041</v>
      </c>
    </row>
    <row r="208" spans="1:8" ht="12.75">
      <c r="A208" s="31"/>
      <c r="B208" s="48" t="s">
        <v>152</v>
      </c>
      <c r="C208" s="32"/>
      <c r="D208" s="32"/>
      <c r="E208" s="22">
        <f t="shared" si="10"/>
        <v>311.37</v>
      </c>
      <c r="F208" s="22">
        <v>99</v>
      </c>
      <c r="G208" s="22">
        <v>103.95</v>
      </c>
      <c r="H208" s="22">
        <v>108.42</v>
      </c>
    </row>
    <row r="209" spans="1:8" ht="12.75">
      <c r="A209" s="36"/>
      <c r="B209" s="48" t="s">
        <v>122</v>
      </c>
      <c r="C209" s="33"/>
      <c r="D209" s="33"/>
      <c r="E209" s="22">
        <f t="shared" si="10"/>
        <v>99.9</v>
      </c>
      <c r="F209" s="22">
        <v>99.9</v>
      </c>
      <c r="G209" s="22"/>
      <c r="H209" s="22"/>
    </row>
    <row r="210" spans="1:8" ht="12.75">
      <c r="A210" s="41" t="s">
        <v>96</v>
      </c>
      <c r="B210" s="48"/>
      <c r="C210" s="43" t="s">
        <v>158</v>
      </c>
      <c r="D210" s="43" t="s">
        <v>17</v>
      </c>
      <c r="E210" s="17">
        <f aca="true" t="shared" si="11" ref="E210:E218">F210+G210+H210</f>
        <v>390.483</v>
      </c>
      <c r="F210" s="17">
        <f>SUM(F211:F213)</f>
        <v>206</v>
      </c>
      <c r="G210" s="17">
        <f>SUM(G211:G213)</f>
        <v>90.3</v>
      </c>
      <c r="H210" s="17">
        <f>SUM(H211:H213)</f>
        <v>94.18299999999999</v>
      </c>
    </row>
    <row r="211" spans="1:8" ht="25.5">
      <c r="A211" s="41"/>
      <c r="B211" s="48" t="s">
        <v>97</v>
      </c>
      <c r="C211" s="43"/>
      <c r="D211" s="43"/>
      <c r="E211" s="22">
        <f t="shared" si="11"/>
        <v>60</v>
      </c>
      <c r="F211" s="22">
        <v>60</v>
      </c>
      <c r="G211" s="22"/>
      <c r="H211" s="22"/>
    </row>
    <row r="212" spans="1:8" ht="12.75">
      <c r="A212" s="41"/>
      <c r="B212" s="48" t="s">
        <v>159</v>
      </c>
      <c r="C212" s="43"/>
      <c r="D212" s="43"/>
      <c r="E212" s="22">
        <f t="shared" si="11"/>
        <v>173.22500000000002</v>
      </c>
      <c r="F212" s="22">
        <f>36+60</f>
        <v>96</v>
      </c>
      <c r="G212" s="22">
        <v>37.8</v>
      </c>
      <c r="H212" s="22">
        <v>39.425</v>
      </c>
    </row>
    <row r="213" spans="1:8" ht="25.5">
      <c r="A213" s="41"/>
      <c r="B213" s="48" t="s">
        <v>124</v>
      </c>
      <c r="C213" s="43"/>
      <c r="D213" s="43"/>
      <c r="E213" s="22">
        <f t="shared" si="11"/>
        <v>157.258</v>
      </c>
      <c r="F213" s="22">
        <v>50</v>
      </c>
      <c r="G213" s="22">
        <v>52.5</v>
      </c>
      <c r="H213" s="22">
        <v>54.758</v>
      </c>
    </row>
    <row r="214" spans="1:8" ht="12.75">
      <c r="A214" s="41" t="s">
        <v>126</v>
      </c>
      <c r="B214" s="48"/>
      <c r="C214" s="43" t="s">
        <v>158</v>
      </c>
      <c r="D214" s="43" t="s">
        <v>17</v>
      </c>
      <c r="E214" s="17">
        <f t="shared" si="11"/>
        <v>371.127</v>
      </c>
      <c r="F214" s="17">
        <f>SUM(F215:F216)</f>
        <v>118</v>
      </c>
      <c r="G214" s="17">
        <f>SUM(G215:G216)</f>
        <v>123.9</v>
      </c>
      <c r="H214" s="17">
        <f>SUM(H215:H216)</f>
        <v>129.227</v>
      </c>
    </row>
    <row r="215" spans="1:8" ht="25.5">
      <c r="A215" s="41"/>
      <c r="B215" s="48" t="s">
        <v>127</v>
      </c>
      <c r="C215" s="43"/>
      <c r="D215" s="43"/>
      <c r="E215" s="22">
        <f t="shared" si="11"/>
        <v>72.338</v>
      </c>
      <c r="F215" s="22">
        <v>23</v>
      </c>
      <c r="G215" s="22">
        <v>24.15</v>
      </c>
      <c r="H215" s="22">
        <v>25.188</v>
      </c>
    </row>
    <row r="216" spans="1:8" ht="12.75">
      <c r="A216" s="41"/>
      <c r="B216" s="48" t="s">
        <v>128</v>
      </c>
      <c r="C216" s="43"/>
      <c r="D216" s="43"/>
      <c r="E216" s="22">
        <f t="shared" si="11"/>
        <v>298.789</v>
      </c>
      <c r="F216" s="22">
        <v>95</v>
      </c>
      <c r="G216" s="22">
        <v>99.75</v>
      </c>
      <c r="H216" s="22">
        <v>104.039</v>
      </c>
    </row>
    <row r="217" spans="1:8" ht="12.75">
      <c r="A217" s="41" t="s">
        <v>129</v>
      </c>
      <c r="B217" s="48"/>
      <c r="C217" s="43" t="s">
        <v>158</v>
      </c>
      <c r="D217" s="43" t="s">
        <v>17</v>
      </c>
      <c r="E217" s="17">
        <f t="shared" si="11"/>
        <v>160.403</v>
      </c>
      <c r="F217" s="17">
        <f>SUM(F218)</f>
        <v>51</v>
      </c>
      <c r="G217" s="17">
        <f>SUM(G218)</f>
        <v>53.55</v>
      </c>
      <c r="H217" s="17">
        <f>SUM(H218)</f>
        <v>55.853</v>
      </c>
    </row>
    <row r="218" spans="1:8" ht="38.25" customHeight="1">
      <c r="A218" s="41"/>
      <c r="B218" s="48" t="s">
        <v>160</v>
      </c>
      <c r="C218" s="43"/>
      <c r="D218" s="43"/>
      <c r="E218" s="22">
        <f t="shared" si="11"/>
        <v>160.403</v>
      </c>
      <c r="F218" s="22">
        <v>51</v>
      </c>
      <c r="G218" s="22">
        <v>53.55</v>
      </c>
      <c r="H218" s="22">
        <v>55.853</v>
      </c>
    </row>
    <row r="219" spans="1:8" ht="12.75">
      <c r="A219" s="27" t="s">
        <v>141</v>
      </c>
      <c r="B219" s="48"/>
      <c r="C219" s="43" t="s">
        <v>158</v>
      </c>
      <c r="D219" s="43" t="s">
        <v>17</v>
      </c>
      <c r="E219" s="17">
        <f>F219+G219+H219</f>
        <v>59.283</v>
      </c>
      <c r="F219" s="17">
        <f>SUM(F220)</f>
        <v>59.283</v>
      </c>
      <c r="G219" s="22"/>
      <c r="H219" s="22"/>
    </row>
    <row r="220" spans="1:8" ht="25.5">
      <c r="A220" s="50"/>
      <c r="B220" s="24" t="s">
        <v>90</v>
      </c>
      <c r="C220" s="43"/>
      <c r="D220" s="43"/>
      <c r="E220" s="22">
        <f>F220+G220+H220</f>
        <v>59.283</v>
      </c>
      <c r="F220" s="22">
        <v>59.283</v>
      </c>
      <c r="G220" s="22"/>
      <c r="H220" s="22"/>
    </row>
    <row r="221" spans="1:8" ht="12.75" customHeight="1">
      <c r="A221" s="30" t="s">
        <v>72</v>
      </c>
      <c r="B221" s="48"/>
      <c r="C221" s="16" t="s">
        <v>161</v>
      </c>
      <c r="D221" s="16" t="s">
        <v>17</v>
      </c>
      <c r="E221" s="17">
        <f aca="true" t="shared" si="12" ref="E221:E234">F221+G221+H221</f>
        <v>587.552</v>
      </c>
      <c r="F221" s="17">
        <f>SUM(F222:F224)</f>
        <v>235.85</v>
      </c>
      <c r="G221" s="17">
        <f>SUM(G222:G224)</f>
        <v>172.15</v>
      </c>
      <c r="H221" s="17">
        <f>SUM(H222:H224)</f>
        <v>179.552</v>
      </c>
    </row>
    <row r="222" spans="1:8" ht="25.5">
      <c r="A222" s="31"/>
      <c r="B222" s="48" t="s">
        <v>133</v>
      </c>
      <c r="C222" s="32"/>
      <c r="D222" s="32"/>
      <c r="E222" s="22">
        <f t="shared" si="12"/>
        <v>273.938</v>
      </c>
      <c r="F222" s="22">
        <v>68</v>
      </c>
      <c r="G222" s="22">
        <v>100.802</v>
      </c>
      <c r="H222" s="22">
        <v>105.136</v>
      </c>
    </row>
    <row r="223" spans="1:8" ht="25.5">
      <c r="A223" s="31"/>
      <c r="B223" s="48" t="s">
        <v>104</v>
      </c>
      <c r="C223" s="32"/>
      <c r="D223" s="32"/>
      <c r="E223" s="22">
        <f>F223+G223+H223</f>
        <v>213.714</v>
      </c>
      <c r="F223" s="22">
        <v>67.95</v>
      </c>
      <c r="G223" s="22">
        <v>71.348</v>
      </c>
      <c r="H223" s="22">
        <v>74.416</v>
      </c>
    </row>
    <row r="224" spans="1:8" ht="12.75">
      <c r="A224" s="36"/>
      <c r="B224" s="48" t="s">
        <v>122</v>
      </c>
      <c r="C224" s="33"/>
      <c r="D224" s="33"/>
      <c r="E224" s="22">
        <f>F224+G224+H224</f>
        <v>99.9</v>
      </c>
      <c r="F224" s="22">
        <v>99.9</v>
      </c>
      <c r="G224" s="22"/>
      <c r="H224" s="22"/>
    </row>
    <row r="225" spans="1:8" ht="12.75">
      <c r="A225" s="41" t="s">
        <v>96</v>
      </c>
      <c r="B225" s="24"/>
      <c r="C225" s="43" t="s">
        <v>161</v>
      </c>
      <c r="D225" s="43" t="s">
        <v>17</v>
      </c>
      <c r="E225" s="17">
        <f t="shared" si="12"/>
        <v>673.375</v>
      </c>
      <c r="F225" s="17">
        <f>SUM(F226:F229)</f>
        <v>261.775</v>
      </c>
      <c r="G225" s="17">
        <f>SUM(G226:G229)</f>
        <v>201.469</v>
      </c>
      <c r="H225" s="17">
        <f>SUM(H226:H229)</f>
        <v>210.131</v>
      </c>
    </row>
    <row r="226" spans="1:8" ht="25.5">
      <c r="A226" s="41"/>
      <c r="B226" s="48" t="s">
        <v>162</v>
      </c>
      <c r="C226" s="43"/>
      <c r="D226" s="43"/>
      <c r="E226" s="22">
        <f t="shared" si="12"/>
        <v>237.291</v>
      </c>
      <c r="F226" s="22">
        <v>75.447</v>
      </c>
      <c r="G226" s="22">
        <v>79.219</v>
      </c>
      <c r="H226" s="22">
        <v>82.625</v>
      </c>
    </row>
    <row r="227" spans="1:8" ht="25.5">
      <c r="A227" s="41"/>
      <c r="B227" s="48" t="s">
        <v>163</v>
      </c>
      <c r="C227" s="43"/>
      <c r="D227" s="43"/>
      <c r="E227" s="22">
        <f t="shared" si="12"/>
        <v>7.3919999999999995</v>
      </c>
      <c r="F227" s="22">
        <v>2.35</v>
      </c>
      <c r="G227" s="22">
        <v>2.468</v>
      </c>
      <c r="H227" s="22">
        <v>2.574</v>
      </c>
    </row>
    <row r="228" spans="1:8" ht="12.75">
      <c r="A228" s="41"/>
      <c r="B228" s="48" t="s">
        <v>137</v>
      </c>
      <c r="C228" s="43"/>
      <c r="D228" s="43"/>
      <c r="E228" s="22">
        <f t="shared" si="12"/>
        <v>139.816</v>
      </c>
      <c r="F228" s="22">
        <f>22.198+70</f>
        <v>92.19800000000001</v>
      </c>
      <c r="G228" s="22">
        <v>23.308</v>
      </c>
      <c r="H228" s="22">
        <v>24.31</v>
      </c>
    </row>
    <row r="229" spans="1:8" ht="38.25">
      <c r="A229" s="41"/>
      <c r="B229" s="48" t="s">
        <v>164</v>
      </c>
      <c r="C229" s="43"/>
      <c r="D229" s="43"/>
      <c r="E229" s="22">
        <f t="shared" si="12"/>
        <v>288.87600000000003</v>
      </c>
      <c r="F229" s="22">
        <f>86.979+4.901-0.1</f>
        <v>91.78</v>
      </c>
      <c r="G229" s="22">
        <v>96.474</v>
      </c>
      <c r="H229" s="22">
        <v>100.622</v>
      </c>
    </row>
    <row r="230" spans="1:8" ht="12.75">
      <c r="A230" s="30" t="s">
        <v>154</v>
      </c>
      <c r="B230" s="48"/>
      <c r="C230" s="16" t="s">
        <v>161</v>
      </c>
      <c r="D230" s="16" t="s">
        <v>17</v>
      </c>
      <c r="E230" s="17">
        <f t="shared" si="12"/>
        <v>11</v>
      </c>
      <c r="F230" s="17">
        <f>SUM(F231)</f>
        <v>11</v>
      </c>
      <c r="G230" s="17">
        <f>SUM(G231)</f>
        <v>0</v>
      </c>
      <c r="H230" s="17">
        <f>SUM(H231)</f>
        <v>0</v>
      </c>
    </row>
    <row r="231" spans="1:8" ht="38.25">
      <c r="A231" s="36"/>
      <c r="B231" s="48" t="s">
        <v>165</v>
      </c>
      <c r="C231" s="33"/>
      <c r="D231" s="33"/>
      <c r="E231" s="22">
        <f t="shared" si="12"/>
        <v>11</v>
      </c>
      <c r="F231" s="22">
        <v>11</v>
      </c>
      <c r="G231" s="22"/>
      <c r="H231" s="22"/>
    </row>
    <row r="232" spans="1:8" ht="12.75">
      <c r="A232" s="41" t="s">
        <v>126</v>
      </c>
      <c r="B232" s="24"/>
      <c r="C232" s="43" t="s">
        <v>161</v>
      </c>
      <c r="D232" s="43" t="s">
        <v>17</v>
      </c>
      <c r="E232" s="17">
        <f t="shared" si="12"/>
        <v>221.041</v>
      </c>
      <c r="F232" s="17">
        <f>SUM(F233:F234)</f>
        <v>70.28</v>
      </c>
      <c r="G232" s="17">
        <f>SUM(G233:G234)</f>
        <v>73.79400000000001</v>
      </c>
      <c r="H232" s="17">
        <f>SUM(H233:H234)</f>
        <v>76.967</v>
      </c>
    </row>
    <row r="233" spans="1:8" ht="25.5">
      <c r="A233" s="41"/>
      <c r="B233" s="48" t="s">
        <v>127</v>
      </c>
      <c r="C233" s="43"/>
      <c r="D233" s="43"/>
      <c r="E233" s="22">
        <f t="shared" si="12"/>
        <v>25.179</v>
      </c>
      <c r="F233" s="22">
        <v>8.006</v>
      </c>
      <c r="G233" s="22">
        <v>8.406</v>
      </c>
      <c r="H233" s="22">
        <v>8.767</v>
      </c>
    </row>
    <row r="234" spans="1:8" ht="12.75">
      <c r="A234" s="41"/>
      <c r="B234" s="48" t="s">
        <v>128</v>
      </c>
      <c r="C234" s="43"/>
      <c r="D234" s="43"/>
      <c r="E234" s="22">
        <f t="shared" si="12"/>
        <v>195.86200000000002</v>
      </c>
      <c r="F234" s="22">
        <v>62.274</v>
      </c>
      <c r="G234" s="22">
        <v>65.388</v>
      </c>
      <c r="H234" s="22">
        <v>68.2</v>
      </c>
    </row>
    <row r="235" spans="1:8" ht="21.75" customHeight="1">
      <c r="A235" s="41" t="s">
        <v>129</v>
      </c>
      <c r="B235" s="48"/>
      <c r="C235" s="43" t="s">
        <v>161</v>
      </c>
      <c r="D235" s="43" t="s">
        <v>17</v>
      </c>
      <c r="E235" s="17">
        <f aca="true" t="shared" si="13" ref="E235:E242">F235+G235+H235</f>
        <v>28.102</v>
      </c>
      <c r="F235" s="17">
        <f>SUM(F236)</f>
        <v>28.102</v>
      </c>
      <c r="G235" s="22"/>
      <c r="H235" s="22"/>
    </row>
    <row r="236" spans="1:8" ht="33.75" customHeight="1">
      <c r="A236" s="41"/>
      <c r="B236" s="48" t="s">
        <v>160</v>
      </c>
      <c r="C236" s="43"/>
      <c r="D236" s="43"/>
      <c r="E236" s="22">
        <f t="shared" si="13"/>
        <v>28.102</v>
      </c>
      <c r="F236" s="22">
        <v>28.102</v>
      </c>
      <c r="G236" s="22"/>
      <c r="H236" s="22"/>
    </row>
    <row r="237" spans="1:8" ht="12.75">
      <c r="A237" s="27" t="s">
        <v>141</v>
      </c>
      <c r="B237" s="48"/>
      <c r="C237" s="43" t="s">
        <v>161</v>
      </c>
      <c r="D237" s="43" t="s">
        <v>17</v>
      </c>
      <c r="E237" s="17">
        <f t="shared" si="13"/>
        <v>82.205</v>
      </c>
      <c r="F237" s="17">
        <f>SUM(F238)</f>
        <v>82.205</v>
      </c>
      <c r="G237" s="22"/>
      <c r="H237" s="22"/>
    </row>
    <row r="238" spans="1:8" ht="25.5">
      <c r="A238" s="50"/>
      <c r="B238" s="24" t="s">
        <v>90</v>
      </c>
      <c r="C238" s="43"/>
      <c r="D238" s="43"/>
      <c r="E238" s="22">
        <f t="shared" si="13"/>
        <v>82.205</v>
      </c>
      <c r="F238" s="22">
        <v>82.205</v>
      </c>
      <c r="G238" s="22"/>
      <c r="H238" s="22"/>
    </row>
    <row r="239" spans="1:8" ht="12.75" customHeight="1">
      <c r="A239" s="30" t="s">
        <v>72</v>
      </c>
      <c r="B239" s="48"/>
      <c r="C239" s="16" t="s">
        <v>166</v>
      </c>
      <c r="D239" s="16" t="s">
        <v>17</v>
      </c>
      <c r="E239" s="17">
        <f t="shared" si="13"/>
        <v>848.703</v>
      </c>
      <c r="F239" s="17">
        <f>SUM(F240:F242)</f>
        <v>337.98199999999997</v>
      </c>
      <c r="G239" s="17">
        <f>SUM(G240:G242)</f>
        <v>249.986</v>
      </c>
      <c r="H239" s="17">
        <f>SUM(H240:H242)</f>
        <v>260.735</v>
      </c>
    </row>
    <row r="240" spans="1:8" ht="51">
      <c r="A240" s="31"/>
      <c r="B240" s="48" t="s">
        <v>134</v>
      </c>
      <c r="C240" s="32"/>
      <c r="D240" s="32"/>
      <c r="E240" s="22">
        <f t="shared" si="13"/>
        <v>609.952</v>
      </c>
      <c r="F240" s="22">
        <f>99.113+59.929+34.892</f>
        <v>193.934</v>
      </c>
      <c r="G240" s="22">
        <v>203.631</v>
      </c>
      <c r="H240" s="22">
        <v>212.387</v>
      </c>
    </row>
    <row r="241" spans="1:8" ht="25.5" customHeight="1">
      <c r="A241" s="31"/>
      <c r="B241" s="24" t="s">
        <v>167</v>
      </c>
      <c r="C241" s="32"/>
      <c r="D241" s="32"/>
      <c r="E241" s="22">
        <f t="shared" si="13"/>
        <v>138.851</v>
      </c>
      <c r="F241" s="22">
        <v>44.148</v>
      </c>
      <c r="G241" s="22">
        <v>46.355</v>
      </c>
      <c r="H241" s="22">
        <v>48.348</v>
      </c>
    </row>
    <row r="242" spans="1:8" ht="12.75">
      <c r="A242" s="36"/>
      <c r="B242" s="48" t="s">
        <v>122</v>
      </c>
      <c r="C242" s="33"/>
      <c r="D242" s="33"/>
      <c r="E242" s="22">
        <f t="shared" si="13"/>
        <v>99.9</v>
      </c>
      <c r="F242" s="22">
        <v>99.9</v>
      </c>
      <c r="G242" s="22"/>
      <c r="H242" s="22"/>
    </row>
    <row r="243" spans="1:8" ht="12.75">
      <c r="A243" s="41" t="s">
        <v>96</v>
      </c>
      <c r="B243" s="48"/>
      <c r="C243" s="43" t="s">
        <v>166</v>
      </c>
      <c r="D243" s="43" t="s">
        <v>17</v>
      </c>
      <c r="E243" s="17">
        <f aca="true" t="shared" si="14" ref="E243:E258">F243+G243+H243</f>
        <v>754.63</v>
      </c>
      <c r="F243" s="17">
        <f>SUM(F244:F248)</f>
        <v>267.216</v>
      </c>
      <c r="G243" s="17">
        <f>SUM(G244:G248)</f>
        <v>238.577</v>
      </c>
      <c r="H243" s="17">
        <f>SUM(H244:H248)</f>
        <v>248.837</v>
      </c>
    </row>
    <row r="244" spans="1:8" ht="25.5">
      <c r="A244" s="41"/>
      <c r="B244" s="48" t="s">
        <v>162</v>
      </c>
      <c r="C244" s="43"/>
      <c r="D244" s="43"/>
      <c r="E244" s="22">
        <f t="shared" si="14"/>
        <v>297.87300000000005</v>
      </c>
      <c r="F244" s="22">
        <f>58.756+35.953</f>
        <v>94.709</v>
      </c>
      <c r="G244" s="22">
        <v>99.444</v>
      </c>
      <c r="H244" s="22">
        <v>103.72</v>
      </c>
    </row>
    <row r="245" spans="1:8" ht="38.25">
      <c r="A245" s="41"/>
      <c r="B245" s="48" t="s">
        <v>168</v>
      </c>
      <c r="C245" s="43"/>
      <c r="D245" s="43"/>
      <c r="E245" s="22">
        <f t="shared" si="14"/>
        <v>45.26</v>
      </c>
      <c r="F245" s="22">
        <v>14.39</v>
      </c>
      <c r="G245" s="22">
        <v>15.11</v>
      </c>
      <c r="H245" s="22">
        <v>15.76</v>
      </c>
    </row>
    <row r="246" spans="1:8" ht="25.5">
      <c r="A246" s="41"/>
      <c r="B246" s="48" t="s">
        <v>123</v>
      </c>
      <c r="C246" s="43"/>
      <c r="D246" s="43"/>
      <c r="E246" s="22">
        <f t="shared" si="14"/>
        <v>100.042</v>
      </c>
      <c r="F246" s="22">
        <f>19.09+40</f>
        <v>59.09</v>
      </c>
      <c r="G246" s="22">
        <v>20.045</v>
      </c>
      <c r="H246" s="22">
        <v>20.907</v>
      </c>
    </row>
    <row r="247" spans="1:8" ht="25.5" customHeight="1">
      <c r="A247" s="41"/>
      <c r="B247" s="48" t="s">
        <v>124</v>
      </c>
      <c r="C247" s="43"/>
      <c r="D247" s="43"/>
      <c r="E247" s="22">
        <f t="shared" si="14"/>
        <v>166.942</v>
      </c>
      <c r="F247" s="22">
        <v>53.079</v>
      </c>
      <c r="G247" s="22">
        <v>55.733</v>
      </c>
      <c r="H247" s="22">
        <v>58.13</v>
      </c>
    </row>
    <row r="248" spans="1:8" ht="25.5">
      <c r="A248" s="41"/>
      <c r="B248" s="48" t="s">
        <v>114</v>
      </c>
      <c r="C248" s="43"/>
      <c r="D248" s="43"/>
      <c r="E248" s="22">
        <f t="shared" si="14"/>
        <v>144.513</v>
      </c>
      <c r="F248" s="22">
        <v>45.948</v>
      </c>
      <c r="G248" s="22">
        <v>48.245</v>
      </c>
      <c r="H248" s="22">
        <v>50.32</v>
      </c>
    </row>
    <row r="249" spans="1:8" ht="12.75">
      <c r="A249" s="41" t="s">
        <v>126</v>
      </c>
      <c r="B249" s="24"/>
      <c r="C249" s="43" t="s">
        <v>166</v>
      </c>
      <c r="D249" s="43" t="s">
        <v>17</v>
      </c>
      <c r="E249" s="17">
        <f t="shared" si="14"/>
        <v>320.13</v>
      </c>
      <c r="F249" s="17">
        <f>SUM(F250:F252)</f>
        <v>101.785</v>
      </c>
      <c r="G249" s="17">
        <f>SUM(G250:G252)</f>
        <v>106.875</v>
      </c>
      <c r="H249" s="17">
        <f>SUM(H250:H252)</f>
        <v>111.47</v>
      </c>
    </row>
    <row r="250" spans="1:8" ht="25.5">
      <c r="A250" s="41"/>
      <c r="B250" s="48" t="s">
        <v>169</v>
      </c>
      <c r="C250" s="43"/>
      <c r="D250" s="43"/>
      <c r="E250" s="22">
        <f t="shared" si="14"/>
        <v>5.954000000000001</v>
      </c>
      <c r="F250" s="22">
        <v>1.893</v>
      </c>
      <c r="G250" s="22">
        <v>1.988</v>
      </c>
      <c r="H250" s="22">
        <v>2.073</v>
      </c>
    </row>
    <row r="251" spans="1:8" ht="25.5">
      <c r="A251" s="41"/>
      <c r="B251" s="48" t="s">
        <v>127</v>
      </c>
      <c r="C251" s="43"/>
      <c r="D251" s="43"/>
      <c r="E251" s="22">
        <f t="shared" si="14"/>
        <v>19.371</v>
      </c>
      <c r="F251" s="22">
        <v>6.159</v>
      </c>
      <c r="G251" s="22">
        <v>6.467</v>
      </c>
      <c r="H251" s="22">
        <v>6.745</v>
      </c>
    </row>
    <row r="252" spans="1:8" ht="12.75">
      <c r="A252" s="41"/>
      <c r="B252" s="48" t="s">
        <v>128</v>
      </c>
      <c r="C252" s="43"/>
      <c r="D252" s="43"/>
      <c r="E252" s="22">
        <f t="shared" si="14"/>
        <v>294.805</v>
      </c>
      <c r="F252" s="22">
        <v>93.733</v>
      </c>
      <c r="G252" s="22">
        <v>98.42</v>
      </c>
      <c r="H252" s="22">
        <v>102.652</v>
      </c>
    </row>
    <row r="253" spans="1:8" ht="12.75">
      <c r="A253" s="41" t="s">
        <v>91</v>
      </c>
      <c r="B253" s="24"/>
      <c r="C253" s="43" t="s">
        <v>166</v>
      </c>
      <c r="D253" s="43" t="s">
        <v>17</v>
      </c>
      <c r="E253" s="17">
        <f t="shared" si="14"/>
        <v>2.1229999999999998</v>
      </c>
      <c r="F253" s="17">
        <f>SUM(F254)</f>
        <v>0.675</v>
      </c>
      <c r="G253" s="17">
        <f>SUM(G254)</f>
        <v>0.709</v>
      </c>
      <c r="H253" s="17">
        <f>SUM(H254)</f>
        <v>0.739</v>
      </c>
    </row>
    <row r="254" spans="1:8" ht="38.25">
      <c r="A254" s="41"/>
      <c r="B254" s="24" t="s">
        <v>170</v>
      </c>
      <c r="C254" s="43"/>
      <c r="D254" s="43"/>
      <c r="E254" s="22">
        <f t="shared" si="14"/>
        <v>2.1229999999999998</v>
      </c>
      <c r="F254" s="22">
        <v>0.675</v>
      </c>
      <c r="G254" s="22">
        <v>0.709</v>
      </c>
      <c r="H254" s="22">
        <v>0.739</v>
      </c>
    </row>
    <row r="255" spans="1:8" ht="27" customHeight="1">
      <c r="A255" s="41" t="s">
        <v>129</v>
      </c>
      <c r="B255" s="24"/>
      <c r="C255" s="43" t="s">
        <v>166</v>
      </c>
      <c r="D255" s="43" t="s">
        <v>17</v>
      </c>
      <c r="E255" s="17">
        <f t="shared" si="14"/>
        <v>227.212</v>
      </c>
      <c r="F255" s="17">
        <f>SUM(F256)</f>
        <v>72.242</v>
      </c>
      <c r="G255" s="17">
        <f>SUM(G256)</f>
        <v>75.854</v>
      </c>
      <c r="H255" s="17">
        <f>SUM(H256)</f>
        <v>79.116</v>
      </c>
    </row>
    <row r="256" spans="1:8" ht="24.75" customHeight="1">
      <c r="A256" s="41"/>
      <c r="B256" s="48" t="s">
        <v>171</v>
      </c>
      <c r="C256" s="43"/>
      <c r="D256" s="43"/>
      <c r="E256" s="22">
        <f t="shared" si="14"/>
        <v>227.212</v>
      </c>
      <c r="F256" s="22">
        <v>72.242</v>
      </c>
      <c r="G256" s="22">
        <v>75.854</v>
      </c>
      <c r="H256" s="22">
        <v>79.116</v>
      </c>
    </row>
    <row r="257" spans="1:8" ht="24.75" customHeight="1">
      <c r="A257" s="27" t="s">
        <v>141</v>
      </c>
      <c r="B257" s="48"/>
      <c r="C257" s="43" t="s">
        <v>166</v>
      </c>
      <c r="D257" s="43" t="s">
        <v>17</v>
      </c>
      <c r="E257" s="17">
        <f>F257+G257+H257</f>
        <v>93.893</v>
      </c>
      <c r="F257" s="17">
        <f>SUM(F258)</f>
        <v>93.893</v>
      </c>
      <c r="G257" s="17">
        <f>SUM(G258)</f>
        <v>0</v>
      </c>
      <c r="H257" s="17">
        <f>SUM(H258)</f>
        <v>0</v>
      </c>
    </row>
    <row r="258" spans="1:8" ht="25.5">
      <c r="A258" s="50"/>
      <c r="B258" s="24" t="s">
        <v>90</v>
      </c>
      <c r="C258" s="43"/>
      <c r="D258" s="43"/>
      <c r="E258" s="22">
        <f t="shared" si="14"/>
        <v>93.893</v>
      </c>
      <c r="F258" s="22">
        <f>20+73.893</f>
        <v>93.893</v>
      </c>
      <c r="G258" s="22"/>
      <c r="H258" s="22"/>
    </row>
    <row r="259" spans="1:8" ht="12.75">
      <c r="A259" s="39" t="s">
        <v>172</v>
      </c>
      <c r="B259" s="39"/>
      <c r="C259" s="39"/>
      <c r="D259" s="39"/>
      <c r="E259" s="39"/>
      <c r="F259" s="39"/>
      <c r="G259" s="39"/>
      <c r="H259" s="39"/>
    </row>
    <row r="260" spans="1:8" ht="12.75" customHeight="1">
      <c r="A260" s="27" t="s">
        <v>173</v>
      </c>
      <c r="B260" s="51"/>
      <c r="C260" s="16" t="s">
        <v>16</v>
      </c>
      <c r="D260" s="16" t="s">
        <v>17</v>
      </c>
      <c r="E260" s="17">
        <f>F260+G260+H260</f>
        <v>647.498</v>
      </c>
      <c r="F260" s="17">
        <f>F261+F262</f>
        <v>298.597</v>
      </c>
      <c r="G260" s="17">
        <f>G261+G262</f>
        <v>170.73</v>
      </c>
      <c r="H260" s="17">
        <f>H261+H262</f>
        <v>178.171</v>
      </c>
    </row>
    <row r="261" spans="1:8" ht="67.5" customHeight="1">
      <c r="A261" s="52"/>
      <c r="B261" s="24" t="s">
        <v>174</v>
      </c>
      <c r="C261" s="32"/>
      <c r="D261" s="32"/>
      <c r="E261" s="22">
        <f>F261+G261+H261</f>
        <v>511.501</v>
      </c>
      <c r="F261" s="22">
        <v>162.6</v>
      </c>
      <c r="G261" s="22">
        <v>170.73</v>
      </c>
      <c r="H261" s="22">
        <v>178.171</v>
      </c>
    </row>
    <row r="262" spans="1:8" ht="25.5">
      <c r="A262" s="50"/>
      <c r="B262" s="24" t="s">
        <v>90</v>
      </c>
      <c r="C262" s="33"/>
      <c r="D262" s="33"/>
      <c r="E262" s="22">
        <f>F262+G262+H262</f>
        <v>135.997</v>
      </c>
      <c r="F262" s="22">
        <v>135.997</v>
      </c>
      <c r="G262" s="22"/>
      <c r="H262" s="22"/>
    </row>
    <row r="263" spans="1:8" ht="12.75" customHeight="1">
      <c r="A263" s="11" t="s">
        <v>175</v>
      </c>
      <c r="B263" s="37"/>
      <c r="C263" s="37"/>
      <c r="D263" s="37"/>
      <c r="E263" s="37"/>
      <c r="F263" s="37"/>
      <c r="G263" s="37"/>
      <c r="H263" s="38"/>
    </row>
    <row r="264" spans="1:8" ht="12.75" customHeight="1">
      <c r="A264" s="30" t="s">
        <v>176</v>
      </c>
      <c r="B264" s="51"/>
      <c r="C264" s="16" t="s">
        <v>16</v>
      </c>
      <c r="D264" s="16" t="s">
        <v>17</v>
      </c>
      <c r="E264" s="17">
        <f>F264+G264+H264</f>
        <v>8347.898000000001</v>
      </c>
      <c r="F264" s="17">
        <f>F265+F266+F267</f>
        <v>8347.898000000001</v>
      </c>
      <c r="G264" s="17">
        <f>G265+G266+G267</f>
        <v>0</v>
      </c>
      <c r="H264" s="17">
        <f>H265+H266+H267</f>
        <v>0</v>
      </c>
    </row>
    <row r="265" spans="1:8" ht="51">
      <c r="A265" s="31"/>
      <c r="B265" s="24" t="s">
        <v>177</v>
      </c>
      <c r="C265" s="32"/>
      <c r="D265" s="32"/>
      <c r="E265" s="22">
        <f>F265+G265+H265</f>
        <v>45.761</v>
      </c>
      <c r="F265" s="22">
        <v>45.761</v>
      </c>
      <c r="G265" s="22"/>
      <c r="H265" s="22"/>
    </row>
    <row r="266" spans="1:8" ht="51">
      <c r="A266" s="31"/>
      <c r="B266" s="24" t="s">
        <v>178</v>
      </c>
      <c r="C266" s="32"/>
      <c r="D266" s="32"/>
      <c r="E266" s="22">
        <f>F266+G266+H266</f>
        <v>7041.82</v>
      </c>
      <c r="F266" s="22">
        <f>1449.3+3000+992.52+1600</f>
        <v>7041.82</v>
      </c>
      <c r="G266" s="22"/>
      <c r="H266" s="22"/>
    </row>
    <row r="267" spans="1:8" ht="63.75">
      <c r="A267" s="31"/>
      <c r="B267" s="24" t="s">
        <v>179</v>
      </c>
      <c r="C267" s="32"/>
      <c r="D267" s="32"/>
      <c r="E267" s="22">
        <f>F267+G267+H267</f>
        <v>1260.317</v>
      </c>
      <c r="F267" s="22">
        <f>64.15+399.814+50.176+50.01+696.167</f>
        <v>1260.317</v>
      </c>
      <c r="G267" s="22"/>
      <c r="H267" s="22"/>
    </row>
    <row r="268" spans="1:8" s="40" customFormat="1" ht="12.75">
      <c r="A268" s="39" t="s">
        <v>180</v>
      </c>
      <c r="B268" s="39"/>
      <c r="C268" s="39"/>
      <c r="D268" s="39"/>
      <c r="E268" s="39"/>
      <c r="F268" s="39"/>
      <c r="G268" s="39"/>
      <c r="H268" s="39"/>
    </row>
    <row r="269" spans="1:8" s="40" customFormat="1" ht="12.75" customHeight="1">
      <c r="A269" s="27" t="s">
        <v>181</v>
      </c>
      <c r="B269" s="51"/>
      <c r="C269" s="16" t="s">
        <v>16</v>
      </c>
      <c r="D269" s="16" t="s">
        <v>17</v>
      </c>
      <c r="E269" s="17">
        <f>F269+G269+H269</f>
        <v>324.172</v>
      </c>
      <c r="F269" s="17">
        <f>F270+F271+F272</f>
        <v>113.947</v>
      </c>
      <c r="G269" s="17">
        <f>G270+G271+G272</f>
        <v>102.9</v>
      </c>
      <c r="H269" s="17">
        <f>H270+H271+H272</f>
        <v>107.325</v>
      </c>
    </row>
    <row r="270" spans="1:8" s="40" customFormat="1" ht="76.5">
      <c r="A270" s="52"/>
      <c r="B270" s="24" t="s">
        <v>182</v>
      </c>
      <c r="C270" s="32"/>
      <c r="D270" s="32"/>
      <c r="E270" s="22">
        <f>F270+G270+H270</f>
        <v>300.462</v>
      </c>
      <c r="F270" s="22">
        <f>98-7.763</f>
        <v>90.237</v>
      </c>
      <c r="G270" s="22">
        <v>102.9</v>
      </c>
      <c r="H270" s="22">
        <v>107.325</v>
      </c>
    </row>
    <row r="271" spans="1:8" s="40" customFormat="1" ht="25.5">
      <c r="A271" s="52"/>
      <c r="B271" s="24" t="s">
        <v>183</v>
      </c>
      <c r="C271" s="32"/>
      <c r="D271" s="32"/>
      <c r="E271" s="22">
        <f>F271+G271+H271</f>
        <v>7.763</v>
      </c>
      <c r="F271" s="22">
        <v>7.763</v>
      </c>
      <c r="G271" s="22"/>
      <c r="H271" s="22"/>
    </row>
    <row r="272" spans="1:8" s="40" customFormat="1" ht="25.5">
      <c r="A272" s="50"/>
      <c r="B272" s="24" t="s">
        <v>90</v>
      </c>
      <c r="C272" s="33"/>
      <c r="D272" s="33"/>
      <c r="E272" s="22">
        <f>F272+G272+H272</f>
        <v>15.947</v>
      </c>
      <c r="F272" s="22">
        <v>15.947</v>
      </c>
      <c r="G272" s="22"/>
      <c r="H272" s="22"/>
    </row>
    <row r="273" spans="1:8" ht="12.75">
      <c r="A273" s="53" t="s">
        <v>184</v>
      </c>
      <c r="B273" s="53"/>
      <c r="C273" s="51"/>
      <c r="D273" s="51"/>
      <c r="E273" s="17">
        <f>F273+G273+H273</f>
        <v>723678.5590000001</v>
      </c>
      <c r="F273" s="17">
        <f>F16+F35+F51+F65+F68+F71+F82+F90+F95+F113+F131+F134+F139+F142+F144+F146+F150+F157+F161+F163+F168+F170+F177+F180+F182+F184+F190+F195+F197+F201+F203+F205+F210+F214+F217+F219+F221+F225+F230+F232+F235+F237+F239+F243+F249+F253+F255+F257+F260+F264+F269</f>
        <v>272094.58600000007</v>
      </c>
      <c r="G273" s="17">
        <f>G16+G35+G51+G65+G68+G71+G82+G90+G95+G113+G131+G134+G139+G142+G144+G146+G150+G157+G161+G163+G168+G170+G177+G180+G182+G184+G190+G195+G197+G201+G203+G205+G210+G214+G217+G219+G221+G225+G230+G232+G235+G237+G239+G243+G249+G253+G255+G257+G260+G264+G269</f>
        <v>257046.91699999993</v>
      </c>
      <c r="H273" s="17">
        <f>H16+H35+H51+H65+H68+H71+H82+H90+H95+H113+H131+H134+H139+H142+H144+H146+H150+H157+H161+H163+H168+H170+H177+H180+H182+H184+H190+H195+H197+H201+H203+H205+H210+H214+H217+H219+H221+H225+H230+H232+H235+H237+H239+H243+H249+H253+H255+H257+H260+H264+H269</f>
        <v>194537.05600000004</v>
      </c>
    </row>
    <row r="274" spans="1:8" ht="12.75">
      <c r="A274" s="11" t="s">
        <v>185</v>
      </c>
      <c r="B274" s="37"/>
      <c r="C274" s="37"/>
      <c r="D274" s="37"/>
      <c r="E274" s="37"/>
      <c r="F274" s="37"/>
      <c r="G274" s="37"/>
      <c r="H274" s="38"/>
    </row>
    <row r="275" spans="1:8" ht="12.75">
      <c r="A275" s="51"/>
      <c r="B275" s="51"/>
      <c r="C275" s="54"/>
      <c r="D275" s="16" t="s">
        <v>186</v>
      </c>
      <c r="E275" s="17">
        <f>F275+G275+H275</f>
        <v>2700</v>
      </c>
      <c r="F275" s="17">
        <f>F276+F277</f>
        <v>2700</v>
      </c>
      <c r="G275" s="17">
        <f>G276+G277</f>
        <v>0</v>
      </c>
      <c r="H275" s="17">
        <f>H276+H277</f>
        <v>0</v>
      </c>
    </row>
    <row r="276" spans="1:8" ht="140.25">
      <c r="A276" s="53" t="s">
        <v>187</v>
      </c>
      <c r="B276" s="24" t="s">
        <v>188</v>
      </c>
      <c r="C276" s="55"/>
      <c r="D276" s="32"/>
      <c r="E276" s="22">
        <f>F276+G276+H276</f>
        <v>2400</v>
      </c>
      <c r="F276" s="22">
        <v>2400</v>
      </c>
      <c r="G276" s="22"/>
      <c r="H276" s="22"/>
    </row>
    <row r="277" spans="1:8" ht="127.5">
      <c r="A277" s="53" t="s">
        <v>189</v>
      </c>
      <c r="B277" s="24" t="s">
        <v>190</v>
      </c>
      <c r="C277" s="56"/>
      <c r="D277" s="33"/>
      <c r="E277" s="22">
        <f>F277+G277+H277</f>
        <v>300</v>
      </c>
      <c r="F277" s="22">
        <v>300</v>
      </c>
      <c r="G277" s="22"/>
      <c r="H277" s="22"/>
    </row>
    <row r="279" ht="12.75">
      <c r="F279" s="57"/>
    </row>
    <row r="280" spans="1:8" s="1" customFormat="1" ht="18.75">
      <c r="A280" s="3" t="s">
        <v>191</v>
      </c>
      <c r="B280" s="3"/>
      <c r="C280" s="2"/>
      <c r="D280" s="2"/>
      <c r="E280" s="2"/>
      <c r="F280" s="2"/>
      <c r="G280" s="3" t="s">
        <v>192</v>
      </c>
      <c r="H280" s="3"/>
    </row>
  </sheetData>
  <sheetProtection/>
  <mergeCells count="184">
    <mergeCell ref="A205:A209"/>
    <mergeCell ref="A214:A216"/>
    <mergeCell ref="D214:D216"/>
    <mergeCell ref="A217:A218"/>
    <mergeCell ref="A210:A213"/>
    <mergeCell ref="D210:D213"/>
    <mergeCell ref="C275:C277"/>
    <mergeCell ref="D275:D277"/>
    <mergeCell ref="C58:C59"/>
    <mergeCell ref="D134:D138"/>
    <mergeCell ref="D82:D89"/>
    <mergeCell ref="D95:D111"/>
    <mergeCell ref="D146:D149"/>
    <mergeCell ref="D157:D160"/>
    <mergeCell ref="C71:C81"/>
    <mergeCell ref="D205:D209"/>
    <mergeCell ref="D60:D61"/>
    <mergeCell ref="C62:C63"/>
    <mergeCell ref="D62:D63"/>
    <mergeCell ref="C95:C111"/>
    <mergeCell ref="A64:H64"/>
    <mergeCell ref="A65:A66"/>
    <mergeCell ref="C65:C66"/>
    <mergeCell ref="D65:D66"/>
    <mergeCell ref="C134:C138"/>
    <mergeCell ref="C131:C133"/>
    <mergeCell ref="C90:C94"/>
    <mergeCell ref="A161:A162"/>
    <mergeCell ref="A157:A160"/>
    <mergeCell ref="C142:C143"/>
    <mergeCell ref="C113:C130"/>
    <mergeCell ref="C144:C145"/>
    <mergeCell ref="C157:C160"/>
    <mergeCell ref="A95:A112"/>
    <mergeCell ref="A168:A169"/>
    <mergeCell ref="A131:A133"/>
    <mergeCell ref="A163:A167"/>
    <mergeCell ref="A142:A143"/>
    <mergeCell ref="G280:H280"/>
    <mergeCell ref="C195:C196"/>
    <mergeCell ref="D264:D267"/>
    <mergeCell ref="D243:D248"/>
    <mergeCell ref="D219:D220"/>
    <mergeCell ref="D237:D238"/>
    <mergeCell ref="D232:D234"/>
    <mergeCell ref="D260:D262"/>
    <mergeCell ref="C239:C242"/>
    <mergeCell ref="C214:C216"/>
    <mergeCell ref="D163:D167"/>
    <mergeCell ref="A15:H15"/>
    <mergeCell ref="A16:A33"/>
    <mergeCell ref="C16:C33"/>
    <mergeCell ref="D16:D33"/>
    <mergeCell ref="C163:C167"/>
    <mergeCell ref="A50:H50"/>
    <mergeCell ref="D90:D94"/>
    <mergeCell ref="A34:H34"/>
    <mergeCell ref="A35:A49"/>
    <mergeCell ref="C269:C272"/>
    <mergeCell ref="D269:D272"/>
    <mergeCell ref="A263:H263"/>
    <mergeCell ref="A268:H268"/>
    <mergeCell ref="A264:A267"/>
    <mergeCell ref="C264:C267"/>
    <mergeCell ref="A190:A194"/>
    <mergeCell ref="D168:D169"/>
    <mergeCell ref="C260:C262"/>
    <mergeCell ref="A203:A204"/>
    <mergeCell ref="C203:C204"/>
    <mergeCell ref="C217:C218"/>
    <mergeCell ref="D217:D218"/>
    <mergeCell ref="C210:C213"/>
    <mergeCell ref="A177:A179"/>
    <mergeCell ref="C168:C169"/>
    <mergeCell ref="D195:D196"/>
    <mergeCell ref="D201:D202"/>
    <mergeCell ref="C205:C209"/>
    <mergeCell ref="A260:A262"/>
    <mergeCell ref="A230:A231"/>
    <mergeCell ref="C230:C231"/>
    <mergeCell ref="D230:D231"/>
    <mergeCell ref="C232:C234"/>
    <mergeCell ref="C235:C236"/>
    <mergeCell ref="A221:A224"/>
    <mergeCell ref="D203:D204"/>
    <mergeCell ref="C197:C200"/>
    <mergeCell ref="C201:C202"/>
    <mergeCell ref="F1:H1"/>
    <mergeCell ref="F2:H2"/>
    <mergeCell ref="E12:E13"/>
    <mergeCell ref="F12:H12"/>
    <mergeCell ref="E11:H11"/>
    <mergeCell ref="A8:H8"/>
    <mergeCell ref="A9:H9"/>
    <mergeCell ref="D11:D13"/>
    <mergeCell ref="A11:A13"/>
    <mergeCell ref="B11:B13"/>
    <mergeCell ref="A225:A229"/>
    <mergeCell ref="C225:C229"/>
    <mergeCell ref="D225:D229"/>
    <mergeCell ref="A219:A220"/>
    <mergeCell ref="C219:C220"/>
    <mergeCell ref="C221:C224"/>
    <mergeCell ref="D221:D224"/>
    <mergeCell ref="C255:C256"/>
    <mergeCell ref="A280:B280"/>
    <mergeCell ref="C257:C258"/>
    <mergeCell ref="D257:D258"/>
    <mergeCell ref="A257:A258"/>
    <mergeCell ref="A274:H274"/>
    <mergeCell ref="A259:H259"/>
    <mergeCell ref="D255:D256"/>
    <mergeCell ref="A255:A256"/>
    <mergeCell ref="A269:A272"/>
    <mergeCell ref="D170:D176"/>
    <mergeCell ref="D150:D156"/>
    <mergeCell ref="C249:C252"/>
    <mergeCell ref="D249:D252"/>
    <mergeCell ref="C243:C248"/>
    <mergeCell ref="C237:C238"/>
    <mergeCell ref="D177:D179"/>
    <mergeCell ref="C170:C176"/>
    <mergeCell ref="C180:C181"/>
    <mergeCell ref="C177:C179"/>
    <mergeCell ref="F3:H3"/>
    <mergeCell ref="F5:H5"/>
    <mergeCell ref="F6:H6"/>
    <mergeCell ref="D71:D81"/>
    <mergeCell ref="D35:D49"/>
    <mergeCell ref="D58:D59"/>
    <mergeCell ref="A70:H70"/>
    <mergeCell ref="C51:C57"/>
    <mergeCell ref="D51:D57"/>
    <mergeCell ref="C60:C61"/>
    <mergeCell ref="C11:C13"/>
    <mergeCell ref="A150:A156"/>
    <mergeCell ref="C150:C156"/>
    <mergeCell ref="A139:A141"/>
    <mergeCell ref="A113:A130"/>
    <mergeCell ref="A134:A138"/>
    <mergeCell ref="C139:C141"/>
    <mergeCell ref="A146:A149"/>
    <mergeCell ref="C146:C149"/>
    <mergeCell ref="A144:A145"/>
    <mergeCell ref="C35:C49"/>
    <mergeCell ref="A82:A89"/>
    <mergeCell ref="A90:A94"/>
    <mergeCell ref="A71:A81"/>
    <mergeCell ref="C82:C89"/>
    <mergeCell ref="A51:A63"/>
    <mergeCell ref="A67:H67"/>
    <mergeCell ref="A68:A69"/>
    <mergeCell ref="C68:C69"/>
    <mergeCell ref="D68:D69"/>
    <mergeCell ref="A249:A252"/>
    <mergeCell ref="D113:D130"/>
    <mergeCell ref="D131:D133"/>
    <mergeCell ref="C184:C189"/>
    <mergeCell ref="D180:D181"/>
    <mergeCell ref="D142:D143"/>
    <mergeCell ref="D139:D141"/>
    <mergeCell ref="A180:A181"/>
    <mergeCell ref="A170:A176"/>
    <mergeCell ref="A182:A183"/>
    <mergeCell ref="A253:A254"/>
    <mergeCell ref="C253:C254"/>
    <mergeCell ref="A232:A234"/>
    <mergeCell ref="D239:D242"/>
    <mergeCell ref="D253:D254"/>
    <mergeCell ref="A243:A248"/>
    <mergeCell ref="A237:A238"/>
    <mergeCell ref="A239:A242"/>
    <mergeCell ref="D235:D236"/>
    <mergeCell ref="A235:A236"/>
    <mergeCell ref="A201:A202"/>
    <mergeCell ref="C182:C183"/>
    <mergeCell ref="D182:D183"/>
    <mergeCell ref="A184:A189"/>
    <mergeCell ref="D184:D189"/>
    <mergeCell ref="A195:A196"/>
    <mergeCell ref="A197:A200"/>
    <mergeCell ref="D197:D200"/>
    <mergeCell ref="D190:D194"/>
    <mergeCell ref="C190:C194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5" manualBreakCount="5">
    <brk id="66" max="7" man="1"/>
    <brk id="160" max="7" man="1"/>
    <brk id="209" max="7" man="1"/>
    <brk id="258" max="7" man="1"/>
    <brk id="2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2013-06-07T12:19:17Z</dcterms:created>
  <dcterms:modified xsi:type="dcterms:W3CDTF">2013-06-07T12:19:43Z</dcterms:modified>
  <cp:category/>
  <cp:version/>
  <cp:contentType/>
  <cp:contentStatus/>
</cp:coreProperties>
</file>