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1'!$A$1:$H$282</definedName>
    <definedName name="_xlnm.Print_Area" localSheetId="1">'додаток 2'!$A$1:$E$24</definedName>
    <definedName name="_xlnm.Print_Area" localSheetId="2">'Додаток 3'!$A$1:$G$325</definedName>
  </definedNames>
  <calcPr fullCalcOnLoad="1"/>
</workbook>
</file>

<file path=xl/sharedStrings.xml><?xml version="1.0" encoding="utf-8"?>
<sst xmlns="http://schemas.openxmlformats.org/spreadsheetml/2006/main" count="956" uniqueCount="277">
  <si>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</si>
  <si>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</si>
  <si>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</si>
  <si>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</si>
  <si>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</si>
  <si>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</si>
  <si>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</si>
  <si>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</si>
  <si>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</si>
  <si>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</si>
  <si>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</si>
  <si>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</si>
  <si>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</si>
  <si>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</si>
  <si>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</si>
  <si>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</si>
  <si>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</si>
  <si>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</si>
  <si>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</si>
  <si>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</si>
  <si>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</si>
  <si>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</si>
  <si>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</si>
  <si>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</si>
  <si>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</si>
  <si>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</si>
  <si>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</si>
  <si>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установка дорожніх знаків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</si>
  <si>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</si>
  <si>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</si>
  <si>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освітлення міста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</si>
  <si>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</si>
  <si>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</si>
  <si>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</si>
  <si>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</si>
  <si>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</si>
  <si>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</si>
  <si>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</si>
  <si>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</si>
  <si>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</si>
  <si>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</si>
  <si>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</si>
  <si>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</si>
  <si>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</si>
  <si>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</si>
  <si>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</si>
  <si>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</si>
  <si>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</si>
  <si>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</si>
  <si>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</si>
  <si>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мостів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</si>
  <si>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</si>
  <si>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</si>
  <si>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</si>
  <si>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обслуговування малих архітектурних форм</t>
  </si>
  <si>
    <t>встановлення малих архітектурних форм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</si>
  <si>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</si>
  <si>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</si>
  <si>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</si>
  <si>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</si>
  <si>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</si>
  <si>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</si>
  <si>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</si>
  <si>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</si>
  <si>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</si>
  <si>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</si>
  <si>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придбання та встановлення малих архітектурних форм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</si>
  <si>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</si>
  <si>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</si>
  <si>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</si>
  <si>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</si>
  <si>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</si>
  <si>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</si>
  <si>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</si>
  <si>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</si>
  <si>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</si>
  <si>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</si>
  <si>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</si>
  <si>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</si>
  <si>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</si>
  <si>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</si>
  <si>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</si>
  <si>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>поточний ремонт та технічне обслуговування засобів регулювання дорожнього руху</t>
  </si>
  <si>
    <t>з виконання Програми розвитку та утримання житлово-комунального господарства м. Запоріжжя на 2013-2015 роки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</si>
  <si>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</si>
  <si>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</si>
  <si>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реконструкція об’єктів транспортної інфраструктури</t>
  </si>
  <si>
    <t>будівництво об’єктів транспортної інфраструктури</t>
  </si>
  <si>
    <t>Програми розвитку та утримання житлово-комунального господарства м. Запоріжжя на 2013-2015 роки</t>
  </si>
  <si>
    <t>Інші джерела</t>
  </si>
  <si>
    <t>виконання Програми розвитку та утримання житлово-комунального господарства м. Запоріжжя на 2013-2015 роки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</si>
  <si>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</si>
  <si>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</si>
  <si>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</si>
  <si>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</si>
  <si>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</si>
  <si>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</si>
  <si>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</si>
  <si>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</si>
  <si>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</si>
  <si>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</si>
  <si>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</si>
  <si>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</si>
  <si>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</si>
  <si>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</si>
  <si>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</si>
  <si>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</si>
  <si>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</si>
  <si>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</si>
  <si>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</si>
  <si>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</si>
  <si>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</si>
  <si>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</si>
  <si>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</si>
  <si>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</si>
  <si>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</si>
  <si>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</si>
  <si>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інвентаризація та паспортизація вулиць</t>
  </si>
  <si>
    <t>охорона об'єктів благоустрою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</si>
  <si>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</si>
  <si>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</si>
  <si>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</si>
  <si>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</si>
  <si>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</si>
  <si>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</si>
  <si>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</si>
  <si>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</si>
  <si>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</si>
  <si>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</si>
  <si>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</si>
  <si>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</si>
  <si>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</si>
  <si>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</si>
  <si>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</si>
  <si>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люд/год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</si>
  <si>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</si>
  <si>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</si>
  <si>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</si>
  <si>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</si>
  <si>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</si>
  <si>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</si>
  <si>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Районна адміністрація Запорізької міської ради по Заводському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</si>
  <si>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</si>
  <si>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</si>
  <si>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</si>
  <si>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</si>
  <si>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</si>
  <si>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</si>
  <si>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</si>
  <si>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</si>
  <si>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</si>
  <si>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</si>
  <si>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</si>
  <si>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</si>
  <si>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</si>
  <si>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</si>
  <si>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</si>
  <si>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</si>
  <si>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оплата за роботи виконані у 2012 році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</si>
  <si>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</si>
  <si>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</si>
  <si>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</si>
  <si>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поточний ремонт штучної споруди (міст)</t>
  </si>
  <si>
    <t>утримання малих архітектурних форм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</si>
  <si>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</si>
  <si>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</si>
  <si>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</si>
  <si>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до Програми розвитку та утримання житлово-комунального господарства        м. Запоріжжя на 2013-2015 роки</t>
  </si>
  <si>
    <t>до Програми розвитку та утримання житлово-комунального господарства              м. Запоріжжя на 2013-2015 роки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</si>
  <si>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</si>
  <si>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</si>
  <si>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</si>
  <si>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</si>
  <si>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</si>
  <si>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</si>
  <si>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оплата за роботи з благоустрою міста виконані у 2012 році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</si>
  <si>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</si>
  <si>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влаштування засобів примусового зниження швидкості ("лежачі поліцейські" та дорожні знаки)</t>
  </si>
  <si>
    <t>будівництво світлофорного об'єкту</t>
  </si>
  <si>
    <t>поточний ремонт меморіального комплексу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</si>
  <si>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</si>
  <si>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</si>
  <si>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</si>
  <si>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ЗАТВЕРДЖЕНО</t>
  </si>
  <si>
    <t>Рішення міської ради</t>
  </si>
  <si>
    <t>перевезення безпечних відходів та захоронення твердих побутових відходів</t>
  </si>
  <si>
    <t>Капітальний ремонт об’єктів благоустрою, в тому числі:</t>
  </si>
  <si>
    <t>капітальний ремонт прилеглої до обласної філармонії території</t>
  </si>
  <si>
    <t xml:space="preserve">збирання і видалення безпечних відходів 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</si>
  <si>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</si>
  <si>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</si>
  <si>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</si>
  <si>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</si>
  <si>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</si>
  <si>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</si>
  <si>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</si>
  <si>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</si>
  <si>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</si>
  <si>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</si>
  <si>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</si>
  <si>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</si>
  <si>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 житлового фонду у 2012 році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</si>
  <si>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</si>
  <si>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</si>
  <si>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</si>
  <si>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</si>
  <si>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</si>
  <si>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</si>
  <si>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</si>
  <si>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</si>
  <si>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2012 році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</si>
  <si>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</si>
  <si>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</si>
  <si>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</si>
  <si>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</si>
  <si>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</si>
  <si>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</si>
  <si>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тис.п.м.</t>
  </si>
  <si>
    <t>оплата за виконані роботи з поточного ремонту внутрішньоквартальних доріг у 2012 році  (проведення робіт по відновленню асфальтового покриття прибудинкових територій та внутрішньоквартальних проїздів)</t>
  </si>
  <si>
    <t>капітальний ремонт житлового фонду за рахунок  коштів депутатського фонду, в тому числі:</t>
  </si>
  <si>
    <t xml:space="preserve">улаштування дитячих майданчиків та придбання малих архітектурних форм для дитячих майданчиків </t>
  </si>
  <si>
    <t>ремонт внутрішньоквартальних доріг</t>
  </si>
  <si>
    <t>улаштування освітлення над входами до під′ їздів  будинків житлового фонду</t>
  </si>
  <si>
    <t>ремонт конструктивних елементів житлових будинків та елементів благоустрію</t>
  </si>
  <si>
    <t>ремонт покрівлі будинків житлового фонду міста</t>
  </si>
  <si>
    <t>поточний ремонт житлових будинків та об’єктів благоустрою  в житловому фонді м. Запоріжжя за рахунок коштів депутатського фонду, в тому числі:</t>
  </si>
  <si>
    <t>ремонт швів стінових панелей житлових будинків</t>
  </si>
  <si>
    <t>придбання матеріалів для виконання робіт з поточного ремонту житлових будинків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</si>
  <si>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</si>
  <si>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</si>
  <si>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Оплата за виконані роботи з капітального ремонту житлового фонду у 2012 році</t>
  </si>
  <si>
    <t>проведення капітального ремонту житлового фонду ОСББ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</si>
  <si>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</si>
  <si>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</si>
  <si>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</si>
  <si>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капітальний ремонт квартир</t>
  </si>
  <si>
    <t>встановлення малих архітектурних форм за рахунок  коштів депутатського фонду</t>
  </si>
  <si>
    <t>встановлення тіньового навісу з лавами за рахунок  коштів депутатського фонду</t>
  </si>
  <si>
    <t>посадка зелених насаджень</t>
  </si>
  <si>
    <t>ремонт покрівель житлових будівель</t>
  </si>
  <si>
    <t>ремонт гуртожинків</t>
  </si>
  <si>
    <t>догляд за зеленими насадженнями, в тому числі обрізка та ліквідація сухих, аварійно-небезпечних дерев</t>
  </si>
  <si>
    <t>Погашення заборгованості по заробітній платі з нарахуваннями працівникам підприємства</t>
  </si>
  <si>
    <t>кошти підприємств</t>
  </si>
  <si>
    <t>Інші кошти</t>
  </si>
  <si>
    <t xml:space="preserve">надання поворотної фінансової допомогу (позики) Запорізькому комунальному підприємству міського електротранспорту «Запоріжелектротранс» </t>
  </si>
  <si>
    <t>Підтримання комунального підприємства для утримання та експлуатації житлового фонду</t>
  </si>
  <si>
    <t>надання безповоротньої фінансової допомоги міському комунальному підприємству «Основаніє»</t>
  </si>
  <si>
    <t>дозволити комунальному підприємству «Виробниче ремонтно-експлуатаційне житлове об'єднання №8» надати безповоротну фінансову допомогу міському комунальному підприємству «Основаніє» у розмірі 300000,00 (триста тисяч гривень 00 копійок) і укласти відповідний договір</t>
  </si>
  <si>
    <t>поточний ремонт об’єктів благоустрою за рахунок  коштів депутатського фонду</t>
  </si>
  <si>
    <t>поточний ремонт об’єктів благоустрою за рахунок  коштів депутатського фонду, в тому числі:</t>
  </si>
  <si>
    <t>капітальний ремонт об’єктів благоустрою за рахунок  коштів депутатського фонду</t>
  </si>
  <si>
    <t>капітальний ремонт об’єктів благоустрою за рахунок  коштів депутатського фонду, в тому числі:</t>
  </si>
  <si>
    <t>забезпечення проектування,  будівництва та реконструкції об'єктів за рахунок  коштів депутатського фонду</t>
  </si>
  <si>
    <t>забезпечення проектування,  будівництва та реконструкції об'єктів за рахунок  коштів депутатського фонду, в тому числі: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</si>
  <si>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</si>
  <si>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</si>
  <si>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</si>
  <si>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укласти відповідний договір</t>
  </si>
  <si>
    <t>улаштування дитячих майданчиків на прибудинкових територіях житлових будинків</t>
  </si>
  <si>
    <t>капітальний ремонт нежитлового приміщення будівлі по вул. Чекістів, 34</t>
  </si>
  <si>
    <t>проведення технічної інвентаризації гуртожитків комунальної власності міста</t>
  </si>
  <si>
    <t>оплата за виконані роботи з капітального ремонту, заміни (модернізації) ліфтів у 2012 році</t>
  </si>
  <si>
    <t>Оплата за виконані роботи з капітального ремонту, заміни (модернізації) ліфтів у 2012 році</t>
  </si>
  <si>
    <t>Забезпечення населення питною водою належної якості, в тому числі:</t>
  </si>
  <si>
    <t>придбання матеріалів для виконання робіт з капітального ремонту житлових будинків</t>
  </si>
  <si>
    <t>ремонт дитячих майданчиків</t>
  </si>
  <si>
    <t>Поховання померлих безрідних і невідомих та почесних громадян міста</t>
  </si>
  <si>
    <t>поховання померлих почесних громадян міста</t>
  </si>
  <si>
    <t>капітальний ремонт нежитлового приміщення будівлі по вул. Артема, 50</t>
  </si>
  <si>
    <t>до Програми розвитку та утримання житлово-комунального господарства м. Запоріжжя на 2013-2015 роки</t>
  </si>
  <si>
    <t>департамент фінансової та бюджетної політики Запорізької міської ради</t>
  </si>
  <si>
    <t>Головний розпорядник бюджетних коштів - департамент фінансової та бюджетної політики Запорізької міської ради</t>
  </si>
  <si>
    <t>співфінансування на виконання капітального ремонту систем централізованого водопостачання та водовідведення</t>
  </si>
  <si>
    <t>в тому числі субвенція обласному бюджету для виконання умов співфінансування відповідно до Порядку та умов надання у 2013 році субвенції з державного бюджету місцевим бюджетам на капітальний ремонт систем централізованого водопостачання та водовідведення, затвердженого постановою Кабінету Міністрів України від 11.02.2013 №109</t>
  </si>
  <si>
    <t>Капітальний ремонт систем централізованого водопостачання та водовідведення</t>
  </si>
  <si>
    <t>26.06.2013 №11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</si>
</sst>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88" fontId="2" fillId="0" borderId="0" xfId="0" applyNumberFormat="1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90" fontId="2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89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2"/>
  <sheetViews>
    <sheetView tabSelected="1" view="pageBreakPreview" zoomScale="90" zoomScaleNormal="75" zoomScaleSheetLayoutView="90" zoomScalePageLayoutView="0" workbookViewId="0" topLeftCell="A1">
      <selection activeCell="F3" sqref="F3:H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27" customFormat="1" ht="20.25">
      <c r="C1" s="28"/>
      <c r="D1" s="28"/>
      <c r="E1" s="28"/>
      <c r="F1" s="83" t="s">
        <v>183</v>
      </c>
      <c r="G1" s="83"/>
      <c r="H1" s="83"/>
    </row>
    <row r="2" spans="3:8" s="27" customFormat="1" ht="20.25">
      <c r="C2" s="28"/>
      <c r="D2" s="28"/>
      <c r="E2" s="28"/>
      <c r="F2" s="83" t="s">
        <v>184</v>
      </c>
      <c r="G2" s="83"/>
      <c r="H2" s="83"/>
    </row>
    <row r="3" spans="3:8" s="27" customFormat="1" ht="20.25">
      <c r="C3" s="28"/>
      <c r="D3" s="28"/>
      <c r="E3" s="28"/>
      <c r="F3" s="123" t="s">
        <v>276</v>
      </c>
      <c r="G3" s="83"/>
      <c r="H3" s="83"/>
    </row>
    <row r="4" spans="3:8" s="27" customFormat="1" ht="20.25">
      <c r="C4" s="28"/>
      <c r="D4" s="28"/>
      <c r="E4" s="28"/>
      <c r="F4" s="64"/>
      <c r="G4" s="64"/>
      <c r="H4" s="64"/>
    </row>
    <row r="5" spans="3:8" s="27" customFormat="1" ht="20.25" customHeight="1">
      <c r="C5" s="28"/>
      <c r="D5" s="28"/>
      <c r="E5" s="28"/>
      <c r="F5" s="83" t="s">
        <v>7</v>
      </c>
      <c r="G5" s="83"/>
      <c r="H5" s="83"/>
    </row>
    <row r="6" spans="3:8" s="27" customFormat="1" ht="105.75" customHeight="1">
      <c r="C6" s="28"/>
      <c r="D6" s="28"/>
      <c r="E6" s="28"/>
      <c r="F6" s="83" t="s">
        <v>270</v>
      </c>
      <c r="G6" s="83"/>
      <c r="H6" s="83"/>
    </row>
    <row r="8" spans="1:8" s="27" customFormat="1" ht="20.25">
      <c r="A8" s="87" t="s">
        <v>6</v>
      </c>
      <c r="B8" s="87"/>
      <c r="C8" s="87"/>
      <c r="D8" s="87"/>
      <c r="E8" s="87"/>
      <c r="F8" s="87"/>
      <c r="G8" s="87"/>
      <c r="H8" s="87"/>
    </row>
    <row r="9" spans="1:8" s="27" customFormat="1" ht="20.25">
      <c r="A9" s="88" t="s">
        <v>83</v>
      </c>
      <c r="B9" s="88"/>
      <c r="C9" s="88"/>
      <c r="D9" s="88"/>
      <c r="E9" s="88"/>
      <c r="F9" s="88"/>
      <c r="G9" s="88"/>
      <c r="H9" s="88"/>
    </row>
    <row r="11" spans="1:8" s="4" customFormat="1" ht="23.25" customHeight="1">
      <c r="A11" s="82" t="s">
        <v>0</v>
      </c>
      <c r="B11" s="82" t="s">
        <v>1</v>
      </c>
      <c r="C11" s="82" t="s">
        <v>2</v>
      </c>
      <c r="D11" s="82" t="s">
        <v>3</v>
      </c>
      <c r="E11" s="82" t="s">
        <v>136</v>
      </c>
      <c r="F11" s="82"/>
      <c r="G11" s="82"/>
      <c r="H11" s="82"/>
    </row>
    <row r="12" spans="1:8" s="4" customFormat="1" ht="23.25" customHeight="1">
      <c r="A12" s="82"/>
      <c r="B12" s="82"/>
      <c r="C12" s="82"/>
      <c r="D12" s="82"/>
      <c r="E12" s="82" t="s">
        <v>4</v>
      </c>
      <c r="F12" s="82" t="s">
        <v>5</v>
      </c>
      <c r="G12" s="82"/>
      <c r="H12" s="82"/>
    </row>
    <row r="13" spans="1:8" s="4" customFormat="1" ht="12.75">
      <c r="A13" s="82"/>
      <c r="B13" s="82"/>
      <c r="C13" s="82"/>
      <c r="D13" s="82"/>
      <c r="E13" s="82"/>
      <c r="F13" s="3">
        <v>2013</v>
      </c>
      <c r="G13" s="3">
        <v>2014</v>
      </c>
      <c r="H13" s="3">
        <v>2015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79" t="s">
        <v>135</v>
      </c>
      <c r="B15" s="89"/>
      <c r="C15" s="89"/>
      <c r="D15" s="89"/>
      <c r="E15" s="89"/>
      <c r="F15" s="89"/>
      <c r="G15" s="89"/>
      <c r="H15" s="90"/>
    </row>
    <row r="16" spans="1:8" s="4" customFormat="1" ht="12.75">
      <c r="A16" s="91" t="s">
        <v>142</v>
      </c>
      <c r="B16" s="18"/>
      <c r="C16" s="72" t="s">
        <v>19</v>
      </c>
      <c r="D16" s="72" t="s">
        <v>20</v>
      </c>
      <c r="E16" s="7">
        <f aca="true" t="shared" si="0" ref="E16:E33">F16+G16+H16</f>
        <v>120348.44900000001</v>
      </c>
      <c r="F16" s="43">
        <f>SUM(F17:F33)</f>
        <v>54460.163</v>
      </c>
      <c r="G16" s="43">
        <f>SUM(G17:G33)</f>
        <v>32250.751</v>
      </c>
      <c r="H16" s="43">
        <f>SUM(H17:H33)</f>
        <v>33637.535</v>
      </c>
    </row>
    <row r="17" spans="1:8" s="4" customFormat="1" ht="25.5">
      <c r="A17" s="92"/>
      <c r="B17" s="39" t="s">
        <v>190</v>
      </c>
      <c r="C17" s="77"/>
      <c r="D17" s="77"/>
      <c r="E17" s="9">
        <f t="shared" si="0"/>
        <v>8319.408</v>
      </c>
      <c r="F17" s="41">
        <f>6743.827-2070.834+73.253</f>
        <v>4746.246</v>
      </c>
      <c r="G17" s="9">
        <v>1748.978</v>
      </c>
      <c r="H17" s="9">
        <v>1824.184</v>
      </c>
    </row>
    <row r="18" spans="1:8" s="4" customFormat="1" ht="25.5">
      <c r="A18" s="92"/>
      <c r="B18" s="39" t="s">
        <v>189</v>
      </c>
      <c r="C18" s="77"/>
      <c r="D18" s="77"/>
      <c r="E18" s="9">
        <f t="shared" si="0"/>
        <v>28111.357</v>
      </c>
      <c r="F18" s="41">
        <f>3795.633-900-300</f>
        <v>2595.633</v>
      </c>
      <c r="G18" s="9">
        <v>12489.341</v>
      </c>
      <c r="H18" s="9">
        <v>13026.383</v>
      </c>
    </row>
    <row r="19" spans="1:8" s="4" customFormat="1" ht="25.5">
      <c r="A19" s="92"/>
      <c r="B19" s="39" t="s">
        <v>191</v>
      </c>
      <c r="C19" s="77"/>
      <c r="D19" s="77"/>
      <c r="E19" s="9">
        <f t="shared" si="0"/>
        <v>6019.093</v>
      </c>
      <c r="F19" s="41">
        <v>3147.166</v>
      </c>
      <c r="G19" s="9">
        <v>1405.74</v>
      </c>
      <c r="H19" s="9">
        <v>1466.187</v>
      </c>
    </row>
    <row r="20" spans="1:8" s="4" customFormat="1" ht="12.75">
      <c r="A20" s="92"/>
      <c r="B20" s="39" t="s">
        <v>192</v>
      </c>
      <c r="C20" s="77"/>
      <c r="D20" s="77"/>
      <c r="E20" s="9">
        <f t="shared" si="0"/>
        <v>397.747</v>
      </c>
      <c r="F20" s="41">
        <v>397.747</v>
      </c>
      <c r="G20" s="9"/>
      <c r="H20" s="9"/>
    </row>
    <row r="21" spans="1:8" s="4" customFormat="1" ht="12.75">
      <c r="A21" s="92"/>
      <c r="B21" s="39" t="s">
        <v>193</v>
      </c>
      <c r="C21" s="77"/>
      <c r="D21" s="77"/>
      <c r="E21" s="9">
        <f t="shared" si="0"/>
        <v>63.328</v>
      </c>
      <c r="F21" s="41">
        <v>63.328</v>
      </c>
      <c r="G21" s="9"/>
      <c r="H21" s="9"/>
    </row>
    <row r="22" spans="1:8" s="4" customFormat="1" ht="38.25">
      <c r="A22" s="92"/>
      <c r="B22" s="39" t="s">
        <v>194</v>
      </c>
      <c r="C22" s="77"/>
      <c r="D22" s="77"/>
      <c r="E22" s="9">
        <f t="shared" si="0"/>
        <v>40028.834</v>
      </c>
      <c r="F22" s="41">
        <f>9989.47+9452.864+35-900</f>
        <v>18577.334</v>
      </c>
      <c r="G22" s="9">
        <v>10500</v>
      </c>
      <c r="H22" s="9">
        <v>10951.5</v>
      </c>
    </row>
    <row r="23" spans="1:8" s="4" customFormat="1" ht="12.75">
      <c r="A23" s="92"/>
      <c r="B23" s="39" t="s">
        <v>195</v>
      </c>
      <c r="C23" s="77"/>
      <c r="D23" s="77"/>
      <c r="E23" s="9">
        <f t="shared" si="0"/>
        <v>1523.7530000000002</v>
      </c>
      <c r="F23" s="41">
        <f>623.753+900</f>
        <v>1523.7530000000002</v>
      </c>
      <c r="G23" s="9"/>
      <c r="H23" s="9"/>
    </row>
    <row r="24" spans="1:8" s="4" customFormat="1" ht="12.75">
      <c r="A24" s="92"/>
      <c r="B24" s="39" t="s">
        <v>196</v>
      </c>
      <c r="C24" s="77"/>
      <c r="D24" s="77"/>
      <c r="E24" s="9">
        <f t="shared" si="0"/>
        <v>2289.616</v>
      </c>
      <c r="F24" s="41">
        <v>1163.627</v>
      </c>
      <c r="G24" s="9">
        <v>551.145</v>
      </c>
      <c r="H24" s="9">
        <v>574.844</v>
      </c>
    </row>
    <row r="25" spans="1:8" s="4" customFormat="1" ht="38.25">
      <c r="A25" s="92"/>
      <c r="B25" s="39" t="s">
        <v>259</v>
      </c>
      <c r="C25" s="77"/>
      <c r="D25" s="77"/>
      <c r="E25" s="9">
        <f t="shared" si="0"/>
        <v>6.93</v>
      </c>
      <c r="F25" s="41">
        <v>6.93</v>
      </c>
      <c r="G25" s="9"/>
      <c r="H25" s="9"/>
    </row>
    <row r="26" spans="1:8" s="4" customFormat="1" ht="38.25">
      <c r="A26" s="92"/>
      <c r="B26" s="39" t="s">
        <v>197</v>
      </c>
      <c r="C26" s="77"/>
      <c r="D26" s="77"/>
      <c r="E26" s="9">
        <f t="shared" si="0"/>
        <v>6680.058</v>
      </c>
      <c r="F26" s="41">
        <f>2502.01-483.781-80.5-467.396-152.155-73.253-35</f>
        <v>1209.9250000000004</v>
      </c>
      <c r="G26" s="9">
        <v>2677.5</v>
      </c>
      <c r="H26" s="9">
        <v>2792.633</v>
      </c>
    </row>
    <row r="27" spans="1:8" s="4" customFormat="1" ht="25.5">
      <c r="A27" s="92"/>
      <c r="B27" s="39" t="s">
        <v>231</v>
      </c>
      <c r="C27" s="77"/>
      <c r="D27" s="77"/>
      <c r="E27" s="9">
        <f t="shared" si="0"/>
        <v>951.177</v>
      </c>
      <c r="F27" s="41">
        <f>483.781+467.396</f>
        <v>951.177</v>
      </c>
      <c r="G27" s="9"/>
      <c r="H27" s="9"/>
    </row>
    <row r="28" spans="1:8" s="4" customFormat="1" ht="12.75">
      <c r="A28" s="92"/>
      <c r="B28" s="39" t="s">
        <v>235</v>
      </c>
      <c r="C28" s="77"/>
      <c r="D28" s="77"/>
      <c r="E28" s="9">
        <f t="shared" si="0"/>
        <v>80.5</v>
      </c>
      <c r="F28" s="41">
        <v>80.5</v>
      </c>
      <c r="G28" s="9"/>
      <c r="H28" s="9"/>
    </row>
    <row r="29" spans="1:8" s="4" customFormat="1" ht="38.25">
      <c r="A29" s="92"/>
      <c r="B29" s="39" t="s">
        <v>198</v>
      </c>
      <c r="C29" s="77"/>
      <c r="D29" s="77"/>
      <c r="E29" s="9">
        <f t="shared" si="0"/>
        <v>912.094</v>
      </c>
      <c r="F29" s="41">
        <v>290</v>
      </c>
      <c r="G29" s="9">
        <v>304.5</v>
      </c>
      <c r="H29" s="9">
        <v>317.594</v>
      </c>
    </row>
    <row r="30" spans="1:8" s="4" customFormat="1" ht="25.5">
      <c r="A30" s="92"/>
      <c r="B30" s="39" t="s">
        <v>199</v>
      </c>
      <c r="C30" s="77"/>
      <c r="D30" s="77"/>
      <c r="E30" s="9">
        <f t="shared" si="0"/>
        <v>7256.196</v>
      </c>
      <c r="F30" s="41">
        <v>1998.439</v>
      </c>
      <c r="G30" s="9">
        <v>2573.547</v>
      </c>
      <c r="H30" s="9">
        <v>2684.21</v>
      </c>
    </row>
    <row r="31" spans="1:8" s="4" customFormat="1" ht="38.25">
      <c r="A31" s="92"/>
      <c r="B31" s="8" t="s">
        <v>200</v>
      </c>
      <c r="C31" s="77"/>
      <c r="D31" s="77"/>
      <c r="E31" s="9">
        <f t="shared" si="0"/>
        <v>304.5</v>
      </c>
      <c r="F31" s="41">
        <f>228+49+20+7.5</f>
        <v>304.5</v>
      </c>
      <c r="G31" s="9"/>
      <c r="H31" s="9"/>
    </row>
    <row r="32" spans="1:8" s="4" customFormat="1" ht="38.25">
      <c r="A32" s="92"/>
      <c r="B32" s="39" t="s">
        <v>262</v>
      </c>
      <c r="C32" s="77"/>
      <c r="D32" s="77"/>
      <c r="E32" s="9">
        <f t="shared" si="0"/>
        <v>9994.025</v>
      </c>
      <c r="F32" s="41">
        <v>9994.025</v>
      </c>
      <c r="G32" s="9"/>
      <c r="H32" s="9"/>
    </row>
    <row r="33" spans="1:8" s="4" customFormat="1" ht="38.25">
      <c r="A33" s="93"/>
      <c r="B33" s="39" t="s">
        <v>201</v>
      </c>
      <c r="C33" s="78"/>
      <c r="D33" s="78"/>
      <c r="E33" s="9">
        <f t="shared" si="0"/>
        <v>7409.833</v>
      </c>
      <c r="F33" s="41">
        <f>7409.833</f>
        <v>7409.833</v>
      </c>
      <c r="G33" s="9"/>
      <c r="H33" s="9"/>
    </row>
    <row r="34" spans="1:8" s="4" customFormat="1" ht="12.75">
      <c r="A34" s="79" t="s">
        <v>137</v>
      </c>
      <c r="B34" s="89"/>
      <c r="C34" s="89"/>
      <c r="D34" s="89"/>
      <c r="E34" s="89"/>
      <c r="F34" s="89"/>
      <c r="G34" s="89"/>
      <c r="H34" s="90"/>
    </row>
    <row r="35" spans="1:8" s="4" customFormat="1" ht="12.75">
      <c r="A35" s="75" t="s">
        <v>143</v>
      </c>
      <c r="B35" s="18"/>
      <c r="C35" s="72" t="s">
        <v>19</v>
      </c>
      <c r="D35" s="72" t="s">
        <v>20</v>
      </c>
      <c r="E35" s="7">
        <f aca="true" t="shared" si="1" ref="E35:E50">F35+G35+H35</f>
        <v>12108.158999999998</v>
      </c>
      <c r="F35" s="43">
        <f>SUM(F36:F50)</f>
        <v>11304.166999999998</v>
      </c>
      <c r="G35" s="43">
        <f>SUM(G36:G50)</f>
        <v>393.535</v>
      </c>
      <c r="H35" s="43">
        <f>SUM(H36:H50)</f>
        <v>410.457</v>
      </c>
    </row>
    <row r="36" spans="1:8" s="4" customFormat="1" ht="51">
      <c r="A36" s="94"/>
      <c r="B36" s="8" t="s">
        <v>202</v>
      </c>
      <c r="C36" s="77"/>
      <c r="D36" s="77"/>
      <c r="E36" s="9">
        <f t="shared" si="1"/>
        <v>4000</v>
      </c>
      <c r="F36" s="9">
        <v>4000</v>
      </c>
      <c r="G36" s="9"/>
      <c r="H36" s="9"/>
    </row>
    <row r="37" spans="1:8" s="4" customFormat="1" ht="89.25">
      <c r="A37" s="94"/>
      <c r="B37" s="8" t="s">
        <v>203</v>
      </c>
      <c r="C37" s="77"/>
      <c r="D37" s="77"/>
      <c r="E37" s="9">
        <f t="shared" si="1"/>
        <v>1149.24</v>
      </c>
      <c r="F37" s="9">
        <v>345.248</v>
      </c>
      <c r="G37" s="9">
        <v>393.535</v>
      </c>
      <c r="H37" s="9">
        <v>410.457</v>
      </c>
    </row>
    <row r="38" spans="1:8" s="4" customFormat="1" ht="38.25">
      <c r="A38" s="94"/>
      <c r="B38" s="8" t="s">
        <v>261</v>
      </c>
      <c r="C38" s="77"/>
      <c r="D38" s="77"/>
      <c r="E38" s="9">
        <f t="shared" si="1"/>
        <v>29.547</v>
      </c>
      <c r="F38" s="9">
        <v>29.547</v>
      </c>
      <c r="G38" s="9"/>
      <c r="H38" s="9"/>
    </row>
    <row r="39" spans="1:8" s="4" customFormat="1" ht="38.25">
      <c r="A39" s="94"/>
      <c r="B39" s="8" t="s">
        <v>204</v>
      </c>
      <c r="C39" s="77"/>
      <c r="D39" s="77"/>
      <c r="E39" s="9">
        <f t="shared" si="1"/>
        <v>1700</v>
      </c>
      <c r="F39" s="9">
        <v>1700</v>
      </c>
      <c r="G39" s="9"/>
      <c r="H39" s="9"/>
    </row>
    <row r="40" spans="1:8" s="4" customFormat="1" ht="38.25">
      <c r="A40" s="94"/>
      <c r="B40" s="8" t="s">
        <v>260</v>
      </c>
      <c r="C40" s="77"/>
      <c r="D40" s="77"/>
      <c r="E40" s="9">
        <f t="shared" si="1"/>
        <v>36.188</v>
      </c>
      <c r="F40" s="9">
        <v>36.188</v>
      </c>
      <c r="G40" s="9"/>
      <c r="H40" s="9"/>
    </row>
    <row r="41" spans="1:8" s="4" customFormat="1" ht="38.25">
      <c r="A41" s="94"/>
      <c r="B41" s="8" t="s">
        <v>269</v>
      </c>
      <c r="C41" s="77"/>
      <c r="D41" s="77"/>
      <c r="E41" s="9">
        <f t="shared" si="1"/>
        <v>500</v>
      </c>
      <c r="F41" s="9">
        <v>500</v>
      </c>
      <c r="G41" s="9"/>
      <c r="H41" s="9"/>
    </row>
    <row r="42" spans="1:8" s="4" customFormat="1" ht="63.75">
      <c r="A42" s="94"/>
      <c r="B42" s="8" t="s">
        <v>205</v>
      </c>
      <c r="C42" s="77"/>
      <c r="D42" s="77"/>
      <c r="E42" s="9">
        <f t="shared" si="1"/>
        <v>288.5</v>
      </c>
      <c r="F42" s="9">
        <f>164.9+79.5+8+36.1</f>
        <v>288.5</v>
      </c>
      <c r="G42" s="9"/>
      <c r="H42" s="9"/>
    </row>
    <row r="43" spans="1:8" s="4" customFormat="1" ht="63.75">
      <c r="A43" s="94"/>
      <c r="B43" s="8" t="s">
        <v>206</v>
      </c>
      <c r="C43" s="77"/>
      <c r="D43" s="77"/>
      <c r="E43" s="9">
        <f t="shared" si="1"/>
        <v>727.521</v>
      </c>
      <c r="F43" s="9">
        <v>727.521</v>
      </c>
      <c r="G43" s="9"/>
      <c r="H43" s="9"/>
    </row>
    <row r="44" spans="1:8" s="4" customFormat="1" ht="63.75">
      <c r="A44" s="94"/>
      <c r="B44" s="8" t="s">
        <v>207</v>
      </c>
      <c r="C44" s="77"/>
      <c r="D44" s="77"/>
      <c r="E44" s="9">
        <f t="shared" si="1"/>
        <v>922.684</v>
      </c>
      <c r="F44" s="9">
        <v>922.684</v>
      </c>
      <c r="G44" s="9"/>
      <c r="H44" s="9"/>
    </row>
    <row r="45" spans="1:8" s="4" customFormat="1" ht="102">
      <c r="A45" s="94"/>
      <c r="B45" s="39" t="s">
        <v>208</v>
      </c>
      <c r="C45" s="77"/>
      <c r="D45" s="77"/>
      <c r="E45" s="9">
        <f t="shared" si="1"/>
        <v>79.165</v>
      </c>
      <c r="F45" s="41">
        <v>79.165</v>
      </c>
      <c r="G45" s="9"/>
      <c r="H45" s="9"/>
    </row>
    <row r="46" spans="1:8" s="4" customFormat="1" ht="102">
      <c r="A46" s="94"/>
      <c r="B46" s="39" t="s">
        <v>209</v>
      </c>
      <c r="C46" s="77"/>
      <c r="D46" s="77"/>
      <c r="E46" s="9">
        <f t="shared" si="1"/>
        <v>1701.739</v>
      </c>
      <c r="F46" s="41">
        <v>1701.739</v>
      </c>
      <c r="G46" s="9"/>
      <c r="H46" s="9"/>
    </row>
    <row r="47" spans="1:8" s="4" customFormat="1" ht="114.75">
      <c r="A47" s="94"/>
      <c r="B47" s="8" t="s">
        <v>232</v>
      </c>
      <c r="C47" s="77"/>
      <c r="D47" s="77"/>
      <c r="E47" s="9">
        <f t="shared" si="1"/>
        <v>915.401</v>
      </c>
      <c r="F47" s="41">
        <v>915.401</v>
      </c>
      <c r="G47" s="9"/>
      <c r="H47" s="9"/>
    </row>
    <row r="48" spans="1:8" s="4" customFormat="1" ht="51">
      <c r="A48" s="94"/>
      <c r="B48" s="8" t="s">
        <v>233</v>
      </c>
      <c r="C48" s="77"/>
      <c r="D48" s="77"/>
      <c r="E48" s="9">
        <f t="shared" si="1"/>
        <v>35.782</v>
      </c>
      <c r="F48" s="41">
        <v>35.782</v>
      </c>
      <c r="G48" s="9"/>
      <c r="H48" s="9"/>
    </row>
    <row r="49" spans="1:8" s="4" customFormat="1" ht="63.75">
      <c r="A49" s="94"/>
      <c r="B49" s="8" t="s">
        <v>234</v>
      </c>
      <c r="C49" s="77"/>
      <c r="D49" s="77"/>
      <c r="E49" s="9">
        <f t="shared" si="1"/>
        <v>8.76</v>
      </c>
      <c r="F49" s="41">
        <v>8.76</v>
      </c>
      <c r="G49" s="9"/>
      <c r="H49" s="9"/>
    </row>
    <row r="50" spans="1:8" s="4" customFormat="1" ht="63.75">
      <c r="A50" s="95"/>
      <c r="B50" s="8" t="s">
        <v>210</v>
      </c>
      <c r="C50" s="78"/>
      <c r="D50" s="78"/>
      <c r="E50" s="9">
        <f t="shared" si="1"/>
        <v>13.632</v>
      </c>
      <c r="F50" s="9">
        <v>13.632</v>
      </c>
      <c r="G50" s="9"/>
      <c r="H50" s="9"/>
    </row>
    <row r="51" spans="1:8" s="4" customFormat="1" ht="12.75">
      <c r="A51" s="79" t="s">
        <v>138</v>
      </c>
      <c r="B51" s="89"/>
      <c r="C51" s="89"/>
      <c r="D51" s="89"/>
      <c r="E51" s="89"/>
      <c r="F51" s="89"/>
      <c r="G51" s="89"/>
      <c r="H51" s="90"/>
    </row>
    <row r="52" spans="1:8" s="4" customFormat="1" ht="12.75" customHeight="1">
      <c r="A52" s="69" t="s">
        <v>144</v>
      </c>
      <c r="B52" s="18"/>
      <c r="C52" s="72" t="s">
        <v>19</v>
      </c>
      <c r="D52" s="72" t="s">
        <v>20</v>
      </c>
      <c r="E52" s="7">
        <f aca="true" t="shared" si="2" ref="E52:E64">F52+G52+H52</f>
        <v>170882.43</v>
      </c>
      <c r="F52" s="43">
        <f>SUM(F53:F64)</f>
        <v>46583.923</v>
      </c>
      <c r="G52" s="43">
        <f>SUM(G53:G63)</f>
        <v>102424.933</v>
      </c>
      <c r="H52" s="43">
        <f>SUM(H53:H63)</f>
        <v>21873.574</v>
      </c>
    </row>
    <row r="53" spans="1:8" s="4" customFormat="1" ht="25.5" customHeight="1">
      <c r="A53" s="70"/>
      <c r="B53" s="8" t="s">
        <v>211</v>
      </c>
      <c r="C53" s="73"/>
      <c r="D53" s="73"/>
      <c r="E53" s="9">
        <f t="shared" si="2"/>
        <v>12154.455</v>
      </c>
      <c r="F53" s="9">
        <v>9932.702</v>
      </c>
      <c r="G53" s="9">
        <v>2221.753</v>
      </c>
      <c r="H53" s="9"/>
    </row>
    <row r="54" spans="1:8" s="4" customFormat="1" ht="25.5">
      <c r="A54" s="70"/>
      <c r="B54" s="8" t="s">
        <v>212</v>
      </c>
      <c r="C54" s="73"/>
      <c r="D54" s="73"/>
      <c r="E54" s="9">
        <f t="shared" si="2"/>
        <v>130307.968</v>
      </c>
      <c r="F54" s="9">
        <v>17808.063</v>
      </c>
      <c r="G54" s="9">
        <v>90626.331</v>
      </c>
      <c r="H54" s="9">
        <v>21873.574</v>
      </c>
    </row>
    <row r="55" spans="1:8" s="4" customFormat="1" ht="51">
      <c r="A55" s="70"/>
      <c r="B55" s="8" t="s">
        <v>253</v>
      </c>
      <c r="C55" s="73"/>
      <c r="D55" s="73"/>
      <c r="E55" s="9">
        <f t="shared" si="2"/>
        <v>25</v>
      </c>
      <c r="F55" s="9">
        <v>25</v>
      </c>
      <c r="G55" s="9"/>
      <c r="H55" s="9"/>
    </row>
    <row r="56" spans="1:8" s="4" customFormat="1" ht="38.25">
      <c r="A56" s="70"/>
      <c r="B56" s="8" t="s">
        <v>213</v>
      </c>
      <c r="C56" s="73"/>
      <c r="D56" s="73"/>
      <c r="E56" s="9">
        <f t="shared" si="2"/>
        <v>2156.121</v>
      </c>
      <c r="F56" s="9">
        <v>2156.121</v>
      </c>
      <c r="G56" s="9"/>
      <c r="H56" s="9"/>
    </row>
    <row r="57" spans="1:8" s="4" customFormat="1" ht="38.25">
      <c r="A57" s="70"/>
      <c r="B57" s="8" t="s">
        <v>228</v>
      </c>
      <c r="C57" s="73"/>
      <c r="D57" s="73"/>
      <c r="E57" s="9">
        <f t="shared" si="2"/>
        <v>6601.12</v>
      </c>
      <c r="F57" s="9">
        <f>6506.62+94.5</f>
        <v>6601.12</v>
      </c>
      <c r="G57" s="9"/>
      <c r="H57" s="9"/>
    </row>
    <row r="58" spans="1:8" s="4" customFormat="1" ht="51">
      <c r="A58" s="70"/>
      <c r="B58" s="8" t="s">
        <v>229</v>
      </c>
      <c r="C58" s="74"/>
      <c r="D58" s="74"/>
      <c r="E58" s="9">
        <f t="shared" si="2"/>
        <v>5134.878</v>
      </c>
      <c r="F58" s="9">
        <v>5134.878</v>
      </c>
      <c r="G58" s="9"/>
      <c r="H58" s="9"/>
    </row>
    <row r="59" spans="1:8" s="4" customFormat="1" ht="38.25">
      <c r="A59" s="70"/>
      <c r="B59" s="8" t="s">
        <v>214</v>
      </c>
      <c r="C59" s="80" t="s">
        <v>139</v>
      </c>
      <c r="D59" s="80" t="s">
        <v>20</v>
      </c>
      <c r="E59" s="9">
        <f t="shared" si="2"/>
        <v>11279.927</v>
      </c>
      <c r="F59" s="9">
        <f>3736.132+66.946-2100</f>
        <v>1703.078</v>
      </c>
      <c r="G59" s="9">
        <v>9576.849</v>
      </c>
      <c r="H59" s="9"/>
    </row>
    <row r="60" spans="1:8" s="4" customFormat="1" ht="38.25">
      <c r="A60" s="70"/>
      <c r="B60" s="8" t="s">
        <v>213</v>
      </c>
      <c r="C60" s="81"/>
      <c r="D60" s="81"/>
      <c r="E60" s="9">
        <f t="shared" si="2"/>
        <v>1077.16</v>
      </c>
      <c r="F60" s="9">
        <v>1077.16</v>
      </c>
      <c r="G60" s="9"/>
      <c r="H60" s="9"/>
    </row>
    <row r="61" spans="1:8" s="4" customFormat="1" ht="25.5">
      <c r="A61" s="70"/>
      <c r="B61" s="8" t="s">
        <v>215</v>
      </c>
      <c r="C61" s="80" t="s">
        <v>140</v>
      </c>
      <c r="D61" s="80" t="s">
        <v>20</v>
      </c>
      <c r="E61" s="9">
        <f t="shared" si="2"/>
        <v>997.536</v>
      </c>
      <c r="F61" s="9">
        <v>997.536</v>
      </c>
      <c r="G61" s="9"/>
      <c r="H61" s="9"/>
    </row>
    <row r="62" spans="1:8" s="4" customFormat="1" ht="25.5">
      <c r="A62" s="70"/>
      <c r="B62" s="8" t="s">
        <v>216</v>
      </c>
      <c r="C62" s="81"/>
      <c r="D62" s="81"/>
      <c r="E62" s="9">
        <f t="shared" si="2"/>
        <v>2.692</v>
      </c>
      <c r="F62" s="9">
        <v>2.692</v>
      </c>
      <c r="G62" s="9"/>
      <c r="H62" s="9"/>
    </row>
    <row r="63" spans="1:8" s="4" customFormat="1" ht="25.5">
      <c r="A63" s="70"/>
      <c r="B63" s="8" t="s">
        <v>215</v>
      </c>
      <c r="C63" s="80" t="s">
        <v>141</v>
      </c>
      <c r="D63" s="80" t="s">
        <v>20</v>
      </c>
      <c r="E63" s="9">
        <f t="shared" si="2"/>
        <v>1123.839</v>
      </c>
      <c r="F63" s="9">
        <v>1123.839</v>
      </c>
      <c r="G63" s="9"/>
      <c r="H63" s="9"/>
    </row>
    <row r="64" spans="1:8" s="4" customFormat="1" ht="25.5">
      <c r="A64" s="71"/>
      <c r="B64" s="8" t="s">
        <v>216</v>
      </c>
      <c r="C64" s="81"/>
      <c r="D64" s="81"/>
      <c r="E64" s="9">
        <f t="shared" si="2"/>
        <v>21.734</v>
      </c>
      <c r="F64" s="9">
        <v>21.734</v>
      </c>
      <c r="G64" s="9"/>
      <c r="H64" s="9"/>
    </row>
    <row r="65" spans="1:8" s="4" customFormat="1" ht="12.75">
      <c r="A65" s="79" t="s">
        <v>275</v>
      </c>
      <c r="B65" s="65"/>
      <c r="C65" s="65"/>
      <c r="D65" s="65"/>
      <c r="E65" s="65"/>
      <c r="F65" s="65"/>
      <c r="G65" s="65"/>
      <c r="H65" s="66"/>
    </row>
    <row r="66" spans="1:8" s="4" customFormat="1" ht="12.75" customHeight="1">
      <c r="A66" s="96" t="s">
        <v>264</v>
      </c>
      <c r="B66" s="63"/>
      <c r="C66" s="80" t="s">
        <v>271</v>
      </c>
      <c r="D66" s="80" t="s">
        <v>20</v>
      </c>
      <c r="E66" s="7">
        <f>F66+G66+H66</f>
        <v>620.407</v>
      </c>
      <c r="F66" s="43">
        <f>SUM(F67:F67)</f>
        <v>620.407</v>
      </c>
      <c r="G66" s="43">
        <f>SUM(G67:G67)</f>
        <v>0</v>
      </c>
      <c r="H66" s="43">
        <f>SUM(H67:H67)</f>
        <v>0</v>
      </c>
    </row>
    <row r="67" spans="1:8" s="4" customFormat="1" ht="63.75">
      <c r="A67" s="97"/>
      <c r="B67" s="63" t="s">
        <v>273</v>
      </c>
      <c r="C67" s="99"/>
      <c r="D67" s="99"/>
      <c r="E67" s="9">
        <f>F67+G67+H67</f>
        <v>620.407</v>
      </c>
      <c r="F67" s="9">
        <v>620.407</v>
      </c>
      <c r="G67" s="9"/>
      <c r="H67" s="9"/>
    </row>
    <row r="68" spans="1:8" s="37" customFormat="1" ht="178.5">
      <c r="A68" s="98"/>
      <c r="B68" s="22" t="s">
        <v>274</v>
      </c>
      <c r="C68" s="81"/>
      <c r="D68" s="81"/>
      <c r="E68" s="23">
        <f>F68+G68+H68</f>
        <v>620.407</v>
      </c>
      <c r="F68" s="23">
        <v>620.407</v>
      </c>
      <c r="G68" s="23"/>
      <c r="H68" s="23"/>
    </row>
    <row r="69" spans="1:8" s="4" customFormat="1" ht="12.75">
      <c r="A69" s="79" t="s">
        <v>255</v>
      </c>
      <c r="B69" s="65"/>
      <c r="C69" s="65"/>
      <c r="D69" s="65"/>
      <c r="E69" s="65"/>
      <c r="F69" s="65"/>
      <c r="G69" s="65"/>
      <c r="H69" s="66"/>
    </row>
    <row r="70" spans="1:8" s="4" customFormat="1" ht="12.75">
      <c r="A70" s="69" t="s">
        <v>256</v>
      </c>
      <c r="B70" s="8"/>
      <c r="C70" s="80" t="s">
        <v>19</v>
      </c>
      <c r="D70" s="80" t="s">
        <v>20</v>
      </c>
      <c r="E70" s="7">
        <f>F70+G70+H70</f>
        <v>1292.78</v>
      </c>
      <c r="F70" s="43">
        <f>SUM(F71:F71)</f>
        <v>1292.78</v>
      </c>
      <c r="G70" s="43">
        <f>SUM(G71:G71)</f>
        <v>0</v>
      </c>
      <c r="H70" s="43">
        <f>SUM(H71:H71)</f>
        <v>0</v>
      </c>
    </row>
    <row r="71" spans="1:8" s="4" customFormat="1" ht="38.25">
      <c r="A71" s="71"/>
      <c r="B71" s="8" t="s">
        <v>257</v>
      </c>
      <c r="C71" s="81"/>
      <c r="D71" s="81"/>
      <c r="E71" s="9">
        <f>F71+G71+H71</f>
        <v>1292.78</v>
      </c>
      <c r="F71" s="9">
        <v>1292.78</v>
      </c>
      <c r="G71" s="9"/>
      <c r="H71" s="9"/>
    </row>
    <row r="72" spans="1:8" s="2" customFormat="1" ht="12.75">
      <c r="A72" s="84" t="s">
        <v>159</v>
      </c>
      <c r="B72" s="84"/>
      <c r="C72" s="84"/>
      <c r="D72" s="84"/>
      <c r="E72" s="84"/>
      <c r="F72" s="84"/>
      <c r="G72" s="84"/>
      <c r="H72" s="84"/>
    </row>
    <row r="73" spans="1:8" s="2" customFormat="1" ht="12.75">
      <c r="A73" s="67" t="s">
        <v>96</v>
      </c>
      <c r="B73" s="6"/>
      <c r="C73" s="68" t="s">
        <v>19</v>
      </c>
      <c r="D73" s="68" t="s">
        <v>20</v>
      </c>
      <c r="E73" s="7">
        <f aca="true" t="shared" si="3" ref="E73:E96">F73+G73+H73</f>
        <v>153973.672</v>
      </c>
      <c r="F73" s="7">
        <f>SUM(F74:F83)-F75</f>
        <v>45758.456</v>
      </c>
      <c r="G73" s="7">
        <f>SUM(G74:G83)-G75</f>
        <v>52968.779</v>
      </c>
      <c r="H73" s="7">
        <f>SUM(H74:H83)-H75</f>
        <v>55246.43699999999</v>
      </c>
    </row>
    <row r="74" spans="1:8" ht="12.75" customHeight="1">
      <c r="A74" s="67"/>
      <c r="B74" s="8" t="s">
        <v>91</v>
      </c>
      <c r="C74" s="68"/>
      <c r="D74" s="68"/>
      <c r="E74" s="9">
        <f t="shared" si="3"/>
        <v>98990.064</v>
      </c>
      <c r="F74" s="9">
        <f>30000.036+3000-3100-1700</f>
        <v>28200.036</v>
      </c>
      <c r="G74" s="9">
        <v>34650.038</v>
      </c>
      <c r="H74" s="9">
        <v>36139.99</v>
      </c>
    </row>
    <row r="75" spans="1:8" s="24" customFormat="1" ht="42.75" customHeight="1">
      <c r="A75" s="67"/>
      <c r="B75" s="22" t="s">
        <v>156</v>
      </c>
      <c r="C75" s="68"/>
      <c r="D75" s="68"/>
      <c r="E75" s="23">
        <f t="shared" si="3"/>
        <v>9435.45</v>
      </c>
      <c r="F75" s="23">
        <v>3000</v>
      </c>
      <c r="G75" s="23">
        <v>3150</v>
      </c>
      <c r="H75" s="23">
        <v>3285.45</v>
      </c>
    </row>
    <row r="76" spans="1:8" ht="25.5">
      <c r="A76" s="67"/>
      <c r="B76" s="10" t="s">
        <v>92</v>
      </c>
      <c r="C76" s="68"/>
      <c r="D76" s="68"/>
      <c r="E76" s="9">
        <f t="shared" si="3"/>
        <v>29249.895</v>
      </c>
      <c r="F76" s="9">
        <v>9300</v>
      </c>
      <c r="G76" s="9">
        <v>9765</v>
      </c>
      <c r="H76" s="9">
        <v>10184.895</v>
      </c>
    </row>
    <row r="77" spans="1:8" ht="12.75">
      <c r="A77" s="67"/>
      <c r="B77" s="10" t="s">
        <v>93</v>
      </c>
      <c r="C77" s="68"/>
      <c r="D77" s="68"/>
      <c r="E77" s="9">
        <f t="shared" si="3"/>
        <v>3302.408</v>
      </c>
      <c r="F77" s="9">
        <v>1050</v>
      </c>
      <c r="G77" s="9">
        <v>1102.5</v>
      </c>
      <c r="H77" s="9">
        <v>1149.908</v>
      </c>
    </row>
    <row r="78" spans="1:8" ht="25.5">
      <c r="A78" s="67"/>
      <c r="B78" s="10" t="s">
        <v>29</v>
      </c>
      <c r="C78" s="68"/>
      <c r="D78" s="68"/>
      <c r="E78" s="9">
        <f t="shared" si="3"/>
        <v>12580.6</v>
      </c>
      <c r="F78" s="9">
        <v>4000</v>
      </c>
      <c r="G78" s="9">
        <v>4200</v>
      </c>
      <c r="H78" s="9">
        <v>4380.6</v>
      </c>
    </row>
    <row r="79" spans="1:8" ht="25.5">
      <c r="A79" s="67"/>
      <c r="B79" s="10" t="s">
        <v>188</v>
      </c>
      <c r="C79" s="68"/>
      <c r="D79" s="68"/>
      <c r="E79" s="9">
        <f t="shared" si="3"/>
        <v>99</v>
      </c>
      <c r="F79" s="9">
        <v>99</v>
      </c>
      <c r="G79" s="9"/>
      <c r="H79" s="9"/>
    </row>
    <row r="80" spans="1:8" ht="12.75">
      <c r="A80" s="67"/>
      <c r="B80" s="10" t="s">
        <v>94</v>
      </c>
      <c r="C80" s="68"/>
      <c r="D80" s="68"/>
      <c r="E80" s="9">
        <f t="shared" si="3"/>
        <v>1390.971</v>
      </c>
      <c r="F80" s="9">
        <f>407.5+34.759</f>
        <v>442.259</v>
      </c>
      <c r="G80" s="9">
        <v>464.372</v>
      </c>
      <c r="H80" s="9">
        <v>484.34</v>
      </c>
    </row>
    <row r="81" spans="1:8" ht="12.75">
      <c r="A81" s="67"/>
      <c r="B81" s="10" t="s">
        <v>31</v>
      </c>
      <c r="C81" s="68"/>
      <c r="D81" s="68"/>
      <c r="E81" s="9">
        <f t="shared" si="3"/>
        <v>1572.575</v>
      </c>
      <c r="F81" s="9">
        <v>500</v>
      </c>
      <c r="G81" s="9">
        <v>525</v>
      </c>
      <c r="H81" s="9">
        <v>547.575</v>
      </c>
    </row>
    <row r="82" spans="1:8" ht="38.25">
      <c r="A82" s="67"/>
      <c r="B82" s="10" t="s">
        <v>95</v>
      </c>
      <c r="C82" s="68"/>
      <c r="D82" s="68"/>
      <c r="E82" s="9">
        <f t="shared" si="3"/>
        <v>497.859</v>
      </c>
      <c r="F82" s="9">
        <f>92.401+61.76+13</f>
        <v>167.161</v>
      </c>
      <c r="G82" s="9">
        <v>161.869</v>
      </c>
      <c r="H82" s="9">
        <v>168.829</v>
      </c>
    </row>
    <row r="83" spans="1:8" ht="25.5">
      <c r="A83" s="67"/>
      <c r="B83" s="10" t="s">
        <v>112</v>
      </c>
      <c r="C83" s="68"/>
      <c r="D83" s="68"/>
      <c r="E83" s="9">
        <f t="shared" si="3"/>
        <v>6290.3</v>
      </c>
      <c r="F83" s="9">
        <v>2000</v>
      </c>
      <c r="G83" s="9">
        <v>2100</v>
      </c>
      <c r="H83" s="9">
        <v>2190.3</v>
      </c>
    </row>
    <row r="84" spans="1:8" ht="12.75" customHeight="1">
      <c r="A84" s="69" t="s">
        <v>97</v>
      </c>
      <c r="B84" s="10"/>
      <c r="C84" s="72" t="s">
        <v>19</v>
      </c>
      <c r="D84" s="72" t="s">
        <v>20</v>
      </c>
      <c r="E84" s="7">
        <f t="shared" si="3"/>
        <v>26387.266000000003</v>
      </c>
      <c r="F84" s="7">
        <f>SUM(F85:F91)</f>
        <v>8330.880000000001</v>
      </c>
      <c r="G84" s="7">
        <f>SUM(G85:G91)</f>
        <v>8838.172</v>
      </c>
      <c r="H84" s="7">
        <f>SUM(H85:H91)</f>
        <v>9218.214</v>
      </c>
    </row>
    <row r="85" spans="1:8" ht="12.75">
      <c r="A85" s="70"/>
      <c r="B85" s="10" t="s">
        <v>30</v>
      </c>
      <c r="C85" s="73"/>
      <c r="D85" s="73"/>
      <c r="E85" s="9">
        <f t="shared" si="3"/>
        <v>20443.475</v>
      </c>
      <c r="F85" s="9">
        <f>6500</f>
        <v>6500</v>
      </c>
      <c r="G85" s="9">
        <v>6825</v>
      </c>
      <c r="H85" s="9">
        <v>7118.475</v>
      </c>
    </row>
    <row r="86" spans="1:8" ht="25.5">
      <c r="A86" s="70"/>
      <c r="B86" s="8" t="s">
        <v>28</v>
      </c>
      <c r="C86" s="73"/>
      <c r="D86" s="73"/>
      <c r="E86" s="9">
        <f t="shared" si="3"/>
        <v>2679.407</v>
      </c>
      <c r="F86" s="9">
        <v>851.917</v>
      </c>
      <c r="G86" s="9">
        <v>894.513</v>
      </c>
      <c r="H86" s="9">
        <v>932.977</v>
      </c>
    </row>
    <row r="87" spans="1:8" ht="12.75">
      <c r="A87" s="70"/>
      <c r="B87" s="10" t="s">
        <v>98</v>
      </c>
      <c r="C87" s="73"/>
      <c r="D87" s="73"/>
      <c r="E87" s="9">
        <f t="shared" si="3"/>
        <v>187.63299999999998</v>
      </c>
      <c r="F87" s="9">
        <v>24.07</v>
      </c>
      <c r="G87" s="9">
        <v>80.06</v>
      </c>
      <c r="H87" s="9">
        <v>83.503</v>
      </c>
    </row>
    <row r="88" spans="1:8" ht="12.75">
      <c r="A88" s="70"/>
      <c r="B88" s="10" t="s">
        <v>99</v>
      </c>
      <c r="C88" s="73"/>
      <c r="D88" s="73"/>
      <c r="E88" s="9">
        <f t="shared" si="3"/>
        <v>98.612</v>
      </c>
      <c r="F88" s="9">
        <v>77.71</v>
      </c>
      <c r="G88" s="9">
        <v>10.231</v>
      </c>
      <c r="H88" s="9">
        <v>10.671</v>
      </c>
    </row>
    <row r="89" spans="1:8" ht="12.75">
      <c r="A89" s="70"/>
      <c r="B89" s="10" t="s">
        <v>100</v>
      </c>
      <c r="C89" s="73"/>
      <c r="D89" s="73"/>
      <c r="E89" s="9">
        <f t="shared" si="3"/>
        <v>2944.9310000000005</v>
      </c>
      <c r="F89" s="9">
        <v>857.34</v>
      </c>
      <c r="G89" s="9">
        <v>1021.826</v>
      </c>
      <c r="H89" s="9">
        <v>1065.765</v>
      </c>
    </row>
    <row r="90" spans="1:8" ht="25.5">
      <c r="A90" s="70"/>
      <c r="B90" s="10" t="s">
        <v>101</v>
      </c>
      <c r="C90" s="73"/>
      <c r="D90" s="73"/>
      <c r="E90" s="9">
        <f t="shared" si="3"/>
        <v>20.634999999999998</v>
      </c>
      <c r="F90" s="9">
        <v>7.27</v>
      </c>
      <c r="G90" s="9">
        <v>6.542</v>
      </c>
      <c r="H90" s="9">
        <v>6.823</v>
      </c>
    </row>
    <row r="91" spans="1:8" ht="25.5">
      <c r="A91" s="71"/>
      <c r="B91" s="8" t="s">
        <v>158</v>
      </c>
      <c r="C91" s="74"/>
      <c r="D91" s="74"/>
      <c r="E91" s="9">
        <f>F91+G91+H91</f>
        <v>12.573</v>
      </c>
      <c r="F91" s="9">
        <v>12.573</v>
      </c>
      <c r="G91" s="23"/>
      <c r="H91" s="23"/>
    </row>
    <row r="92" spans="1:8" ht="12.75">
      <c r="A92" s="67" t="s">
        <v>102</v>
      </c>
      <c r="B92" s="10"/>
      <c r="C92" s="68" t="s">
        <v>19</v>
      </c>
      <c r="D92" s="72" t="s">
        <v>20</v>
      </c>
      <c r="E92" s="7">
        <f t="shared" si="3"/>
        <v>339.259</v>
      </c>
      <c r="F92" s="7">
        <f>SUM(F93:F96)</f>
        <v>99</v>
      </c>
      <c r="G92" s="7">
        <f>SUM(G93:G96)</f>
        <v>117.601</v>
      </c>
      <c r="H92" s="7">
        <f>SUM(H93:H96)</f>
        <v>122.658</v>
      </c>
    </row>
    <row r="93" spans="1:8" ht="25.5">
      <c r="A93" s="67"/>
      <c r="B93" s="10" t="s">
        <v>103</v>
      </c>
      <c r="C93" s="68"/>
      <c r="D93" s="73"/>
      <c r="E93" s="9">
        <f t="shared" si="3"/>
        <v>19.284</v>
      </c>
      <c r="F93" s="9">
        <v>6.131</v>
      </c>
      <c r="G93" s="9">
        <v>6.438</v>
      </c>
      <c r="H93" s="9">
        <v>6.715</v>
      </c>
    </row>
    <row r="94" spans="1:8" ht="25.5">
      <c r="A94" s="67"/>
      <c r="B94" s="10" t="s">
        <v>104</v>
      </c>
      <c r="C94" s="68"/>
      <c r="D94" s="73"/>
      <c r="E94" s="9">
        <f t="shared" si="3"/>
        <v>70.92699999999999</v>
      </c>
      <c r="F94" s="9">
        <v>22.551</v>
      </c>
      <c r="G94" s="9">
        <v>23.679</v>
      </c>
      <c r="H94" s="9">
        <v>24.697</v>
      </c>
    </row>
    <row r="95" spans="1:8" ht="25.5">
      <c r="A95" s="67"/>
      <c r="B95" s="10" t="s">
        <v>105</v>
      </c>
      <c r="C95" s="68"/>
      <c r="D95" s="73"/>
      <c r="E95" s="9">
        <f t="shared" si="3"/>
        <v>216.168</v>
      </c>
      <c r="F95" s="9">
        <v>59.864</v>
      </c>
      <c r="G95" s="9">
        <v>76.507</v>
      </c>
      <c r="H95" s="9">
        <v>79.797</v>
      </c>
    </row>
    <row r="96" spans="1:8" ht="38.25">
      <c r="A96" s="67"/>
      <c r="B96" s="10" t="s">
        <v>106</v>
      </c>
      <c r="C96" s="68"/>
      <c r="D96" s="74"/>
      <c r="E96" s="9">
        <f t="shared" si="3"/>
        <v>32.88</v>
      </c>
      <c r="F96" s="9">
        <v>10.454</v>
      </c>
      <c r="G96" s="9">
        <v>10.977</v>
      </c>
      <c r="H96" s="9">
        <v>11.449</v>
      </c>
    </row>
    <row r="97" spans="1:8" ht="12.75" customHeight="1">
      <c r="A97" s="69" t="s">
        <v>107</v>
      </c>
      <c r="B97" s="10"/>
      <c r="C97" s="72" t="s">
        <v>19</v>
      </c>
      <c r="D97" s="72" t="s">
        <v>20</v>
      </c>
      <c r="E97" s="7">
        <f aca="true" t="shared" si="4" ref="E97:E112">F97+G97+H97</f>
        <v>122560.01199999997</v>
      </c>
      <c r="F97" s="7">
        <f>SUM(F98:F114)-F99-F100-F101-F104-F114</f>
        <v>42283.166</v>
      </c>
      <c r="G97" s="7">
        <f>SUM(G98:G114)-G99-G100-G101-G104-G114</f>
        <v>39293.60999999999</v>
      </c>
      <c r="H97" s="7">
        <f>SUM(H98:H114)-H99-H100-H101-H104-H114</f>
        <v>40983.23599999999</v>
      </c>
    </row>
    <row r="98" spans="1:8" ht="25.5">
      <c r="A98" s="70"/>
      <c r="B98" s="10" t="s">
        <v>26</v>
      </c>
      <c r="C98" s="73"/>
      <c r="D98" s="73"/>
      <c r="E98" s="9">
        <f t="shared" si="4"/>
        <v>42861.645</v>
      </c>
      <c r="F98" s="9">
        <f>3000+9854.1+2115.823+317.749</f>
        <v>15287.672</v>
      </c>
      <c r="G98" s="9">
        <v>13496.805</v>
      </c>
      <c r="H98" s="9">
        <v>14077.168</v>
      </c>
    </row>
    <row r="99" spans="1:8" s="24" customFormat="1" ht="89.25">
      <c r="A99" s="70"/>
      <c r="B99" s="22" t="s">
        <v>157</v>
      </c>
      <c r="C99" s="73"/>
      <c r="D99" s="73"/>
      <c r="E99" s="23">
        <f t="shared" si="4"/>
        <v>30992.623</v>
      </c>
      <c r="F99" s="23">
        <f>9854.112-0.012</f>
        <v>9854.099999999999</v>
      </c>
      <c r="G99" s="23">
        <v>10346.805</v>
      </c>
      <c r="H99" s="23">
        <v>10791.718</v>
      </c>
    </row>
    <row r="100" spans="1:8" s="24" customFormat="1" ht="102">
      <c r="A100" s="70"/>
      <c r="B100" s="22" t="s">
        <v>176</v>
      </c>
      <c r="C100" s="73"/>
      <c r="D100" s="73"/>
      <c r="E100" s="23">
        <f t="shared" si="4"/>
        <v>2115.823</v>
      </c>
      <c r="F100" s="23">
        <v>2115.823</v>
      </c>
      <c r="G100" s="23"/>
      <c r="H100" s="23"/>
    </row>
    <row r="101" spans="1:8" s="24" customFormat="1" ht="38.25">
      <c r="A101" s="70"/>
      <c r="B101" s="22" t="s">
        <v>156</v>
      </c>
      <c r="C101" s="73"/>
      <c r="D101" s="73"/>
      <c r="E101" s="23">
        <f t="shared" si="4"/>
        <v>317.749</v>
      </c>
      <c r="F101" s="23">
        <v>317.749</v>
      </c>
      <c r="G101" s="23"/>
      <c r="H101" s="23"/>
    </row>
    <row r="102" spans="1:8" ht="38.25">
      <c r="A102" s="70"/>
      <c r="B102" s="10" t="s">
        <v>82</v>
      </c>
      <c r="C102" s="73"/>
      <c r="D102" s="73"/>
      <c r="E102" s="9">
        <f t="shared" si="4"/>
        <v>16260.712999999998</v>
      </c>
      <c r="F102" s="9">
        <f>4595.557+574.534</f>
        <v>5170.090999999999</v>
      </c>
      <c r="G102" s="9">
        <v>5428.596</v>
      </c>
      <c r="H102" s="9">
        <v>5662.026</v>
      </c>
    </row>
    <row r="103" spans="1:8" ht="12.75">
      <c r="A103" s="70"/>
      <c r="B103" s="10" t="s">
        <v>23</v>
      </c>
      <c r="C103" s="73"/>
      <c r="D103" s="73"/>
      <c r="E103" s="9">
        <f t="shared" si="4"/>
        <v>4385.942999999999</v>
      </c>
      <c r="F103" s="9">
        <f>1101.34+420-108.9-290</f>
        <v>1122.4399999999998</v>
      </c>
      <c r="G103" s="9">
        <v>1597.407</v>
      </c>
      <c r="H103" s="9">
        <v>1666.096</v>
      </c>
    </row>
    <row r="104" spans="1:8" s="24" customFormat="1" ht="42.75" customHeight="1">
      <c r="A104" s="70"/>
      <c r="B104" s="22" t="s">
        <v>156</v>
      </c>
      <c r="C104" s="73"/>
      <c r="D104" s="73"/>
      <c r="E104" s="23">
        <f t="shared" si="4"/>
        <v>1320.963</v>
      </c>
      <c r="F104" s="23">
        <f>420</f>
        <v>420</v>
      </c>
      <c r="G104" s="23">
        <v>441</v>
      </c>
      <c r="H104" s="23">
        <v>459.963</v>
      </c>
    </row>
    <row r="105" spans="1:8" ht="25.5">
      <c r="A105" s="70"/>
      <c r="B105" s="10" t="s">
        <v>108</v>
      </c>
      <c r="C105" s="73"/>
      <c r="D105" s="73"/>
      <c r="E105" s="9">
        <f t="shared" si="4"/>
        <v>4088.6949999999997</v>
      </c>
      <c r="F105" s="9">
        <f>1300</f>
        <v>1300</v>
      </c>
      <c r="G105" s="9">
        <v>1365</v>
      </c>
      <c r="H105" s="9">
        <v>1423.695</v>
      </c>
    </row>
    <row r="106" spans="1:8" ht="38.25">
      <c r="A106" s="70"/>
      <c r="B106" s="10" t="s">
        <v>113</v>
      </c>
      <c r="C106" s="73"/>
      <c r="D106" s="73"/>
      <c r="E106" s="9">
        <f>F106+G106+H106</f>
        <v>167.768</v>
      </c>
      <c r="F106" s="9">
        <v>53.342</v>
      </c>
      <c r="G106" s="9">
        <v>56.009</v>
      </c>
      <c r="H106" s="9">
        <v>58.417</v>
      </c>
    </row>
    <row r="107" spans="1:8" ht="25.5">
      <c r="A107" s="70"/>
      <c r="B107" s="10" t="s">
        <v>65</v>
      </c>
      <c r="C107" s="73"/>
      <c r="D107" s="73"/>
      <c r="E107" s="9">
        <f>F107+G107+H107</f>
        <v>42100.585</v>
      </c>
      <c r="F107" s="9">
        <f>13000+385.875</f>
        <v>13385.875</v>
      </c>
      <c r="G107" s="9">
        <v>14055.169</v>
      </c>
      <c r="H107" s="9">
        <v>14659.541</v>
      </c>
    </row>
    <row r="108" spans="1:8" ht="38.25">
      <c r="A108" s="70"/>
      <c r="B108" s="10" t="s">
        <v>109</v>
      </c>
      <c r="C108" s="73"/>
      <c r="D108" s="73"/>
      <c r="E108" s="9">
        <f t="shared" si="4"/>
        <v>131.63899999999998</v>
      </c>
      <c r="F108" s="9">
        <f>39.137+8.547</f>
        <v>47.684</v>
      </c>
      <c r="G108" s="9">
        <v>41.094</v>
      </c>
      <c r="H108" s="9">
        <v>42.861</v>
      </c>
    </row>
    <row r="109" spans="1:8" ht="25.5">
      <c r="A109" s="70"/>
      <c r="B109" s="10" t="s">
        <v>110</v>
      </c>
      <c r="C109" s="73"/>
      <c r="D109" s="73"/>
      <c r="E109" s="9">
        <f t="shared" si="4"/>
        <v>4717.725</v>
      </c>
      <c r="F109" s="9">
        <f>1500</f>
        <v>1500</v>
      </c>
      <c r="G109" s="9">
        <v>1575</v>
      </c>
      <c r="H109" s="9">
        <v>1642.725</v>
      </c>
    </row>
    <row r="110" spans="1:8" ht="25.5">
      <c r="A110" s="70"/>
      <c r="B110" s="10" t="s">
        <v>111</v>
      </c>
      <c r="C110" s="73"/>
      <c r="D110" s="73"/>
      <c r="E110" s="9">
        <f t="shared" si="4"/>
        <v>310.11199999999997</v>
      </c>
      <c r="F110" s="9">
        <f>98.6</f>
        <v>98.6</v>
      </c>
      <c r="G110" s="9">
        <v>103.53</v>
      </c>
      <c r="H110" s="9">
        <v>107.982</v>
      </c>
    </row>
    <row r="111" spans="1:8" ht="25.5">
      <c r="A111" s="70"/>
      <c r="B111" s="8" t="s">
        <v>84</v>
      </c>
      <c r="C111" s="73"/>
      <c r="D111" s="73"/>
      <c r="E111" s="9">
        <f t="shared" si="4"/>
        <v>4717.725</v>
      </c>
      <c r="F111" s="9">
        <f>1500</f>
        <v>1500</v>
      </c>
      <c r="G111" s="9">
        <v>1575</v>
      </c>
      <c r="H111" s="9">
        <v>1642.725</v>
      </c>
    </row>
    <row r="112" spans="1:8" ht="38.25">
      <c r="A112" s="70"/>
      <c r="B112" s="8" t="s">
        <v>249</v>
      </c>
      <c r="C112" s="73"/>
      <c r="D112" s="73"/>
      <c r="E112" s="9">
        <f t="shared" si="4"/>
        <v>29</v>
      </c>
      <c r="F112" s="9">
        <f>10+19</f>
        <v>29</v>
      </c>
      <c r="G112" s="9"/>
      <c r="H112" s="9"/>
    </row>
    <row r="113" spans="1:8" ht="25.5">
      <c r="A113" s="70"/>
      <c r="B113" s="8" t="s">
        <v>175</v>
      </c>
      <c r="C113" s="74"/>
      <c r="D113" s="74"/>
      <c r="E113" s="9">
        <f>F113+G113+H113</f>
        <v>2788.462</v>
      </c>
      <c r="F113" s="9">
        <f>1749.328+1039.134</f>
        <v>2788.462</v>
      </c>
      <c r="G113" s="23"/>
      <c r="H113" s="23"/>
    </row>
    <row r="114" spans="1:8" s="24" customFormat="1" ht="102">
      <c r="A114" s="71"/>
      <c r="B114" s="22" t="s">
        <v>176</v>
      </c>
      <c r="C114" s="40"/>
      <c r="D114" s="40"/>
      <c r="E114" s="23">
        <f>F114+G114+H114</f>
        <v>1039.134</v>
      </c>
      <c r="F114" s="23">
        <v>1039.134</v>
      </c>
      <c r="G114" s="23"/>
      <c r="H114" s="23"/>
    </row>
    <row r="115" spans="1:8" ht="12.75" customHeight="1">
      <c r="A115" s="69" t="s">
        <v>114</v>
      </c>
      <c r="B115" s="8"/>
      <c r="C115" s="72" t="s">
        <v>19</v>
      </c>
      <c r="D115" s="72" t="s">
        <v>20</v>
      </c>
      <c r="E115" s="7">
        <f aca="true" t="shared" si="5" ref="E115:E135">F115+G115+H115</f>
        <v>86123.73600000002</v>
      </c>
      <c r="F115" s="7">
        <f>SUM(F116:F132)-F117-F122-F124-F126-F128-F131-F132</f>
        <v>30693.06200000001</v>
      </c>
      <c r="G115" s="7">
        <f>SUM(G116:G132)-G117-G122-G124-G126-G128-G131-G132</f>
        <v>27131.999000000003</v>
      </c>
      <c r="H115" s="7">
        <f>SUM(H116:H132)-H117-H122-H124-H126-H128-H131-H132</f>
        <v>28298.675000000003</v>
      </c>
    </row>
    <row r="116" spans="1:8" ht="25.5">
      <c r="A116" s="70"/>
      <c r="B116" s="10" t="s">
        <v>85</v>
      </c>
      <c r="C116" s="73"/>
      <c r="D116" s="73"/>
      <c r="E116" s="9">
        <f t="shared" si="5"/>
        <v>42995.607</v>
      </c>
      <c r="F116" s="9">
        <f>2500-547.012+5877.295</f>
        <v>7830.283</v>
      </c>
      <c r="G116" s="9">
        <f>16267.553+945.038</f>
        <v>17212.591</v>
      </c>
      <c r="H116" s="9">
        <f>16967.058+985.675</f>
        <v>17952.733</v>
      </c>
    </row>
    <row r="117" spans="1:8" ht="102">
      <c r="A117" s="70"/>
      <c r="B117" s="22" t="s">
        <v>176</v>
      </c>
      <c r="C117" s="73"/>
      <c r="D117" s="73"/>
      <c r="E117" s="23">
        <f t="shared" si="5"/>
        <v>5877.295</v>
      </c>
      <c r="F117" s="23">
        <v>5877.295</v>
      </c>
      <c r="G117" s="23"/>
      <c r="H117" s="23"/>
    </row>
    <row r="118" spans="1:8" ht="12.75">
      <c r="A118" s="70"/>
      <c r="B118" s="10" t="s">
        <v>27</v>
      </c>
      <c r="C118" s="73"/>
      <c r="D118" s="73"/>
      <c r="E118" s="9">
        <f t="shared" si="5"/>
        <v>314.515</v>
      </c>
      <c r="F118" s="9">
        <v>100</v>
      </c>
      <c r="G118" s="9">
        <v>105</v>
      </c>
      <c r="H118" s="9">
        <v>109.515</v>
      </c>
    </row>
    <row r="119" spans="1:8" ht="25.5">
      <c r="A119" s="70"/>
      <c r="B119" s="10" t="s">
        <v>55</v>
      </c>
      <c r="C119" s="73"/>
      <c r="D119" s="73"/>
      <c r="E119" s="9">
        <f t="shared" si="5"/>
        <v>52.805</v>
      </c>
      <c r="F119" s="9">
        <v>52.805</v>
      </c>
      <c r="G119" s="9"/>
      <c r="H119" s="9"/>
    </row>
    <row r="120" spans="1:8" ht="25.5">
      <c r="A120" s="70"/>
      <c r="B120" s="10" t="s">
        <v>187</v>
      </c>
      <c r="C120" s="73"/>
      <c r="D120" s="73"/>
      <c r="E120" s="9">
        <f t="shared" si="5"/>
        <v>708.121</v>
      </c>
      <c r="F120" s="9">
        <v>708.121</v>
      </c>
      <c r="G120" s="9"/>
      <c r="H120" s="9"/>
    </row>
    <row r="121" spans="1:8" ht="51">
      <c r="A121" s="70"/>
      <c r="B121" s="10" t="s">
        <v>177</v>
      </c>
      <c r="C121" s="73"/>
      <c r="D121" s="73"/>
      <c r="E121" s="9">
        <f t="shared" si="5"/>
        <v>123.027</v>
      </c>
      <c r="F121" s="9">
        <v>123.027</v>
      </c>
      <c r="G121" s="9"/>
      <c r="H121" s="9"/>
    </row>
    <row r="122" spans="1:8" s="24" customFormat="1" ht="38.25">
      <c r="A122" s="70"/>
      <c r="B122" s="22" t="s">
        <v>156</v>
      </c>
      <c r="C122" s="73"/>
      <c r="D122" s="73"/>
      <c r="E122" s="23">
        <f t="shared" si="5"/>
        <v>123.027</v>
      </c>
      <c r="F122" s="23">
        <v>123.027</v>
      </c>
      <c r="G122" s="23"/>
      <c r="H122" s="23"/>
    </row>
    <row r="123" spans="1:8" ht="25.5">
      <c r="A123" s="70"/>
      <c r="B123" s="8" t="s">
        <v>86</v>
      </c>
      <c r="C123" s="73"/>
      <c r="D123" s="73"/>
      <c r="E123" s="9">
        <f t="shared" si="5"/>
        <v>35357.463</v>
      </c>
      <c r="F123" s="9">
        <v>19155.985</v>
      </c>
      <c r="G123" s="9">
        <v>7930.239</v>
      </c>
      <c r="H123" s="9">
        <v>8271.239</v>
      </c>
    </row>
    <row r="124" spans="1:8" ht="89.25">
      <c r="A124" s="70"/>
      <c r="B124" s="22" t="s">
        <v>157</v>
      </c>
      <c r="C124" s="73"/>
      <c r="D124" s="73"/>
      <c r="E124" s="23">
        <f aca="true" t="shared" si="6" ref="E124:E132">F124+G124+H124</f>
        <v>35357.463</v>
      </c>
      <c r="F124" s="23">
        <v>19155.985</v>
      </c>
      <c r="G124" s="23">
        <v>7930.239</v>
      </c>
      <c r="H124" s="23">
        <v>8271.239</v>
      </c>
    </row>
    <row r="125" spans="1:8" ht="25.5">
      <c r="A125" s="70"/>
      <c r="B125" s="8" t="s">
        <v>87</v>
      </c>
      <c r="C125" s="73"/>
      <c r="D125" s="73"/>
      <c r="E125" s="9">
        <f t="shared" si="6"/>
        <v>5633.372</v>
      </c>
      <c r="F125" s="9">
        <f>(1794.447-10.432)</f>
        <v>1784.0149999999999</v>
      </c>
      <c r="G125" s="9">
        <v>1884.169</v>
      </c>
      <c r="H125" s="9">
        <v>1965.188</v>
      </c>
    </row>
    <row r="126" spans="1:8" ht="89.25">
      <c r="A126" s="70"/>
      <c r="B126" s="22" t="s">
        <v>157</v>
      </c>
      <c r="C126" s="73"/>
      <c r="D126" s="73"/>
      <c r="E126" s="23">
        <f t="shared" si="6"/>
        <v>5633.372</v>
      </c>
      <c r="F126" s="23">
        <f>1794.447-10.432</f>
        <v>1784.0149999999999</v>
      </c>
      <c r="G126" s="23">
        <v>1884.169</v>
      </c>
      <c r="H126" s="23">
        <v>1965.188</v>
      </c>
    </row>
    <row r="127" spans="1:8" ht="25.5">
      <c r="A127" s="70"/>
      <c r="B127" s="8" t="s">
        <v>178</v>
      </c>
      <c r="C127" s="73"/>
      <c r="D127" s="73"/>
      <c r="E127" s="9">
        <f t="shared" si="6"/>
        <v>171.764</v>
      </c>
      <c r="F127" s="9">
        <v>171.764</v>
      </c>
      <c r="G127" s="9"/>
      <c r="H127" s="9"/>
    </row>
    <row r="128" spans="1:8" ht="38.25">
      <c r="A128" s="70"/>
      <c r="B128" s="22" t="s">
        <v>156</v>
      </c>
      <c r="C128" s="73"/>
      <c r="D128" s="73"/>
      <c r="E128" s="23">
        <f t="shared" si="6"/>
        <v>171.764</v>
      </c>
      <c r="F128" s="23">
        <v>171.764</v>
      </c>
      <c r="G128" s="23"/>
      <c r="H128" s="23"/>
    </row>
    <row r="129" spans="1:8" ht="38.25">
      <c r="A129" s="70"/>
      <c r="B129" s="8" t="s">
        <v>251</v>
      </c>
      <c r="C129" s="73"/>
      <c r="D129" s="73"/>
      <c r="E129" s="9">
        <f t="shared" si="6"/>
        <v>51.7</v>
      </c>
      <c r="F129" s="9">
        <f>41.7+10</f>
        <v>51.7</v>
      </c>
      <c r="G129" s="9"/>
      <c r="H129" s="9"/>
    </row>
    <row r="130" spans="1:8" ht="25.5">
      <c r="A130" s="70"/>
      <c r="B130" s="8" t="s">
        <v>158</v>
      </c>
      <c r="C130" s="73"/>
      <c r="D130" s="73"/>
      <c r="E130" s="9">
        <f t="shared" si="6"/>
        <v>715.362</v>
      </c>
      <c r="F130" s="9">
        <f>319.273+338.135+57.954</f>
        <v>715.362</v>
      </c>
      <c r="G130" s="23"/>
      <c r="H130" s="23"/>
    </row>
    <row r="131" spans="1:8" ht="102">
      <c r="A131" s="70"/>
      <c r="B131" s="22" t="s">
        <v>176</v>
      </c>
      <c r="C131" s="73"/>
      <c r="D131" s="73"/>
      <c r="E131" s="23">
        <f t="shared" si="6"/>
        <v>57.954</v>
      </c>
      <c r="F131" s="23">
        <v>57.954</v>
      </c>
      <c r="G131" s="23"/>
      <c r="H131" s="23"/>
    </row>
    <row r="132" spans="1:8" s="24" customFormat="1" ht="42.75" customHeight="1">
      <c r="A132" s="71"/>
      <c r="B132" s="22" t="s">
        <v>156</v>
      </c>
      <c r="C132" s="74"/>
      <c r="D132" s="74"/>
      <c r="E132" s="23">
        <f t="shared" si="6"/>
        <v>338.135</v>
      </c>
      <c r="F132" s="23">
        <v>338.135</v>
      </c>
      <c r="G132" s="23"/>
      <c r="H132" s="23"/>
    </row>
    <row r="133" spans="1:8" ht="12.75" customHeight="1">
      <c r="A133" s="67" t="s">
        <v>96</v>
      </c>
      <c r="B133" s="8"/>
      <c r="C133" s="68" t="s">
        <v>33</v>
      </c>
      <c r="D133" s="68" t="s">
        <v>20</v>
      </c>
      <c r="E133" s="7">
        <f t="shared" si="5"/>
        <v>544.47</v>
      </c>
      <c r="F133" s="7">
        <f>SUM(F134:F135)</f>
        <v>332.1</v>
      </c>
      <c r="G133" s="7">
        <f>SUM(G134:G135)</f>
        <v>103.95</v>
      </c>
      <c r="H133" s="7">
        <f>SUM(H134:H135)</f>
        <v>108.42</v>
      </c>
    </row>
    <row r="134" spans="1:8" ht="25.5">
      <c r="A134" s="67"/>
      <c r="B134" s="10" t="s">
        <v>65</v>
      </c>
      <c r="C134" s="68"/>
      <c r="D134" s="68"/>
      <c r="E134" s="9">
        <f t="shared" si="5"/>
        <v>311.37</v>
      </c>
      <c r="F134" s="9">
        <v>99</v>
      </c>
      <c r="G134" s="9">
        <v>103.95</v>
      </c>
      <c r="H134" s="9">
        <v>108.42</v>
      </c>
    </row>
    <row r="135" spans="1:8" ht="12.75">
      <c r="A135" s="67"/>
      <c r="B135" s="10" t="s">
        <v>118</v>
      </c>
      <c r="C135" s="68"/>
      <c r="D135" s="68"/>
      <c r="E135" s="9">
        <f t="shared" si="5"/>
        <v>233.1</v>
      </c>
      <c r="F135" s="9">
        <f>99.9+133.2</f>
        <v>233.1</v>
      </c>
      <c r="G135" s="9"/>
      <c r="H135" s="9"/>
    </row>
    <row r="136" spans="1:8" ht="12.75" customHeight="1">
      <c r="A136" s="69" t="s">
        <v>107</v>
      </c>
      <c r="B136" s="8"/>
      <c r="C136" s="72" t="s">
        <v>33</v>
      </c>
      <c r="D136" s="72" t="s">
        <v>20</v>
      </c>
      <c r="E136" s="7">
        <f>F136+G136+H136</f>
        <v>686.796</v>
      </c>
      <c r="F136" s="7">
        <f>SUM(F137:F140)</f>
        <v>300.696</v>
      </c>
      <c r="G136" s="7">
        <f>SUM(G137:G140)</f>
        <v>188.987</v>
      </c>
      <c r="H136" s="7">
        <f>SUM(H137:H140)</f>
        <v>197.113</v>
      </c>
    </row>
    <row r="137" spans="1:8" ht="25.5" customHeight="1">
      <c r="A137" s="70"/>
      <c r="B137" s="10" t="s">
        <v>26</v>
      </c>
      <c r="C137" s="73"/>
      <c r="D137" s="73"/>
      <c r="E137" s="9">
        <f aca="true" t="shared" si="7" ref="E137:E145">F137+G137+H137</f>
        <v>157.236</v>
      </c>
      <c r="F137" s="9">
        <f>29.97+20.023</f>
        <v>49.992999999999995</v>
      </c>
      <c r="G137" s="9">
        <v>52.493</v>
      </c>
      <c r="H137" s="9">
        <v>54.75</v>
      </c>
    </row>
    <row r="138" spans="1:8" ht="25.5">
      <c r="A138" s="70"/>
      <c r="B138" s="10" t="s">
        <v>34</v>
      </c>
      <c r="C138" s="73"/>
      <c r="D138" s="73"/>
      <c r="E138" s="9">
        <f t="shared" si="7"/>
        <v>187.139</v>
      </c>
      <c r="F138" s="9">
        <f>49.994+29.9</f>
        <v>79.894</v>
      </c>
      <c r="G138" s="9">
        <v>52.494</v>
      </c>
      <c r="H138" s="9">
        <v>54.751</v>
      </c>
    </row>
    <row r="139" spans="1:8" ht="25.5">
      <c r="A139" s="70"/>
      <c r="B139" s="10" t="s">
        <v>35</v>
      </c>
      <c r="C139" s="73"/>
      <c r="D139" s="73"/>
      <c r="E139" s="9">
        <f>F139+G139+H139</f>
        <v>251.612</v>
      </c>
      <c r="F139" s="9">
        <v>80</v>
      </c>
      <c r="G139" s="9">
        <v>84</v>
      </c>
      <c r="H139" s="9">
        <v>87.612</v>
      </c>
    </row>
    <row r="140" spans="1:8" ht="25.5">
      <c r="A140" s="71"/>
      <c r="B140" s="10" t="s">
        <v>179</v>
      </c>
      <c r="C140" s="74"/>
      <c r="D140" s="74"/>
      <c r="E140" s="9">
        <f>F140+G140+H140</f>
        <v>90.809</v>
      </c>
      <c r="F140" s="9">
        <v>90.809</v>
      </c>
      <c r="G140" s="9"/>
      <c r="H140" s="9"/>
    </row>
    <row r="141" spans="1:8" ht="12.75" customHeight="1">
      <c r="A141" s="67" t="s">
        <v>116</v>
      </c>
      <c r="B141" s="10"/>
      <c r="C141" s="68" t="s">
        <v>33</v>
      </c>
      <c r="D141" s="68" t="s">
        <v>20</v>
      </c>
      <c r="E141" s="7">
        <f>F141+G141+H141</f>
        <v>332.15999999999997</v>
      </c>
      <c r="F141" s="7">
        <f>SUM(F142:F143)</f>
        <v>105.61</v>
      </c>
      <c r="G141" s="7">
        <f>SUM(G142:G143)</f>
        <v>110.891</v>
      </c>
      <c r="H141" s="7">
        <f>SUM(H142:H143)</f>
        <v>115.65899999999999</v>
      </c>
    </row>
    <row r="142" spans="1:8" ht="25.5">
      <c r="A142" s="67"/>
      <c r="B142" s="10" t="s">
        <v>36</v>
      </c>
      <c r="C142" s="68"/>
      <c r="D142" s="68"/>
      <c r="E142" s="9">
        <f t="shared" si="7"/>
        <v>31.238</v>
      </c>
      <c r="F142" s="9">
        <v>9.932</v>
      </c>
      <c r="G142" s="9">
        <v>10.429</v>
      </c>
      <c r="H142" s="9">
        <v>10.877</v>
      </c>
    </row>
    <row r="143" spans="1:8" ht="12.75">
      <c r="A143" s="67"/>
      <c r="B143" s="10" t="s">
        <v>37</v>
      </c>
      <c r="C143" s="68"/>
      <c r="D143" s="68"/>
      <c r="E143" s="9">
        <f t="shared" si="7"/>
        <v>300.92199999999997</v>
      </c>
      <c r="F143" s="9">
        <v>95.678</v>
      </c>
      <c r="G143" s="9">
        <v>100.462</v>
      </c>
      <c r="H143" s="9">
        <v>104.782</v>
      </c>
    </row>
    <row r="144" spans="1:8" ht="39.75" customHeight="1">
      <c r="A144" s="67" t="s">
        <v>115</v>
      </c>
      <c r="B144" s="10"/>
      <c r="C144" s="68" t="s">
        <v>33</v>
      </c>
      <c r="D144" s="68" t="s">
        <v>20</v>
      </c>
      <c r="E144" s="7">
        <f t="shared" si="7"/>
        <v>268.605</v>
      </c>
      <c r="F144" s="7">
        <f>SUM(F145)</f>
        <v>85.403</v>
      </c>
      <c r="G144" s="7">
        <f>SUM(G145)</f>
        <v>89.673</v>
      </c>
      <c r="H144" s="7">
        <f>SUM(H145)</f>
        <v>93.529</v>
      </c>
    </row>
    <row r="145" spans="1:8" ht="12.75">
      <c r="A145" s="67"/>
      <c r="B145" s="10" t="s">
        <v>38</v>
      </c>
      <c r="C145" s="68"/>
      <c r="D145" s="68"/>
      <c r="E145" s="9">
        <f t="shared" si="7"/>
        <v>268.605</v>
      </c>
      <c r="F145" s="9">
        <v>85.403</v>
      </c>
      <c r="G145" s="9">
        <v>89.673</v>
      </c>
      <c r="H145" s="9">
        <v>93.529</v>
      </c>
    </row>
    <row r="146" spans="1:8" ht="12.75">
      <c r="A146" s="75" t="s">
        <v>180</v>
      </c>
      <c r="B146" s="10"/>
      <c r="C146" s="68" t="s">
        <v>33</v>
      </c>
      <c r="D146" s="6"/>
      <c r="E146" s="7">
        <f>E147</f>
        <v>43.781</v>
      </c>
      <c r="F146" s="7">
        <f>F147</f>
        <v>43.781</v>
      </c>
      <c r="G146" s="7">
        <f>G147</f>
        <v>0</v>
      </c>
      <c r="H146" s="7">
        <f>H147</f>
        <v>0</v>
      </c>
    </row>
    <row r="147" spans="1:8" ht="25.5" customHeight="1">
      <c r="A147" s="76"/>
      <c r="B147" s="8" t="s">
        <v>158</v>
      </c>
      <c r="C147" s="68"/>
      <c r="D147" s="6" t="s">
        <v>20</v>
      </c>
      <c r="E147" s="9">
        <f>F147+G147+H147</f>
        <v>43.781</v>
      </c>
      <c r="F147" s="9">
        <v>43.781</v>
      </c>
      <c r="G147" s="9"/>
      <c r="H147" s="9"/>
    </row>
    <row r="148" spans="1:8" ht="12.75" customHeight="1">
      <c r="A148" s="67" t="s">
        <v>96</v>
      </c>
      <c r="B148" s="10"/>
      <c r="C148" s="68" t="s">
        <v>39</v>
      </c>
      <c r="D148" s="68" t="s">
        <v>20</v>
      </c>
      <c r="E148" s="7">
        <f aca="true" t="shared" si="8" ref="E148:E162">F148+G148+H148</f>
        <v>1069.043</v>
      </c>
      <c r="F148" s="7">
        <f>SUM(F149:F151)</f>
        <v>521.5999999999999</v>
      </c>
      <c r="G148" s="7">
        <f>SUM(G149:G151)</f>
        <v>267.96</v>
      </c>
      <c r="H148" s="7">
        <f>SUM(H149:H151)</f>
        <v>279.483</v>
      </c>
    </row>
    <row r="149" spans="1:8" ht="25.5">
      <c r="A149" s="67"/>
      <c r="B149" s="10" t="s">
        <v>40</v>
      </c>
      <c r="C149" s="68"/>
      <c r="D149" s="68"/>
      <c r="E149" s="9">
        <f t="shared" si="8"/>
        <v>267.967</v>
      </c>
      <c r="F149" s="9">
        <v>85.2</v>
      </c>
      <c r="G149" s="9">
        <v>89.46</v>
      </c>
      <c r="H149" s="9">
        <v>93.307</v>
      </c>
    </row>
    <row r="150" spans="1:8" ht="51">
      <c r="A150" s="67"/>
      <c r="B150" s="10" t="s">
        <v>241</v>
      </c>
      <c r="C150" s="68"/>
      <c r="D150" s="68"/>
      <c r="E150" s="9">
        <f>F150+G150+H150</f>
        <v>534.6759999999999</v>
      </c>
      <c r="F150" s="9">
        <f>120+50</f>
        <v>170</v>
      </c>
      <c r="G150" s="9">
        <v>178.5</v>
      </c>
      <c r="H150" s="9">
        <v>186.176</v>
      </c>
    </row>
    <row r="151" spans="1:8" ht="12.75">
      <c r="A151" s="67"/>
      <c r="B151" s="10" t="s">
        <v>118</v>
      </c>
      <c r="C151" s="68"/>
      <c r="D151" s="68"/>
      <c r="E151" s="9">
        <f>F151+G151+H151</f>
        <v>266.4</v>
      </c>
      <c r="F151" s="9">
        <f>99.9+166.5</f>
        <v>266.4</v>
      </c>
      <c r="G151" s="9"/>
      <c r="H151" s="9"/>
    </row>
    <row r="152" spans="1:8" ht="25.5" customHeight="1">
      <c r="A152" s="69" t="s">
        <v>107</v>
      </c>
      <c r="B152" s="10"/>
      <c r="C152" s="72" t="s">
        <v>39</v>
      </c>
      <c r="D152" s="72" t="s">
        <v>20</v>
      </c>
      <c r="E152" s="7">
        <f t="shared" si="8"/>
        <v>1083.287</v>
      </c>
      <c r="F152" s="7">
        <f>SUM(F153:F158)</f>
        <v>405.165</v>
      </c>
      <c r="G152" s="7">
        <f>SUM(G153:G158)</f>
        <v>331.974</v>
      </c>
      <c r="H152" s="7">
        <f>SUM(H153:H158)</f>
        <v>346.14799999999997</v>
      </c>
    </row>
    <row r="153" spans="1:8" ht="25.5">
      <c r="A153" s="70"/>
      <c r="B153" s="10" t="s">
        <v>26</v>
      </c>
      <c r="C153" s="73"/>
      <c r="D153" s="73"/>
      <c r="E153" s="9">
        <f t="shared" si="8"/>
        <v>209.859</v>
      </c>
      <c r="F153" s="9">
        <f>52.83+43.7</f>
        <v>96.53</v>
      </c>
      <c r="G153" s="9">
        <v>55.472</v>
      </c>
      <c r="H153" s="9">
        <v>57.857</v>
      </c>
    </row>
    <row r="154" spans="1:8" ht="25.5">
      <c r="A154" s="70"/>
      <c r="B154" s="10" t="s">
        <v>41</v>
      </c>
      <c r="C154" s="73"/>
      <c r="D154" s="73"/>
      <c r="E154" s="9">
        <f t="shared" si="8"/>
        <v>78.529</v>
      </c>
      <c r="F154" s="9">
        <v>25</v>
      </c>
      <c r="G154" s="9">
        <v>26.25</v>
      </c>
      <c r="H154" s="9">
        <v>27.279</v>
      </c>
    </row>
    <row r="155" spans="1:8" ht="25.5">
      <c r="A155" s="70"/>
      <c r="B155" s="10" t="s">
        <v>42</v>
      </c>
      <c r="C155" s="73"/>
      <c r="D155" s="73"/>
      <c r="E155" s="9">
        <f t="shared" si="8"/>
        <v>50.321999999999996</v>
      </c>
      <c r="F155" s="9">
        <v>16</v>
      </c>
      <c r="G155" s="9">
        <v>16.8</v>
      </c>
      <c r="H155" s="9">
        <v>17.522</v>
      </c>
    </row>
    <row r="156" spans="1:8" ht="12.75">
      <c r="A156" s="70"/>
      <c r="B156" s="10" t="s">
        <v>43</v>
      </c>
      <c r="C156" s="73"/>
      <c r="D156" s="73"/>
      <c r="E156" s="9">
        <f t="shared" si="8"/>
        <v>141.903</v>
      </c>
      <c r="F156" s="9">
        <f>20+79</f>
        <v>99</v>
      </c>
      <c r="G156" s="9">
        <v>21</v>
      </c>
      <c r="H156" s="9">
        <v>21.903</v>
      </c>
    </row>
    <row r="157" spans="1:8" ht="25.5">
      <c r="A157" s="70"/>
      <c r="B157" s="10" t="s">
        <v>45</v>
      </c>
      <c r="C157" s="73"/>
      <c r="D157" s="73"/>
      <c r="E157" s="9">
        <f>F157+G157+H157</f>
        <v>527.309</v>
      </c>
      <c r="F157" s="9">
        <f>41.49+51.78+109.065-33.7-75.365</f>
        <v>93.27</v>
      </c>
      <c r="G157" s="9">
        <v>212.452</v>
      </c>
      <c r="H157" s="9">
        <v>221.587</v>
      </c>
    </row>
    <row r="158" spans="1:8" ht="25.5">
      <c r="A158" s="71"/>
      <c r="B158" s="10" t="s">
        <v>55</v>
      </c>
      <c r="C158" s="74"/>
      <c r="D158" s="74"/>
      <c r="E158" s="9">
        <f>F158+G158+H158</f>
        <v>75.365</v>
      </c>
      <c r="F158" s="9">
        <v>75.365</v>
      </c>
      <c r="G158" s="9"/>
      <c r="H158" s="9"/>
    </row>
    <row r="159" spans="1:8" ht="12.75">
      <c r="A159" s="67" t="s">
        <v>116</v>
      </c>
      <c r="B159" s="8"/>
      <c r="C159" s="68" t="s">
        <v>39</v>
      </c>
      <c r="D159" s="68" t="s">
        <v>20</v>
      </c>
      <c r="E159" s="7">
        <f t="shared" si="8"/>
        <v>672.451</v>
      </c>
      <c r="F159" s="7">
        <f>SUM(F160:F162)</f>
        <v>184</v>
      </c>
      <c r="G159" s="7">
        <f>SUM(G160:G162)</f>
        <v>239.085</v>
      </c>
      <c r="H159" s="7">
        <f>SUM(H160:H162)</f>
        <v>249.36599999999999</v>
      </c>
    </row>
    <row r="160" spans="1:8" ht="25.5">
      <c r="A160" s="67"/>
      <c r="B160" s="10" t="s">
        <v>36</v>
      </c>
      <c r="C160" s="68"/>
      <c r="D160" s="68"/>
      <c r="E160" s="9">
        <f t="shared" si="8"/>
        <v>24.218</v>
      </c>
      <c r="F160" s="9">
        <v>7.7</v>
      </c>
      <c r="G160" s="9">
        <v>8.085</v>
      </c>
      <c r="H160" s="9">
        <v>8.433</v>
      </c>
    </row>
    <row r="161" spans="1:8" ht="12.75">
      <c r="A161" s="67"/>
      <c r="B161" s="10" t="s">
        <v>181</v>
      </c>
      <c r="C161" s="68"/>
      <c r="D161" s="68"/>
      <c r="E161" s="9">
        <f t="shared" si="8"/>
        <v>228.00900000000001</v>
      </c>
      <c r="F161" s="9">
        <f>143-43.7</f>
        <v>99.3</v>
      </c>
      <c r="G161" s="9">
        <v>63</v>
      </c>
      <c r="H161" s="9">
        <v>65.709</v>
      </c>
    </row>
    <row r="162" spans="1:8" ht="25.5">
      <c r="A162" s="67"/>
      <c r="B162" s="10" t="s">
        <v>182</v>
      </c>
      <c r="C162" s="68"/>
      <c r="D162" s="68"/>
      <c r="E162" s="9">
        <f t="shared" si="8"/>
        <v>420.224</v>
      </c>
      <c r="F162" s="9">
        <v>77</v>
      </c>
      <c r="G162" s="9">
        <v>168</v>
      </c>
      <c r="H162" s="9">
        <v>175.224</v>
      </c>
    </row>
    <row r="163" spans="1:8" ht="12.75">
      <c r="A163" s="75" t="s">
        <v>164</v>
      </c>
      <c r="B163" s="10"/>
      <c r="C163" s="6"/>
      <c r="D163" s="6"/>
      <c r="E163" s="7">
        <f>E164</f>
        <v>117.316</v>
      </c>
      <c r="F163" s="7">
        <f>SUM(F164)</f>
        <v>117.316</v>
      </c>
      <c r="G163" s="7">
        <f>SUM(G164)</f>
        <v>0</v>
      </c>
      <c r="H163" s="7">
        <f>SUM(H164)</f>
        <v>0</v>
      </c>
    </row>
    <row r="164" spans="1:8" ht="51">
      <c r="A164" s="76"/>
      <c r="B164" s="8" t="s">
        <v>158</v>
      </c>
      <c r="C164" s="6" t="s">
        <v>39</v>
      </c>
      <c r="D164" s="6" t="s">
        <v>20</v>
      </c>
      <c r="E164" s="9">
        <f aca="true" t="shared" si="9" ref="E164:E183">F164+G164+H164</f>
        <v>117.316</v>
      </c>
      <c r="F164" s="9">
        <f>38.907+44.709+33.7</f>
        <v>117.316</v>
      </c>
      <c r="G164" s="9"/>
      <c r="H164" s="9"/>
    </row>
    <row r="165" spans="1:8" ht="12.75" customHeight="1">
      <c r="A165" s="67" t="s">
        <v>96</v>
      </c>
      <c r="B165" s="10"/>
      <c r="C165" s="68" t="s">
        <v>46</v>
      </c>
      <c r="D165" s="68" t="s">
        <v>20</v>
      </c>
      <c r="E165" s="7">
        <f t="shared" si="9"/>
        <v>868.932</v>
      </c>
      <c r="F165" s="7">
        <f>SUM(F166:F169)</f>
        <v>435.262</v>
      </c>
      <c r="G165" s="7">
        <f>SUM(G166:G169)</f>
        <v>212.271</v>
      </c>
      <c r="H165" s="7">
        <f>SUM(H166:H169)</f>
        <v>221.399</v>
      </c>
    </row>
    <row r="166" spans="1:8" ht="25.5" customHeight="1">
      <c r="A166" s="67"/>
      <c r="B166" s="10" t="s">
        <v>40</v>
      </c>
      <c r="C166" s="68"/>
      <c r="D166" s="68"/>
      <c r="E166" s="9">
        <f t="shared" si="9"/>
        <v>313.415</v>
      </c>
      <c r="F166" s="9">
        <v>99.65</v>
      </c>
      <c r="G166" s="9">
        <v>104.633</v>
      </c>
      <c r="H166" s="9">
        <v>109.132</v>
      </c>
    </row>
    <row r="167" spans="1:8" ht="51">
      <c r="A167" s="67"/>
      <c r="B167" s="10" t="s">
        <v>241</v>
      </c>
      <c r="C167" s="68"/>
      <c r="D167" s="68"/>
      <c r="E167" s="9">
        <f>F167+G167+H167</f>
        <v>309.207</v>
      </c>
      <c r="F167" s="9">
        <f>33.04+65.272</f>
        <v>98.31200000000001</v>
      </c>
      <c r="G167" s="9">
        <v>103.228</v>
      </c>
      <c r="H167" s="9">
        <v>107.667</v>
      </c>
    </row>
    <row r="168" spans="1:8" ht="25.5">
      <c r="A168" s="67"/>
      <c r="B168" s="10" t="s">
        <v>160</v>
      </c>
      <c r="C168" s="68"/>
      <c r="D168" s="68"/>
      <c r="E168" s="9">
        <f>F168+G168+H168</f>
        <v>13.209999999999999</v>
      </c>
      <c r="F168" s="9">
        <v>4.2</v>
      </c>
      <c r="G168" s="9">
        <v>4.41</v>
      </c>
      <c r="H168" s="9">
        <v>4.6</v>
      </c>
    </row>
    <row r="169" spans="1:8" ht="12.75">
      <c r="A169" s="67"/>
      <c r="B169" s="10" t="s">
        <v>118</v>
      </c>
      <c r="C169" s="68"/>
      <c r="D169" s="68"/>
      <c r="E169" s="9">
        <f>F169+G169+H169</f>
        <v>233.1</v>
      </c>
      <c r="F169" s="9">
        <f>99.9+133.2</f>
        <v>233.1</v>
      </c>
      <c r="G169" s="9"/>
      <c r="H169" s="9"/>
    </row>
    <row r="170" spans="1:8" ht="12.75">
      <c r="A170" s="67" t="s">
        <v>97</v>
      </c>
      <c r="B170" s="10"/>
      <c r="C170" s="68" t="s">
        <v>46</v>
      </c>
      <c r="D170" s="68" t="s">
        <v>20</v>
      </c>
      <c r="E170" s="7">
        <f>F170+G170+H170</f>
        <v>13.751000000000001</v>
      </c>
      <c r="F170" s="7">
        <f>SUM(F171)</f>
        <v>4.372</v>
      </c>
      <c r="G170" s="7">
        <f>SUM(G171)</f>
        <v>4.591</v>
      </c>
      <c r="H170" s="7">
        <f>SUM(H171)</f>
        <v>4.788</v>
      </c>
    </row>
    <row r="171" spans="1:8" ht="25.5" customHeight="1">
      <c r="A171" s="67"/>
      <c r="B171" s="10" t="s">
        <v>161</v>
      </c>
      <c r="C171" s="68"/>
      <c r="D171" s="68"/>
      <c r="E171" s="9">
        <f>F171+G171+H171</f>
        <v>13.751000000000001</v>
      </c>
      <c r="F171" s="9">
        <v>4.372</v>
      </c>
      <c r="G171" s="9">
        <v>4.591</v>
      </c>
      <c r="H171" s="9">
        <v>4.788</v>
      </c>
    </row>
    <row r="172" spans="1:8" ht="12.75">
      <c r="A172" s="67" t="s">
        <v>107</v>
      </c>
      <c r="B172" s="10"/>
      <c r="C172" s="68" t="s">
        <v>46</v>
      </c>
      <c r="D172" s="68" t="s">
        <v>20</v>
      </c>
      <c r="E172" s="7">
        <f t="shared" si="9"/>
        <v>480.99</v>
      </c>
      <c r="F172" s="7">
        <f>SUM(F173:F178)</f>
        <v>207.49400000000003</v>
      </c>
      <c r="G172" s="7">
        <f>SUM(G173:G178)</f>
        <v>133.86999999999998</v>
      </c>
      <c r="H172" s="7">
        <f>SUM(H173:H178)</f>
        <v>139.626</v>
      </c>
    </row>
    <row r="173" spans="1:8" ht="25.5">
      <c r="A173" s="67"/>
      <c r="B173" s="10" t="s">
        <v>47</v>
      </c>
      <c r="C173" s="68"/>
      <c r="D173" s="68"/>
      <c r="E173" s="9">
        <f t="shared" si="9"/>
        <v>14.707</v>
      </c>
      <c r="F173" s="9">
        <v>4.676</v>
      </c>
      <c r="G173" s="9">
        <v>4.91</v>
      </c>
      <c r="H173" s="9">
        <v>5.121</v>
      </c>
    </row>
    <row r="174" spans="1:8" ht="25.5">
      <c r="A174" s="67"/>
      <c r="B174" s="10" t="s">
        <v>48</v>
      </c>
      <c r="C174" s="68"/>
      <c r="D174" s="68"/>
      <c r="E174" s="9">
        <f t="shared" si="9"/>
        <v>130.95100000000002</v>
      </c>
      <c r="F174" s="9">
        <f>16.2+80</f>
        <v>96.2</v>
      </c>
      <c r="G174" s="9">
        <v>17.01</v>
      </c>
      <c r="H174" s="9">
        <v>17.741</v>
      </c>
    </row>
    <row r="175" spans="1:8" ht="25.5">
      <c r="A175" s="67"/>
      <c r="B175" s="10" t="s">
        <v>45</v>
      </c>
      <c r="C175" s="68"/>
      <c r="D175" s="68"/>
      <c r="E175" s="9">
        <f t="shared" si="9"/>
        <v>172.701</v>
      </c>
      <c r="F175" s="9">
        <f>45.58+9.33</f>
        <v>54.91</v>
      </c>
      <c r="G175" s="9">
        <v>57.656</v>
      </c>
      <c r="H175" s="9">
        <v>60.135</v>
      </c>
    </row>
    <row r="176" spans="1:8" ht="25.5">
      <c r="A176" s="67"/>
      <c r="B176" s="10" t="s">
        <v>49</v>
      </c>
      <c r="C176" s="68"/>
      <c r="D176" s="68"/>
      <c r="E176" s="9">
        <f t="shared" si="9"/>
        <v>125.986</v>
      </c>
      <c r="F176" s="9">
        <v>40.057</v>
      </c>
      <c r="G176" s="9">
        <v>42.06</v>
      </c>
      <c r="H176" s="9">
        <v>43.869</v>
      </c>
    </row>
    <row r="177" spans="1:8" ht="25.5">
      <c r="A177" s="67"/>
      <c r="B177" s="10" t="s">
        <v>162</v>
      </c>
      <c r="C177" s="68"/>
      <c r="D177" s="68"/>
      <c r="E177" s="9">
        <f t="shared" si="9"/>
        <v>24.403</v>
      </c>
      <c r="F177" s="9">
        <v>7.759</v>
      </c>
      <c r="G177" s="9">
        <v>8.147</v>
      </c>
      <c r="H177" s="9">
        <v>8.497</v>
      </c>
    </row>
    <row r="178" spans="1:8" ht="12.75">
      <c r="A178" s="67"/>
      <c r="B178" s="10" t="s">
        <v>51</v>
      </c>
      <c r="C178" s="68"/>
      <c r="D178" s="68"/>
      <c r="E178" s="9">
        <f t="shared" si="9"/>
        <v>12.241999999999999</v>
      </c>
      <c r="F178" s="9">
        <v>3.892</v>
      </c>
      <c r="G178" s="9">
        <v>4.087</v>
      </c>
      <c r="H178" s="9">
        <v>4.263</v>
      </c>
    </row>
    <row r="179" spans="1:8" ht="12.75">
      <c r="A179" s="67" t="s">
        <v>116</v>
      </c>
      <c r="B179" s="10"/>
      <c r="C179" s="68" t="s">
        <v>46</v>
      </c>
      <c r="D179" s="68" t="s">
        <v>20</v>
      </c>
      <c r="E179" s="7">
        <f t="shared" si="9"/>
        <v>333.682</v>
      </c>
      <c r="F179" s="7">
        <f>SUM(F180:F181)</f>
        <v>106.094</v>
      </c>
      <c r="G179" s="7">
        <f>SUM(G180:G181)</f>
        <v>111.399</v>
      </c>
      <c r="H179" s="7">
        <f>SUM(H180:H181)</f>
        <v>116.18900000000001</v>
      </c>
    </row>
    <row r="180" spans="1:8" ht="29.25" customHeight="1">
      <c r="A180" s="67"/>
      <c r="B180" s="10" t="s">
        <v>36</v>
      </c>
      <c r="C180" s="68"/>
      <c r="D180" s="68"/>
      <c r="E180" s="9">
        <f t="shared" si="9"/>
        <v>20.302</v>
      </c>
      <c r="F180" s="9">
        <v>6.455</v>
      </c>
      <c r="G180" s="9">
        <v>6.778</v>
      </c>
      <c r="H180" s="9">
        <v>7.069</v>
      </c>
    </row>
    <row r="181" spans="1:8" ht="12.75">
      <c r="A181" s="67"/>
      <c r="B181" s="10" t="s">
        <v>37</v>
      </c>
      <c r="C181" s="68"/>
      <c r="D181" s="68"/>
      <c r="E181" s="9">
        <f t="shared" si="9"/>
        <v>313.38</v>
      </c>
      <c r="F181" s="9">
        <v>99.639</v>
      </c>
      <c r="G181" s="9">
        <v>104.621</v>
      </c>
      <c r="H181" s="9">
        <v>109.12</v>
      </c>
    </row>
    <row r="182" spans="1:8" ht="30.75" customHeight="1">
      <c r="A182" s="67" t="s">
        <v>115</v>
      </c>
      <c r="B182" s="8"/>
      <c r="C182" s="68" t="s">
        <v>46</v>
      </c>
      <c r="D182" s="68" t="s">
        <v>20</v>
      </c>
      <c r="E182" s="7">
        <f t="shared" si="9"/>
        <v>60.411</v>
      </c>
      <c r="F182" s="7">
        <f>SUM(F183)</f>
        <v>19.208</v>
      </c>
      <c r="G182" s="7">
        <f>SUM(G183)</f>
        <v>20.168</v>
      </c>
      <c r="H182" s="7">
        <f>SUM(H183)</f>
        <v>21.035</v>
      </c>
    </row>
    <row r="183" spans="1:8" ht="18.75" customHeight="1">
      <c r="A183" s="67"/>
      <c r="B183" s="10" t="s">
        <v>52</v>
      </c>
      <c r="C183" s="68"/>
      <c r="D183" s="68"/>
      <c r="E183" s="9">
        <f t="shared" si="9"/>
        <v>60.411</v>
      </c>
      <c r="F183" s="9">
        <v>19.208</v>
      </c>
      <c r="G183" s="9">
        <v>20.168</v>
      </c>
      <c r="H183" s="9">
        <v>21.035</v>
      </c>
    </row>
    <row r="184" spans="1:8" ht="18.75" customHeight="1">
      <c r="A184" s="75" t="s">
        <v>164</v>
      </c>
      <c r="B184" s="10"/>
      <c r="C184" s="68" t="s">
        <v>46</v>
      </c>
      <c r="D184" s="68" t="s">
        <v>20</v>
      </c>
      <c r="E184" s="7">
        <f>F184+G184+H184</f>
        <v>32.173</v>
      </c>
      <c r="F184" s="7">
        <f>SUM(F185)</f>
        <v>32.173</v>
      </c>
      <c r="G184" s="9"/>
      <c r="H184" s="9"/>
    </row>
    <row r="185" spans="1:8" ht="25.5">
      <c r="A185" s="76"/>
      <c r="B185" s="8" t="s">
        <v>158</v>
      </c>
      <c r="C185" s="68"/>
      <c r="D185" s="68"/>
      <c r="E185" s="9">
        <f>F185+G185+H185</f>
        <v>32.173</v>
      </c>
      <c r="F185" s="9">
        <v>32.173</v>
      </c>
      <c r="G185" s="9"/>
      <c r="H185" s="9"/>
    </row>
    <row r="186" spans="1:8" ht="12.75" customHeight="1">
      <c r="A186" s="69" t="s">
        <v>96</v>
      </c>
      <c r="B186" s="10"/>
      <c r="C186" s="72" t="s">
        <v>53</v>
      </c>
      <c r="D186" s="72" t="s">
        <v>20</v>
      </c>
      <c r="E186" s="7">
        <f aca="true" t="shared" si="10" ref="E186:E211">F186+G186+H186</f>
        <v>1419.55</v>
      </c>
      <c r="F186" s="7">
        <f>SUM(F187:F191)</f>
        <v>633.044</v>
      </c>
      <c r="G186" s="7">
        <f>SUM(G187:G191)</f>
        <v>384.976</v>
      </c>
      <c r="H186" s="7">
        <f>SUM(H187:H191)</f>
        <v>401.53000000000003</v>
      </c>
    </row>
    <row r="187" spans="1:8" ht="25.5" customHeight="1">
      <c r="A187" s="70"/>
      <c r="B187" s="8" t="s">
        <v>40</v>
      </c>
      <c r="C187" s="73"/>
      <c r="D187" s="73"/>
      <c r="E187" s="9">
        <f t="shared" si="10"/>
        <v>311.37</v>
      </c>
      <c r="F187" s="9">
        <v>99</v>
      </c>
      <c r="G187" s="9">
        <v>103.95</v>
      </c>
      <c r="H187" s="9">
        <v>108.42</v>
      </c>
    </row>
    <row r="188" spans="1:8" ht="51">
      <c r="A188" s="70"/>
      <c r="B188" s="10" t="s">
        <v>241</v>
      </c>
      <c r="C188" s="73"/>
      <c r="D188" s="73"/>
      <c r="E188" s="9">
        <f t="shared" si="10"/>
        <v>313.395</v>
      </c>
      <c r="F188" s="9">
        <f>70.33+29.314</f>
        <v>99.644</v>
      </c>
      <c r="G188" s="9">
        <v>104.626</v>
      </c>
      <c r="H188" s="9">
        <v>109.125</v>
      </c>
    </row>
    <row r="189" spans="1:8" ht="12.75">
      <c r="A189" s="70"/>
      <c r="B189" s="10" t="s">
        <v>44</v>
      </c>
      <c r="C189" s="73"/>
      <c r="D189" s="73"/>
      <c r="E189" s="9">
        <f t="shared" si="10"/>
        <v>311.37</v>
      </c>
      <c r="F189" s="9">
        <v>99</v>
      </c>
      <c r="G189" s="9">
        <v>103.95</v>
      </c>
      <c r="H189" s="9">
        <v>108.42</v>
      </c>
    </row>
    <row r="190" spans="1:8" ht="25.5" customHeight="1">
      <c r="A190" s="70"/>
      <c r="B190" s="10" t="s">
        <v>163</v>
      </c>
      <c r="C190" s="73"/>
      <c r="D190" s="73"/>
      <c r="E190" s="9">
        <f t="shared" si="10"/>
        <v>217.015</v>
      </c>
      <c r="F190" s="9">
        <v>69</v>
      </c>
      <c r="G190" s="9">
        <v>72.45</v>
      </c>
      <c r="H190" s="9">
        <v>75.565</v>
      </c>
    </row>
    <row r="191" spans="1:8" ht="12.75">
      <c r="A191" s="71"/>
      <c r="B191" s="10" t="s">
        <v>118</v>
      </c>
      <c r="C191" s="74"/>
      <c r="D191" s="74"/>
      <c r="E191" s="9">
        <f t="shared" si="10"/>
        <v>266.4</v>
      </c>
      <c r="F191" s="9">
        <f>99.9+166.5</f>
        <v>266.4</v>
      </c>
      <c r="G191" s="9"/>
      <c r="H191" s="9"/>
    </row>
    <row r="192" spans="1:8" ht="12.75">
      <c r="A192" s="67" t="s">
        <v>107</v>
      </c>
      <c r="B192" s="8"/>
      <c r="C192" s="68" t="s">
        <v>53</v>
      </c>
      <c r="D192" s="68" t="s">
        <v>20</v>
      </c>
      <c r="E192" s="7">
        <f t="shared" si="10"/>
        <v>441.00699999999995</v>
      </c>
      <c r="F192" s="7">
        <f>SUM(F193:F196)</f>
        <v>167.5</v>
      </c>
      <c r="G192" s="7">
        <f>SUM(G193:G196)</f>
        <v>133.875</v>
      </c>
      <c r="H192" s="7">
        <f>SUM(H193:H196)</f>
        <v>139.63199999999998</v>
      </c>
    </row>
    <row r="193" spans="1:8" ht="25.5">
      <c r="A193" s="67"/>
      <c r="B193" s="10" t="s">
        <v>42</v>
      </c>
      <c r="C193" s="68"/>
      <c r="D193" s="68"/>
      <c r="E193" s="9">
        <f t="shared" si="10"/>
        <v>130.524</v>
      </c>
      <c r="F193" s="9">
        <v>41.5</v>
      </c>
      <c r="G193" s="9">
        <v>43.575</v>
      </c>
      <c r="H193" s="9">
        <v>45.449</v>
      </c>
    </row>
    <row r="194" spans="1:8" ht="12.75">
      <c r="A194" s="67"/>
      <c r="B194" s="10" t="s">
        <v>43</v>
      </c>
      <c r="C194" s="68"/>
      <c r="D194" s="68"/>
      <c r="E194" s="9">
        <f t="shared" si="10"/>
        <v>222.419</v>
      </c>
      <c r="F194" s="9">
        <f>58+40</f>
        <v>98</v>
      </c>
      <c r="G194" s="9">
        <v>60.9</v>
      </c>
      <c r="H194" s="9">
        <v>63.519</v>
      </c>
    </row>
    <row r="195" spans="1:8" ht="25.5">
      <c r="A195" s="67"/>
      <c r="B195" s="10" t="s">
        <v>55</v>
      </c>
      <c r="C195" s="68"/>
      <c r="D195" s="68"/>
      <c r="E195" s="9">
        <f t="shared" si="10"/>
        <v>50.321999999999996</v>
      </c>
      <c r="F195" s="9">
        <v>16</v>
      </c>
      <c r="G195" s="9">
        <v>16.8</v>
      </c>
      <c r="H195" s="9">
        <v>17.522</v>
      </c>
    </row>
    <row r="196" spans="1:8" ht="25.5">
      <c r="A196" s="67"/>
      <c r="B196" s="10" t="s">
        <v>45</v>
      </c>
      <c r="C196" s="68"/>
      <c r="D196" s="68"/>
      <c r="E196" s="9">
        <f t="shared" si="10"/>
        <v>37.742000000000004</v>
      </c>
      <c r="F196" s="9">
        <v>12</v>
      </c>
      <c r="G196" s="9">
        <v>12.6</v>
      </c>
      <c r="H196" s="9">
        <v>13.142</v>
      </c>
    </row>
    <row r="197" spans="1:8" ht="12.75">
      <c r="A197" s="69" t="s">
        <v>186</v>
      </c>
      <c r="B197" s="10"/>
      <c r="C197" s="72" t="s">
        <v>53</v>
      </c>
      <c r="D197" s="72" t="s">
        <v>20</v>
      </c>
      <c r="E197" s="7">
        <f t="shared" si="10"/>
        <v>5.2</v>
      </c>
      <c r="F197" s="7">
        <f>SUM(F198)</f>
        <v>5.2</v>
      </c>
      <c r="G197" s="7">
        <f>SUM(G198)</f>
        <v>0</v>
      </c>
      <c r="H197" s="7">
        <f>SUM(H198)</f>
        <v>0</v>
      </c>
    </row>
    <row r="198" spans="1:8" ht="38.25">
      <c r="A198" s="71"/>
      <c r="B198" s="10" t="s">
        <v>236</v>
      </c>
      <c r="C198" s="74"/>
      <c r="D198" s="74"/>
      <c r="E198" s="9">
        <f t="shared" si="10"/>
        <v>5.2</v>
      </c>
      <c r="F198" s="9">
        <v>5.2</v>
      </c>
      <c r="G198" s="9"/>
      <c r="H198" s="9"/>
    </row>
    <row r="199" spans="1:8" ht="12.75">
      <c r="A199" s="67" t="s">
        <v>116</v>
      </c>
      <c r="B199" s="8"/>
      <c r="C199" s="68" t="s">
        <v>53</v>
      </c>
      <c r="D199" s="68" t="s">
        <v>20</v>
      </c>
      <c r="E199" s="7">
        <f t="shared" si="10"/>
        <v>574.462</v>
      </c>
      <c r="F199" s="7">
        <f>SUM(F200:F202)</f>
        <v>182.65</v>
      </c>
      <c r="G199" s="7">
        <f>SUM(G200:G202)</f>
        <v>191.78199999999998</v>
      </c>
      <c r="H199" s="7">
        <f>SUM(H200:H202)</f>
        <v>200.03</v>
      </c>
    </row>
    <row r="200" spans="1:8" ht="25.5">
      <c r="A200" s="67"/>
      <c r="B200" s="10" t="s">
        <v>36</v>
      </c>
      <c r="C200" s="68"/>
      <c r="D200" s="68"/>
      <c r="E200" s="9">
        <f t="shared" si="10"/>
        <v>110.08</v>
      </c>
      <c r="F200" s="9">
        <v>35</v>
      </c>
      <c r="G200" s="9">
        <v>36.75</v>
      </c>
      <c r="H200" s="9">
        <v>38.33</v>
      </c>
    </row>
    <row r="201" spans="1:8" ht="38.25">
      <c r="A201" s="67"/>
      <c r="B201" s="10" t="s">
        <v>185</v>
      </c>
      <c r="C201" s="68"/>
      <c r="D201" s="68"/>
      <c r="E201" s="9">
        <f t="shared" si="10"/>
        <v>213.833</v>
      </c>
      <c r="F201" s="9">
        <v>67.988</v>
      </c>
      <c r="G201" s="9">
        <v>71.387</v>
      </c>
      <c r="H201" s="9">
        <v>74.458</v>
      </c>
    </row>
    <row r="202" spans="1:8" ht="25.5">
      <c r="A202" s="67"/>
      <c r="B202" s="10" t="s">
        <v>182</v>
      </c>
      <c r="C202" s="68"/>
      <c r="D202" s="68"/>
      <c r="E202" s="9">
        <f t="shared" si="10"/>
        <v>250.54900000000004</v>
      </c>
      <c r="F202" s="9">
        <v>79.662</v>
      </c>
      <c r="G202" s="9">
        <v>83.645</v>
      </c>
      <c r="H202" s="9">
        <v>87.242</v>
      </c>
    </row>
    <row r="203" spans="1:8" ht="24" customHeight="1">
      <c r="A203" s="67" t="s">
        <v>115</v>
      </c>
      <c r="B203" s="10"/>
      <c r="C203" s="68" t="s">
        <v>53</v>
      </c>
      <c r="D203" s="68" t="s">
        <v>20</v>
      </c>
      <c r="E203" s="7">
        <f t="shared" si="10"/>
        <v>235.886</v>
      </c>
      <c r="F203" s="7">
        <f>SUM(F204)</f>
        <v>75</v>
      </c>
      <c r="G203" s="7">
        <f>SUM(G204)</f>
        <v>78.75</v>
      </c>
      <c r="H203" s="7">
        <f>SUM(H204)</f>
        <v>82.136</v>
      </c>
    </row>
    <row r="204" spans="1:8" ht="25.5">
      <c r="A204" s="67"/>
      <c r="B204" s="10" t="s">
        <v>117</v>
      </c>
      <c r="C204" s="68"/>
      <c r="D204" s="68"/>
      <c r="E204" s="9">
        <f t="shared" si="10"/>
        <v>235.886</v>
      </c>
      <c r="F204" s="9">
        <f>25+25+25</f>
        <v>75</v>
      </c>
      <c r="G204" s="9">
        <v>78.75</v>
      </c>
      <c r="H204" s="9">
        <v>82.136</v>
      </c>
    </row>
    <row r="205" spans="1:8" ht="12.75">
      <c r="A205" s="75" t="s">
        <v>164</v>
      </c>
      <c r="B205" s="10"/>
      <c r="C205" s="68" t="s">
        <v>53</v>
      </c>
      <c r="D205" s="68" t="s">
        <v>20</v>
      </c>
      <c r="E205" s="7">
        <f>F205+G205+H205</f>
        <v>66.655</v>
      </c>
      <c r="F205" s="7">
        <f>SUM(F206)</f>
        <v>66.655</v>
      </c>
      <c r="G205" s="9"/>
      <c r="H205" s="9"/>
    </row>
    <row r="206" spans="1:8" ht="25.5">
      <c r="A206" s="76"/>
      <c r="B206" s="8" t="s">
        <v>158</v>
      </c>
      <c r="C206" s="68"/>
      <c r="D206" s="68"/>
      <c r="E206" s="9">
        <f>F206+G206+H206</f>
        <v>66.655</v>
      </c>
      <c r="F206" s="9">
        <v>66.655</v>
      </c>
      <c r="G206" s="9"/>
      <c r="H206" s="9"/>
    </row>
    <row r="207" spans="1:8" ht="12.75" customHeight="1">
      <c r="A207" s="69" t="s">
        <v>96</v>
      </c>
      <c r="B207" s="8"/>
      <c r="C207" s="72" t="s">
        <v>56</v>
      </c>
      <c r="D207" s="72" t="s">
        <v>20</v>
      </c>
      <c r="E207" s="7">
        <f t="shared" si="10"/>
        <v>1028.5810000000001</v>
      </c>
      <c r="F207" s="7">
        <f>SUM(F208:F211)</f>
        <v>445.1</v>
      </c>
      <c r="G207" s="7">
        <f>SUM(G208:G211)</f>
        <v>285.6</v>
      </c>
      <c r="H207" s="7">
        <f>SUM(H208:H211)</f>
        <v>297.88100000000003</v>
      </c>
    </row>
    <row r="208" spans="1:8" ht="25.5">
      <c r="A208" s="70"/>
      <c r="B208" s="10" t="s">
        <v>40</v>
      </c>
      <c r="C208" s="73"/>
      <c r="D208" s="73"/>
      <c r="E208" s="9">
        <f t="shared" si="10"/>
        <v>251.37</v>
      </c>
      <c r="F208" s="9">
        <v>39</v>
      </c>
      <c r="G208" s="9">
        <v>103.95</v>
      </c>
      <c r="H208" s="9">
        <v>108.42</v>
      </c>
    </row>
    <row r="209" spans="1:8" ht="51">
      <c r="A209" s="70"/>
      <c r="B209" s="10" t="s">
        <v>241</v>
      </c>
      <c r="C209" s="73"/>
      <c r="D209" s="73"/>
      <c r="E209" s="9">
        <f t="shared" si="10"/>
        <v>232.74099999999999</v>
      </c>
      <c r="F209" s="9">
        <f>30+44</f>
        <v>74</v>
      </c>
      <c r="G209" s="9">
        <v>77.7</v>
      </c>
      <c r="H209" s="9">
        <v>81.041</v>
      </c>
    </row>
    <row r="210" spans="1:8" ht="12.75">
      <c r="A210" s="70"/>
      <c r="B210" s="10" t="s">
        <v>44</v>
      </c>
      <c r="C210" s="73"/>
      <c r="D210" s="73"/>
      <c r="E210" s="9">
        <f t="shared" si="10"/>
        <v>311.37</v>
      </c>
      <c r="F210" s="9">
        <v>99</v>
      </c>
      <c r="G210" s="9">
        <v>103.95</v>
      </c>
      <c r="H210" s="9">
        <v>108.42</v>
      </c>
    </row>
    <row r="211" spans="1:8" ht="12.75">
      <c r="A211" s="71"/>
      <c r="B211" s="10" t="s">
        <v>118</v>
      </c>
      <c r="C211" s="74"/>
      <c r="D211" s="74"/>
      <c r="E211" s="9">
        <f t="shared" si="10"/>
        <v>233.1</v>
      </c>
      <c r="F211" s="9">
        <f>99.9+133.2</f>
        <v>233.1</v>
      </c>
      <c r="G211" s="9"/>
      <c r="H211" s="9"/>
    </row>
    <row r="212" spans="1:8" ht="12.75">
      <c r="A212" s="67" t="s">
        <v>107</v>
      </c>
      <c r="B212" s="10"/>
      <c r="C212" s="68" t="s">
        <v>56</v>
      </c>
      <c r="D212" s="68" t="s">
        <v>20</v>
      </c>
      <c r="E212" s="7">
        <f aca="true" t="shared" si="11" ref="E212:E220">F212+G212+H212</f>
        <v>390.483</v>
      </c>
      <c r="F212" s="7">
        <f>SUM(F213:F215)</f>
        <v>206</v>
      </c>
      <c r="G212" s="7">
        <f>SUM(G213:G215)</f>
        <v>90.3</v>
      </c>
      <c r="H212" s="7">
        <f>SUM(H213:H215)</f>
        <v>94.18299999999999</v>
      </c>
    </row>
    <row r="213" spans="1:8" ht="25.5">
      <c r="A213" s="67"/>
      <c r="B213" s="10" t="s">
        <v>26</v>
      </c>
      <c r="C213" s="68"/>
      <c r="D213" s="68"/>
      <c r="E213" s="9">
        <f t="shared" si="11"/>
        <v>60</v>
      </c>
      <c r="F213" s="9">
        <v>60</v>
      </c>
      <c r="G213" s="9"/>
      <c r="H213" s="9"/>
    </row>
    <row r="214" spans="1:8" ht="12.75">
      <c r="A214" s="67"/>
      <c r="B214" s="10" t="s">
        <v>57</v>
      </c>
      <c r="C214" s="68"/>
      <c r="D214" s="68"/>
      <c r="E214" s="9">
        <f t="shared" si="11"/>
        <v>173.22500000000002</v>
      </c>
      <c r="F214" s="9">
        <f>36+60</f>
        <v>96</v>
      </c>
      <c r="G214" s="9">
        <v>37.8</v>
      </c>
      <c r="H214" s="9">
        <v>39.425</v>
      </c>
    </row>
    <row r="215" spans="1:8" ht="25.5">
      <c r="A215" s="67"/>
      <c r="B215" s="10" t="s">
        <v>35</v>
      </c>
      <c r="C215" s="68"/>
      <c r="D215" s="68"/>
      <c r="E215" s="9">
        <f t="shared" si="11"/>
        <v>157.258</v>
      </c>
      <c r="F215" s="9">
        <v>50</v>
      </c>
      <c r="G215" s="9">
        <v>52.5</v>
      </c>
      <c r="H215" s="9">
        <v>54.758</v>
      </c>
    </row>
    <row r="216" spans="1:8" ht="12.75">
      <c r="A216" s="67" t="s">
        <v>116</v>
      </c>
      <c r="B216" s="10"/>
      <c r="C216" s="68" t="s">
        <v>56</v>
      </c>
      <c r="D216" s="68" t="s">
        <v>20</v>
      </c>
      <c r="E216" s="7">
        <f t="shared" si="11"/>
        <v>371.127</v>
      </c>
      <c r="F216" s="7">
        <f>SUM(F217:F218)</f>
        <v>118</v>
      </c>
      <c r="G216" s="7">
        <f>SUM(G217:G218)</f>
        <v>123.9</v>
      </c>
      <c r="H216" s="7">
        <f>SUM(H217:H218)</f>
        <v>129.227</v>
      </c>
    </row>
    <row r="217" spans="1:8" ht="25.5">
      <c r="A217" s="67"/>
      <c r="B217" s="10" t="s">
        <v>36</v>
      </c>
      <c r="C217" s="68"/>
      <c r="D217" s="68"/>
      <c r="E217" s="9">
        <f t="shared" si="11"/>
        <v>72.338</v>
      </c>
      <c r="F217" s="9">
        <v>23</v>
      </c>
      <c r="G217" s="9">
        <v>24.15</v>
      </c>
      <c r="H217" s="9">
        <v>25.188</v>
      </c>
    </row>
    <row r="218" spans="1:8" ht="12.75">
      <c r="A218" s="67"/>
      <c r="B218" s="10" t="s">
        <v>37</v>
      </c>
      <c r="C218" s="68"/>
      <c r="D218" s="68"/>
      <c r="E218" s="9">
        <f t="shared" si="11"/>
        <v>298.789</v>
      </c>
      <c r="F218" s="9">
        <v>95</v>
      </c>
      <c r="G218" s="9">
        <v>99.75</v>
      </c>
      <c r="H218" s="9">
        <v>104.039</v>
      </c>
    </row>
    <row r="219" spans="1:8" ht="12.75">
      <c r="A219" s="67" t="s">
        <v>115</v>
      </c>
      <c r="B219" s="10"/>
      <c r="C219" s="68" t="s">
        <v>56</v>
      </c>
      <c r="D219" s="68" t="s">
        <v>20</v>
      </c>
      <c r="E219" s="7">
        <f t="shared" si="11"/>
        <v>160.403</v>
      </c>
      <c r="F219" s="7">
        <f>SUM(F220)</f>
        <v>51</v>
      </c>
      <c r="G219" s="7">
        <f>SUM(G220)</f>
        <v>53.55</v>
      </c>
      <c r="H219" s="7">
        <f>SUM(H220)</f>
        <v>55.853</v>
      </c>
    </row>
    <row r="220" spans="1:8" ht="38.25" customHeight="1">
      <c r="A220" s="67"/>
      <c r="B220" s="10" t="s">
        <v>58</v>
      </c>
      <c r="C220" s="68"/>
      <c r="D220" s="68"/>
      <c r="E220" s="9">
        <f t="shared" si="11"/>
        <v>160.403</v>
      </c>
      <c r="F220" s="9">
        <v>51</v>
      </c>
      <c r="G220" s="9">
        <v>53.55</v>
      </c>
      <c r="H220" s="9">
        <v>55.853</v>
      </c>
    </row>
    <row r="221" spans="1:8" ht="12.75">
      <c r="A221" s="75" t="s">
        <v>164</v>
      </c>
      <c r="B221" s="10"/>
      <c r="C221" s="68" t="s">
        <v>56</v>
      </c>
      <c r="D221" s="68" t="s">
        <v>20</v>
      </c>
      <c r="E221" s="7">
        <f>F221+G221+H221</f>
        <v>59.283</v>
      </c>
      <c r="F221" s="7">
        <f>SUM(F222)</f>
        <v>59.283</v>
      </c>
      <c r="G221" s="9"/>
      <c r="H221" s="9"/>
    </row>
    <row r="222" spans="1:8" ht="25.5">
      <c r="A222" s="76"/>
      <c r="B222" s="8" t="s">
        <v>158</v>
      </c>
      <c r="C222" s="68"/>
      <c r="D222" s="68"/>
      <c r="E222" s="9">
        <f>F222+G222+H222</f>
        <v>59.283</v>
      </c>
      <c r="F222" s="9">
        <v>59.283</v>
      </c>
      <c r="G222" s="9"/>
      <c r="H222" s="9"/>
    </row>
    <row r="223" spans="1:8" ht="12.75" customHeight="1">
      <c r="A223" s="69" t="s">
        <v>96</v>
      </c>
      <c r="B223" s="10"/>
      <c r="C223" s="72" t="s">
        <v>59</v>
      </c>
      <c r="D223" s="72" t="s">
        <v>20</v>
      </c>
      <c r="E223" s="7">
        <f aca="true" t="shared" si="12" ref="E223:E236">F223+G223+H223</f>
        <v>754.052</v>
      </c>
      <c r="F223" s="7">
        <f>SUM(F224:F226)</f>
        <v>402.34999999999997</v>
      </c>
      <c r="G223" s="7">
        <f>SUM(G224:G226)</f>
        <v>172.15</v>
      </c>
      <c r="H223" s="7">
        <f>SUM(H224:H226)</f>
        <v>179.552</v>
      </c>
    </row>
    <row r="224" spans="1:8" ht="25.5">
      <c r="A224" s="70"/>
      <c r="B224" s="10" t="s">
        <v>40</v>
      </c>
      <c r="C224" s="73"/>
      <c r="D224" s="73"/>
      <c r="E224" s="9">
        <f t="shared" si="12"/>
        <v>273.938</v>
      </c>
      <c r="F224" s="9">
        <v>68</v>
      </c>
      <c r="G224" s="9">
        <v>100.802</v>
      </c>
      <c r="H224" s="9">
        <v>105.136</v>
      </c>
    </row>
    <row r="225" spans="1:8" ht="25.5">
      <c r="A225" s="70"/>
      <c r="B225" s="10" t="s">
        <v>65</v>
      </c>
      <c r="C225" s="73"/>
      <c r="D225" s="73"/>
      <c r="E225" s="9">
        <f>F225+G225+H225</f>
        <v>213.714</v>
      </c>
      <c r="F225" s="9">
        <v>67.95</v>
      </c>
      <c r="G225" s="9">
        <v>71.348</v>
      </c>
      <c r="H225" s="9">
        <v>74.416</v>
      </c>
    </row>
    <row r="226" spans="1:8" ht="12.75">
      <c r="A226" s="71"/>
      <c r="B226" s="10" t="s">
        <v>118</v>
      </c>
      <c r="C226" s="74"/>
      <c r="D226" s="74"/>
      <c r="E226" s="9">
        <f>F226+G226+H226</f>
        <v>266.4</v>
      </c>
      <c r="F226" s="9">
        <f>99.9+166.5</f>
        <v>266.4</v>
      </c>
      <c r="G226" s="9"/>
      <c r="H226" s="9"/>
    </row>
    <row r="227" spans="1:8" ht="12.75">
      <c r="A227" s="67" t="s">
        <v>107</v>
      </c>
      <c r="B227" s="8"/>
      <c r="C227" s="68" t="s">
        <v>59</v>
      </c>
      <c r="D227" s="68" t="s">
        <v>20</v>
      </c>
      <c r="E227" s="7">
        <f t="shared" si="12"/>
        <v>673.375</v>
      </c>
      <c r="F227" s="7">
        <f>SUM(F228:F231)</f>
        <v>261.775</v>
      </c>
      <c r="G227" s="7">
        <f>SUM(G228:G231)</f>
        <v>201.469</v>
      </c>
      <c r="H227" s="7">
        <f>SUM(H228:H231)</f>
        <v>210.131</v>
      </c>
    </row>
    <row r="228" spans="1:8" ht="25.5">
      <c r="A228" s="67"/>
      <c r="B228" s="10" t="s">
        <v>60</v>
      </c>
      <c r="C228" s="68"/>
      <c r="D228" s="68"/>
      <c r="E228" s="9">
        <f t="shared" si="12"/>
        <v>237.291</v>
      </c>
      <c r="F228" s="9">
        <v>75.447</v>
      </c>
      <c r="G228" s="9">
        <v>79.219</v>
      </c>
      <c r="H228" s="9">
        <v>82.625</v>
      </c>
    </row>
    <row r="229" spans="1:8" ht="25.5">
      <c r="A229" s="67"/>
      <c r="B229" s="10" t="s">
        <v>61</v>
      </c>
      <c r="C229" s="68"/>
      <c r="D229" s="68"/>
      <c r="E229" s="9">
        <f t="shared" si="12"/>
        <v>7.3919999999999995</v>
      </c>
      <c r="F229" s="9">
        <v>2.35</v>
      </c>
      <c r="G229" s="9">
        <v>2.468</v>
      </c>
      <c r="H229" s="9">
        <v>2.574</v>
      </c>
    </row>
    <row r="230" spans="1:8" ht="12.75">
      <c r="A230" s="67"/>
      <c r="B230" s="10" t="s">
        <v>43</v>
      </c>
      <c r="C230" s="68"/>
      <c r="D230" s="68"/>
      <c r="E230" s="9">
        <f t="shared" si="12"/>
        <v>139.816</v>
      </c>
      <c r="F230" s="9">
        <f>22.198+70</f>
        <v>92.19800000000001</v>
      </c>
      <c r="G230" s="9">
        <v>23.308</v>
      </c>
      <c r="H230" s="9">
        <v>24.31</v>
      </c>
    </row>
    <row r="231" spans="1:8" ht="38.25">
      <c r="A231" s="67"/>
      <c r="B231" s="10" t="s">
        <v>62</v>
      </c>
      <c r="C231" s="68"/>
      <c r="D231" s="68"/>
      <c r="E231" s="9">
        <f t="shared" si="12"/>
        <v>288.87600000000003</v>
      </c>
      <c r="F231" s="9">
        <f>86.979+4.901-0.1</f>
        <v>91.78</v>
      </c>
      <c r="G231" s="9">
        <v>96.474</v>
      </c>
      <c r="H231" s="9">
        <v>100.622</v>
      </c>
    </row>
    <row r="232" spans="1:8" ht="12.75">
      <c r="A232" s="69" t="s">
        <v>186</v>
      </c>
      <c r="B232" s="10"/>
      <c r="C232" s="72" t="s">
        <v>59</v>
      </c>
      <c r="D232" s="72" t="s">
        <v>20</v>
      </c>
      <c r="E232" s="7">
        <f t="shared" si="12"/>
        <v>11</v>
      </c>
      <c r="F232" s="7">
        <f>SUM(F233)</f>
        <v>11</v>
      </c>
      <c r="G232" s="7">
        <f>SUM(G233)</f>
        <v>0</v>
      </c>
      <c r="H232" s="7">
        <f>SUM(H233)</f>
        <v>0</v>
      </c>
    </row>
    <row r="233" spans="1:8" ht="38.25">
      <c r="A233" s="71"/>
      <c r="B233" s="10" t="s">
        <v>237</v>
      </c>
      <c r="C233" s="74"/>
      <c r="D233" s="74"/>
      <c r="E233" s="9">
        <f t="shared" si="12"/>
        <v>11</v>
      </c>
      <c r="F233" s="9">
        <v>11</v>
      </c>
      <c r="G233" s="9"/>
      <c r="H233" s="9"/>
    </row>
    <row r="234" spans="1:8" ht="12.75">
      <c r="A234" s="67" t="s">
        <v>116</v>
      </c>
      <c r="B234" s="8"/>
      <c r="C234" s="68" t="s">
        <v>59</v>
      </c>
      <c r="D234" s="68" t="s">
        <v>20</v>
      </c>
      <c r="E234" s="7">
        <f t="shared" si="12"/>
        <v>221.041</v>
      </c>
      <c r="F234" s="7">
        <f>SUM(F235:F236)</f>
        <v>70.28</v>
      </c>
      <c r="G234" s="7">
        <f>SUM(G235:G236)</f>
        <v>73.79400000000001</v>
      </c>
      <c r="H234" s="7">
        <f>SUM(H235:H236)</f>
        <v>76.967</v>
      </c>
    </row>
    <row r="235" spans="1:8" ht="25.5">
      <c r="A235" s="67"/>
      <c r="B235" s="10" t="s">
        <v>36</v>
      </c>
      <c r="C235" s="68"/>
      <c r="D235" s="68"/>
      <c r="E235" s="9">
        <f t="shared" si="12"/>
        <v>25.179</v>
      </c>
      <c r="F235" s="9">
        <v>8.006</v>
      </c>
      <c r="G235" s="9">
        <v>8.406</v>
      </c>
      <c r="H235" s="9">
        <v>8.767</v>
      </c>
    </row>
    <row r="236" spans="1:8" ht="12.75">
      <c r="A236" s="67"/>
      <c r="B236" s="10" t="s">
        <v>37</v>
      </c>
      <c r="C236" s="68"/>
      <c r="D236" s="68"/>
      <c r="E236" s="9">
        <f t="shared" si="12"/>
        <v>195.86200000000002</v>
      </c>
      <c r="F236" s="9">
        <v>62.274</v>
      </c>
      <c r="G236" s="9">
        <v>65.388</v>
      </c>
      <c r="H236" s="9">
        <v>68.2</v>
      </c>
    </row>
    <row r="237" spans="1:8" ht="21.75" customHeight="1">
      <c r="A237" s="67" t="s">
        <v>115</v>
      </c>
      <c r="B237" s="10"/>
      <c r="C237" s="68" t="s">
        <v>59</v>
      </c>
      <c r="D237" s="68" t="s">
        <v>20</v>
      </c>
      <c r="E237" s="7">
        <f aca="true" t="shared" si="13" ref="E237:E244">F237+G237+H237</f>
        <v>28.102</v>
      </c>
      <c r="F237" s="7">
        <f>SUM(F238)</f>
        <v>28.102</v>
      </c>
      <c r="G237" s="9"/>
      <c r="H237" s="9"/>
    </row>
    <row r="238" spans="1:8" ht="33.75" customHeight="1">
      <c r="A238" s="67"/>
      <c r="B238" s="10" t="s">
        <v>58</v>
      </c>
      <c r="C238" s="68"/>
      <c r="D238" s="68"/>
      <c r="E238" s="9">
        <f t="shared" si="13"/>
        <v>28.102</v>
      </c>
      <c r="F238" s="9">
        <v>28.102</v>
      </c>
      <c r="G238" s="9"/>
      <c r="H238" s="9"/>
    </row>
    <row r="239" spans="1:8" ht="12.75">
      <c r="A239" s="75" t="s">
        <v>164</v>
      </c>
      <c r="B239" s="10"/>
      <c r="C239" s="68" t="s">
        <v>59</v>
      </c>
      <c r="D239" s="68" t="s">
        <v>20</v>
      </c>
      <c r="E239" s="7">
        <f t="shared" si="13"/>
        <v>82.205</v>
      </c>
      <c r="F239" s="7">
        <f>SUM(F240)</f>
        <v>82.205</v>
      </c>
      <c r="G239" s="9"/>
      <c r="H239" s="9"/>
    </row>
    <row r="240" spans="1:8" ht="25.5">
      <c r="A240" s="76"/>
      <c r="B240" s="8" t="s">
        <v>158</v>
      </c>
      <c r="C240" s="68"/>
      <c r="D240" s="68"/>
      <c r="E240" s="9">
        <f t="shared" si="13"/>
        <v>82.205</v>
      </c>
      <c r="F240" s="9">
        <v>82.205</v>
      </c>
      <c r="G240" s="9"/>
      <c r="H240" s="9"/>
    </row>
    <row r="241" spans="1:8" ht="12.75" customHeight="1">
      <c r="A241" s="69" t="s">
        <v>96</v>
      </c>
      <c r="B241" s="10"/>
      <c r="C241" s="72" t="s">
        <v>63</v>
      </c>
      <c r="D241" s="72" t="s">
        <v>20</v>
      </c>
      <c r="E241" s="7">
        <f t="shared" si="13"/>
        <v>1015.203</v>
      </c>
      <c r="F241" s="7">
        <f>SUM(F242:F244)</f>
        <v>504.48199999999997</v>
      </c>
      <c r="G241" s="7">
        <f>SUM(G242:G244)</f>
        <v>249.986</v>
      </c>
      <c r="H241" s="7">
        <f>SUM(H242:H244)</f>
        <v>260.735</v>
      </c>
    </row>
    <row r="242" spans="1:8" ht="51">
      <c r="A242" s="70"/>
      <c r="B242" s="10" t="s">
        <v>241</v>
      </c>
      <c r="C242" s="73"/>
      <c r="D242" s="73"/>
      <c r="E242" s="9">
        <f t="shared" si="13"/>
        <v>609.952</v>
      </c>
      <c r="F242" s="9">
        <f>99.113+59.929+34.892</f>
        <v>193.934</v>
      </c>
      <c r="G242" s="9">
        <v>203.631</v>
      </c>
      <c r="H242" s="9">
        <v>212.387</v>
      </c>
    </row>
    <row r="243" spans="1:8" ht="25.5" customHeight="1">
      <c r="A243" s="70"/>
      <c r="B243" s="8" t="s">
        <v>32</v>
      </c>
      <c r="C243" s="73"/>
      <c r="D243" s="73"/>
      <c r="E243" s="9">
        <f t="shared" si="13"/>
        <v>138.851</v>
      </c>
      <c r="F243" s="9">
        <v>44.148</v>
      </c>
      <c r="G243" s="9">
        <v>46.355</v>
      </c>
      <c r="H243" s="9">
        <v>48.348</v>
      </c>
    </row>
    <row r="244" spans="1:8" ht="12.75">
      <c r="A244" s="71"/>
      <c r="B244" s="10" t="s">
        <v>118</v>
      </c>
      <c r="C244" s="74"/>
      <c r="D244" s="74"/>
      <c r="E244" s="9">
        <f t="shared" si="13"/>
        <v>266.4</v>
      </c>
      <c r="F244" s="9">
        <f>99.9+166.5</f>
        <v>266.4</v>
      </c>
      <c r="G244" s="9"/>
      <c r="H244" s="9"/>
    </row>
    <row r="245" spans="1:8" ht="12.75">
      <c r="A245" s="67" t="s">
        <v>107</v>
      </c>
      <c r="B245" s="10"/>
      <c r="C245" s="68" t="s">
        <v>63</v>
      </c>
      <c r="D245" s="68" t="s">
        <v>20</v>
      </c>
      <c r="E245" s="7">
        <f aca="true" t="shared" si="14" ref="E245:E260">F245+G245+H245</f>
        <v>754.63</v>
      </c>
      <c r="F245" s="7">
        <f>SUM(F246:F250)</f>
        <v>267.216</v>
      </c>
      <c r="G245" s="7">
        <f>SUM(G246:G250)</f>
        <v>238.577</v>
      </c>
      <c r="H245" s="7">
        <f>SUM(H246:H250)</f>
        <v>248.837</v>
      </c>
    </row>
    <row r="246" spans="1:8" ht="25.5">
      <c r="A246" s="67"/>
      <c r="B246" s="10" t="s">
        <v>60</v>
      </c>
      <c r="C246" s="68"/>
      <c r="D246" s="68"/>
      <c r="E246" s="9">
        <f t="shared" si="14"/>
        <v>297.87300000000005</v>
      </c>
      <c r="F246" s="9">
        <f>58.756+35.953</f>
        <v>94.709</v>
      </c>
      <c r="G246" s="9">
        <v>99.444</v>
      </c>
      <c r="H246" s="9">
        <v>103.72</v>
      </c>
    </row>
    <row r="247" spans="1:8" ht="38.25">
      <c r="A247" s="67"/>
      <c r="B247" s="10" t="s">
        <v>64</v>
      </c>
      <c r="C247" s="68"/>
      <c r="D247" s="68"/>
      <c r="E247" s="9">
        <f t="shared" si="14"/>
        <v>45.26</v>
      </c>
      <c r="F247" s="9">
        <v>14.39</v>
      </c>
      <c r="G247" s="9">
        <v>15.11</v>
      </c>
      <c r="H247" s="9">
        <v>15.76</v>
      </c>
    </row>
    <row r="248" spans="1:8" ht="25.5">
      <c r="A248" s="67"/>
      <c r="B248" s="10" t="s">
        <v>34</v>
      </c>
      <c r="C248" s="68"/>
      <c r="D248" s="68"/>
      <c r="E248" s="9">
        <f t="shared" si="14"/>
        <v>100.042</v>
      </c>
      <c r="F248" s="9">
        <f>19.09+40</f>
        <v>59.09</v>
      </c>
      <c r="G248" s="9">
        <v>20.045</v>
      </c>
      <c r="H248" s="9">
        <v>20.907</v>
      </c>
    </row>
    <row r="249" spans="1:8" ht="25.5" customHeight="1">
      <c r="A249" s="67"/>
      <c r="B249" s="10" t="s">
        <v>35</v>
      </c>
      <c r="C249" s="68"/>
      <c r="D249" s="68"/>
      <c r="E249" s="9">
        <f t="shared" si="14"/>
        <v>166.942</v>
      </c>
      <c r="F249" s="9">
        <v>53.079</v>
      </c>
      <c r="G249" s="9">
        <v>55.733</v>
      </c>
      <c r="H249" s="9">
        <v>58.13</v>
      </c>
    </row>
    <row r="250" spans="1:8" ht="25.5">
      <c r="A250" s="67"/>
      <c r="B250" s="10" t="s">
        <v>55</v>
      </c>
      <c r="C250" s="68"/>
      <c r="D250" s="68"/>
      <c r="E250" s="9">
        <f t="shared" si="14"/>
        <v>144.513</v>
      </c>
      <c r="F250" s="9">
        <v>45.948</v>
      </c>
      <c r="G250" s="9">
        <v>48.245</v>
      </c>
      <c r="H250" s="9">
        <v>50.32</v>
      </c>
    </row>
    <row r="251" spans="1:8" ht="12.75">
      <c r="A251" s="67" t="s">
        <v>116</v>
      </c>
      <c r="B251" s="8"/>
      <c r="C251" s="68" t="s">
        <v>63</v>
      </c>
      <c r="D251" s="68" t="s">
        <v>20</v>
      </c>
      <c r="E251" s="7">
        <f t="shared" si="14"/>
        <v>320.13</v>
      </c>
      <c r="F251" s="7">
        <f>SUM(F252:F254)</f>
        <v>101.785</v>
      </c>
      <c r="G251" s="7">
        <f>SUM(G252:G254)</f>
        <v>106.875</v>
      </c>
      <c r="H251" s="7">
        <f>SUM(H252:H254)</f>
        <v>111.47</v>
      </c>
    </row>
    <row r="252" spans="1:8" ht="25.5">
      <c r="A252" s="67"/>
      <c r="B252" s="10" t="s">
        <v>67</v>
      </c>
      <c r="C252" s="68"/>
      <c r="D252" s="68"/>
      <c r="E252" s="9">
        <f t="shared" si="14"/>
        <v>5.954000000000001</v>
      </c>
      <c r="F252" s="9">
        <v>1.893</v>
      </c>
      <c r="G252" s="9">
        <v>1.988</v>
      </c>
      <c r="H252" s="9">
        <v>2.073</v>
      </c>
    </row>
    <row r="253" spans="1:8" ht="25.5">
      <c r="A253" s="67"/>
      <c r="B253" s="10" t="s">
        <v>36</v>
      </c>
      <c r="C253" s="68"/>
      <c r="D253" s="68"/>
      <c r="E253" s="9">
        <f t="shared" si="14"/>
        <v>19.371</v>
      </c>
      <c r="F253" s="9">
        <v>6.159</v>
      </c>
      <c r="G253" s="9">
        <v>6.467</v>
      </c>
      <c r="H253" s="9">
        <v>6.745</v>
      </c>
    </row>
    <row r="254" spans="1:8" ht="12.75">
      <c r="A254" s="67"/>
      <c r="B254" s="10" t="s">
        <v>37</v>
      </c>
      <c r="C254" s="68"/>
      <c r="D254" s="68"/>
      <c r="E254" s="9">
        <f t="shared" si="14"/>
        <v>294.805</v>
      </c>
      <c r="F254" s="9">
        <v>93.733</v>
      </c>
      <c r="G254" s="9">
        <v>98.42</v>
      </c>
      <c r="H254" s="9">
        <v>102.652</v>
      </c>
    </row>
    <row r="255" spans="1:8" ht="12.75">
      <c r="A255" s="67" t="s">
        <v>102</v>
      </c>
      <c r="B255" s="8"/>
      <c r="C255" s="68" t="s">
        <v>63</v>
      </c>
      <c r="D255" s="68" t="s">
        <v>20</v>
      </c>
      <c r="E255" s="7">
        <f t="shared" si="14"/>
        <v>2.1229999999999998</v>
      </c>
      <c r="F255" s="7">
        <f>SUM(F256)</f>
        <v>0.675</v>
      </c>
      <c r="G255" s="7">
        <f>SUM(G256)</f>
        <v>0.709</v>
      </c>
      <c r="H255" s="7">
        <f>SUM(H256)</f>
        <v>0.739</v>
      </c>
    </row>
    <row r="256" spans="1:8" ht="38.25">
      <c r="A256" s="67"/>
      <c r="B256" s="8" t="s">
        <v>68</v>
      </c>
      <c r="C256" s="68"/>
      <c r="D256" s="68"/>
      <c r="E256" s="9">
        <f t="shared" si="14"/>
        <v>2.1229999999999998</v>
      </c>
      <c r="F256" s="9">
        <v>0.675</v>
      </c>
      <c r="G256" s="9">
        <v>0.709</v>
      </c>
      <c r="H256" s="9">
        <v>0.739</v>
      </c>
    </row>
    <row r="257" spans="1:8" ht="27" customHeight="1">
      <c r="A257" s="67" t="s">
        <v>115</v>
      </c>
      <c r="B257" s="8"/>
      <c r="C257" s="68" t="s">
        <v>63</v>
      </c>
      <c r="D257" s="68" t="s">
        <v>20</v>
      </c>
      <c r="E257" s="7">
        <f t="shared" si="14"/>
        <v>227.212</v>
      </c>
      <c r="F257" s="7">
        <f>SUM(F258)</f>
        <v>72.242</v>
      </c>
      <c r="G257" s="7">
        <f>SUM(G258)</f>
        <v>75.854</v>
      </c>
      <c r="H257" s="7">
        <f>SUM(H258)</f>
        <v>79.116</v>
      </c>
    </row>
    <row r="258" spans="1:8" ht="24.75" customHeight="1">
      <c r="A258" s="67"/>
      <c r="B258" s="10" t="s">
        <v>69</v>
      </c>
      <c r="C258" s="68"/>
      <c r="D258" s="68"/>
      <c r="E258" s="9">
        <f t="shared" si="14"/>
        <v>227.212</v>
      </c>
      <c r="F258" s="9">
        <v>72.242</v>
      </c>
      <c r="G258" s="9">
        <v>75.854</v>
      </c>
      <c r="H258" s="9">
        <v>79.116</v>
      </c>
    </row>
    <row r="259" spans="1:8" ht="24.75" customHeight="1">
      <c r="A259" s="75" t="s">
        <v>164</v>
      </c>
      <c r="B259" s="10"/>
      <c r="C259" s="68" t="s">
        <v>63</v>
      </c>
      <c r="D259" s="68" t="s">
        <v>20</v>
      </c>
      <c r="E259" s="7">
        <f>F259+G259+H259</f>
        <v>93.893</v>
      </c>
      <c r="F259" s="7">
        <f>SUM(F260)</f>
        <v>93.893</v>
      </c>
      <c r="G259" s="7">
        <f>SUM(G260)</f>
        <v>0</v>
      </c>
      <c r="H259" s="7">
        <f>SUM(H260)</f>
        <v>0</v>
      </c>
    </row>
    <row r="260" spans="1:8" ht="25.5">
      <c r="A260" s="76"/>
      <c r="B260" s="8" t="s">
        <v>158</v>
      </c>
      <c r="C260" s="68"/>
      <c r="D260" s="68"/>
      <c r="E260" s="9">
        <f t="shared" si="14"/>
        <v>93.893</v>
      </c>
      <c r="F260" s="9">
        <f>20+73.893</f>
        <v>93.893</v>
      </c>
      <c r="G260" s="9"/>
      <c r="H260" s="9"/>
    </row>
    <row r="261" spans="1:8" ht="12.75">
      <c r="A261" s="84" t="s">
        <v>122</v>
      </c>
      <c r="B261" s="84"/>
      <c r="C261" s="84"/>
      <c r="D261" s="84"/>
      <c r="E261" s="84"/>
      <c r="F261" s="84"/>
      <c r="G261" s="84"/>
      <c r="H261" s="84"/>
    </row>
    <row r="262" spans="1:8" ht="12.75" customHeight="1">
      <c r="A262" s="75" t="s">
        <v>123</v>
      </c>
      <c r="B262" s="5"/>
      <c r="C262" s="72" t="s">
        <v>19</v>
      </c>
      <c r="D262" s="72" t="s">
        <v>20</v>
      </c>
      <c r="E262" s="7">
        <f>F262+G262+H262</f>
        <v>647.498</v>
      </c>
      <c r="F262" s="7">
        <f>F263+F264</f>
        <v>298.597</v>
      </c>
      <c r="G262" s="7">
        <f>G263+G264</f>
        <v>170.73</v>
      </c>
      <c r="H262" s="7">
        <f>H263+H264</f>
        <v>178.171</v>
      </c>
    </row>
    <row r="263" spans="1:8" ht="67.5" customHeight="1">
      <c r="A263" s="86"/>
      <c r="B263" s="8" t="s">
        <v>124</v>
      </c>
      <c r="C263" s="73"/>
      <c r="D263" s="73"/>
      <c r="E263" s="9">
        <f>F263+G263+H263</f>
        <v>511.501</v>
      </c>
      <c r="F263" s="9">
        <v>162.6</v>
      </c>
      <c r="G263" s="9">
        <v>170.73</v>
      </c>
      <c r="H263" s="9">
        <v>178.171</v>
      </c>
    </row>
    <row r="264" spans="1:8" ht="25.5">
      <c r="A264" s="76"/>
      <c r="B264" s="8" t="s">
        <v>158</v>
      </c>
      <c r="C264" s="74"/>
      <c r="D264" s="74"/>
      <c r="E264" s="9">
        <f>F264+G264+H264</f>
        <v>135.997</v>
      </c>
      <c r="F264" s="9">
        <v>135.997</v>
      </c>
      <c r="G264" s="9"/>
      <c r="H264" s="9"/>
    </row>
    <row r="265" spans="1:8" ht="12.75" customHeight="1">
      <c r="A265" s="79" t="s">
        <v>125</v>
      </c>
      <c r="B265" s="65"/>
      <c r="C265" s="65"/>
      <c r="D265" s="65"/>
      <c r="E265" s="65"/>
      <c r="F265" s="65"/>
      <c r="G265" s="65"/>
      <c r="H265" s="66"/>
    </row>
    <row r="266" spans="1:8" ht="12.75" customHeight="1">
      <c r="A266" s="69" t="s">
        <v>126</v>
      </c>
      <c r="B266" s="5"/>
      <c r="C266" s="72" t="s">
        <v>19</v>
      </c>
      <c r="D266" s="72" t="s">
        <v>20</v>
      </c>
      <c r="E266" s="7">
        <f>F266+G266+H266</f>
        <v>10047.898000000001</v>
      </c>
      <c r="F266" s="7">
        <f>F267+F268+F269</f>
        <v>10047.898000000001</v>
      </c>
      <c r="G266" s="7">
        <f>G267+G268+G269</f>
        <v>0</v>
      </c>
      <c r="H266" s="7">
        <f>H267+H268+H269</f>
        <v>0</v>
      </c>
    </row>
    <row r="267" spans="1:8" ht="51">
      <c r="A267" s="70"/>
      <c r="B267" s="8" t="s">
        <v>165</v>
      </c>
      <c r="C267" s="73"/>
      <c r="D267" s="73"/>
      <c r="E267" s="9">
        <f>F267+G267+H267</f>
        <v>45.761</v>
      </c>
      <c r="F267" s="9">
        <v>45.761</v>
      </c>
      <c r="G267" s="9"/>
      <c r="H267" s="9"/>
    </row>
    <row r="268" spans="1:8" ht="51">
      <c r="A268" s="70"/>
      <c r="B268" s="8" t="s">
        <v>174</v>
      </c>
      <c r="C268" s="73"/>
      <c r="D268" s="73"/>
      <c r="E268" s="9">
        <f>F268+G268+H268</f>
        <v>8741.82</v>
      </c>
      <c r="F268" s="9">
        <f>1449.3+3000+992.52+1600+1700</f>
        <v>8741.82</v>
      </c>
      <c r="G268" s="9"/>
      <c r="H268" s="9"/>
    </row>
    <row r="269" spans="1:8" ht="63.75">
      <c r="A269" s="70"/>
      <c r="B269" s="8" t="s">
        <v>166</v>
      </c>
      <c r="C269" s="73"/>
      <c r="D269" s="73"/>
      <c r="E269" s="9">
        <f>F269+G269+H269</f>
        <v>1260.317</v>
      </c>
      <c r="F269" s="9">
        <f>64.15+399.814+50.176+50.01+696.167</f>
        <v>1260.317</v>
      </c>
      <c r="G269" s="9"/>
      <c r="H269" s="9"/>
    </row>
    <row r="270" spans="1:8" s="2" customFormat="1" ht="12.75">
      <c r="A270" s="84" t="s">
        <v>267</v>
      </c>
      <c r="B270" s="84"/>
      <c r="C270" s="84"/>
      <c r="D270" s="84"/>
      <c r="E270" s="84"/>
      <c r="F270" s="84"/>
      <c r="G270" s="84"/>
      <c r="H270" s="84"/>
    </row>
    <row r="271" spans="1:8" s="2" customFormat="1" ht="12.75" customHeight="1">
      <c r="A271" s="75" t="s">
        <v>121</v>
      </c>
      <c r="B271" s="5"/>
      <c r="C271" s="72" t="s">
        <v>19</v>
      </c>
      <c r="D271" s="72" t="s">
        <v>20</v>
      </c>
      <c r="E271" s="7">
        <f>F271+G271+H271</f>
        <v>324.172</v>
      </c>
      <c r="F271" s="7">
        <f>F272+F273+F274</f>
        <v>113.947</v>
      </c>
      <c r="G271" s="7">
        <f>G272+G273+G274</f>
        <v>102.9</v>
      </c>
      <c r="H271" s="7">
        <f>H272+H273+H274</f>
        <v>107.325</v>
      </c>
    </row>
    <row r="272" spans="1:8" s="2" customFormat="1" ht="76.5">
      <c r="A272" s="86"/>
      <c r="B272" s="8" t="s">
        <v>120</v>
      </c>
      <c r="C272" s="73"/>
      <c r="D272" s="73"/>
      <c r="E272" s="9">
        <f>F272+G272+H272</f>
        <v>300.462</v>
      </c>
      <c r="F272" s="9">
        <f>98-7.763</f>
        <v>90.237</v>
      </c>
      <c r="G272" s="9">
        <v>102.9</v>
      </c>
      <c r="H272" s="9">
        <v>107.325</v>
      </c>
    </row>
    <row r="273" spans="1:8" s="2" customFormat="1" ht="25.5">
      <c r="A273" s="86"/>
      <c r="B273" s="8" t="s">
        <v>268</v>
      </c>
      <c r="C273" s="73"/>
      <c r="D273" s="73"/>
      <c r="E273" s="9">
        <f>F273+G273+H273</f>
        <v>7.763</v>
      </c>
      <c r="F273" s="9">
        <v>7.763</v>
      </c>
      <c r="G273" s="9"/>
      <c r="H273" s="9"/>
    </row>
    <row r="274" spans="1:8" s="2" customFormat="1" ht="25.5">
      <c r="A274" s="76"/>
      <c r="B274" s="8" t="s">
        <v>158</v>
      </c>
      <c r="C274" s="74"/>
      <c r="D274" s="74"/>
      <c r="E274" s="9">
        <f>F274+G274+H274</f>
        <v>15.947</v>
      </c>
      <c r="F274" s="9">
        <v>15.947</v>
      </c>
      <c r="G274" s="9"/>
      <c r="H274" s="9"/>
    </row>
    <row r="275" spans="1:8" ht="12.75">
      <c r="A275" s="21" t="s">
        <v>145</v>
      </c>
      <c r="B275" s="21"/>
      <c r="C275" s="5"/>
      <c r="D275" s="5"/>
      <c r="E275" s="7">
        <f>F275+G275+H275</f>
        <v>721199.189</v>
      </c>
      <c r="F275" s="7">
        <f>F16+F35+F52+F66+F70+F73+F84+F92+F97+F115+F133+F136+F141+F144+F146+F148+F152+F159+F163+F165+F170+F172+F179+F182+F184+F186+F192+F197+F199+F203+F205+F207+F212+F216+F219+F221+F223+F227+F232+F234+F237+F239+F241+F245+F251+F255+F257+F259+F262+F266+F271</f>
        <v>258692.157</v>
      </c>
      <c r="G275" s="7">
        <f>G16+G35+G52+G66+G70+G73+G84+G92+G97+G115+G133+G136+G141+G144+G146+G148+G152+G159+G163+G165+G170+G172+G179+G182+G184+G186+G192+G197+G199+G203+G205+G207+G212+G216+G219+G221+G223+G227+G232+G234+G237+G239+G241+G245+G251+G255+G257+G259+G262+G266+G271</f>
        <v>267969.976</v>
      </c>
      <c r="H275" s="7">
        <f>H16+H35+H52+H66+H70+H73+H84+H92+H97+H115+H133+H136+H141+H144+H146+H148+H152+H159+H163+H165+H170+H172+H179+H182+H184+H186+H192+H197+H199+H203+H205+H207+H212+H216+H219+H221+H223+H227+H232+H234+H237+H239+H241+H245+H251+H255+H257+H259+H262+H266+H271</f>
        <v>194537.05600000004</v>
      </c>
    </row>
    <row r="276" spans="1:8" ht="12.75">
      <c r="A276" s="79" t="s">
        <v>244</v>
      </c>
      <c r="B276" s="65"/>
      <c r="C276" s="65"/>
      <c r="D276" s="65"/>
      <c r="E276" s="65"/>
      <c r="F276" s="65"/>
      <c r="G276" s="65"/>
      <c r="H276" s="66"/>
    </row>
    <row r="277" spans="1:8" ht="12.75">
      <c r="A277" s="5"/>
      <c r="B277" s="5"/>
      <c r="C277" s="100"/>
      <c r="D277" s="72" t="s">
        <v>243</v>
      </c>
      <c r="E277" s="7">
        <f>F277+G277+H277</f>
        <v>2700</v>
      </c>
      <c r="F277" s="7">
        <f>F278+F279</f>
        <v>2700</v>
      </c>
      <c r="G277" s="7">
        <f>G278+G279</f>
        <v>0</v>
      </c>
      <c r="H277" s="7">
        <f>H278+H279</f>
        <v>0</v>
      </c>
    </row>
    <row r="278" spans="1:8" ht="140.25">
      <c r="A278" s="21" t="s">
        <v>242</v>
      </c>
      <c r="B278" s="8" t="s">
        <v>258</v>
      </c>
      <c r="C278" s="101"/>
      <c r="D278" s="73"/>
      <c r="E278" s="9">
        <f>F278+G278+H278</f>
        <v>2400</v>
      </c>
      <c r="F278" s="9">
        <v>2400</v>
      </c>
      <c r="G278" s="9"/>
      <c r="H278" s="9"/>
    </row>
    <row r="279" spans="1:8" ht="127.5">
      <c r="A279" s="21" t="s">
        <v>246</v>
      </c>
      <c r="B279" s="8" t="s">
        <v>248</v>
      </c>
      <c r="C279" s="102"/>
      <c r="D279" s="74"/>
      <c r="E279" s="9">
        <f>F279+G279+H279</f>
        <v>300</v>
      </c>
      <c r="F279" s="9">
        <v>300</v>
      </c>
      <c r="G279" s="9"/>
      <c r="H279" s="9"/>
    </row>
    <row r="281" ht="12.75">
      <c r="F281" s="25"/>
    </row>
    <row r="282" spans="1:8" s="27" customFormat="1" ht="18.75">
      <c r="A282" s="85" t="s">
        <v>146</v>
      </c>
      <c r="B282" s="85"/>
      <c r="C282" s="28"/>
      <c r="D282" s="28"/>
      <c r="E282" s="28"/>
      <c r="F282" s="28"/>
      <c r="G282" s="85" t="s">
        <v>147</v>
      </c>
      <c r="H282" s="85"/>
    </row>
  </sheetData>
  <sheetProtection/>
  <mergeCells count="184">
    <mergeCell ref="A207:A211"/>
    <mergeCell ref="A216:A218"/>
    <mergeCell ref="D216:D218"/>
    <mergeCell ref="A219:A220"/>
    <mergeCell ref="A212:A215"/>
    <mergeCell ref="D212:D215"/>
    <mergeCell ref="C277:C279"/>
    <mergeCell ref="D277:D279"/>
    <mergeCell ref="C59:C60"/>
    <mergeCell ref="D136:D140"/>
    <mergeCell ref="D84:D91"/>
    <mergeCell ref="D97:D113"/>
    <mergeCell ref="D148:D151"/>
    <mergeCell ref="D159:D162"/>
    <mergeCell ref="C73:C83"/>
    <mergeCell ref="D207:D211"/>
    <mergeCell ref="D61:D62"/>
    <mergeCell ref="C63:C64"/>
    <mergeCell ref="D63:D64"/>
    <mergeCell ref="C97:C113"/>
    <mergeCell ref="A65:H65"/>
    <mergeCell ref="A66:A68"/>
    <mergeCell ref="C66:C68"/>
    <mergeCell ref="D66:D68"/>
    <mergeCell ref="C136:C140"/>
    <mergeCell ref="C133:C135"/>
    <mergeCell ref="C92:C96"/>
    <mergeCell ref="A163:A164"/>
    <mergeCell ref="A159:A162"/>
    <mergeCell ref="C144:C145"/>
    <mergeCell ref="C115:C132"/>
    <mergeCell ref="C146:C147"/>
    <mergeCell ref="C159:C162"/>
    <mergeCell ref="A97:A114"/>
    <mergeCell ref="A170:A171"/>
    <mergeCell ref="A133:A135"/>
    <mergeCell ref="A165:A169"/>
    <mergeCell ref="A144:A145"/>
    <mergeCell ref="G282:H282"/>
    <mergeCell ref="C197:C198"/>
    <mergeCell ref="D266:D269"/>
    <mergeCell ref="D245:D250"/>
    <mergeCell ref="D221:D222"/>
    <mergeCell ref="D239:D240"/>
    <mergeCell ref="D234:D236"/>
    <mergeCell ref="D262:D264"/>
    <mergeCell ref="C241:C244"/>
    <mergeCell ref="C216:C218"/>
    <mergeCell ref="D165:D169"/>
    <mergeCell ref="A15:H15"/>
    <mergeCell ref="A16:A33"/>
    <mergeCell ref="C16:C33"/>
    <mergeCell ref="D16:D33"/>
    <mergeCell ref="C165:C169"/>
    <mergeCell ref="A51:H51"/>
    <mergeCell ref="D92:D96"/>
    <mergeCell ref="A34:H34"/>
    <mergeCell ref="A35:A50"/>
    <mergeCell ref="C271:C274"/>
    <mergeCell ref="D271:D274"/>
    <mergeCell ref="A265:H265"/>
    <mergeCell ref="A270:H270"/>
    <mergeCell ref="A266:A269"/>
    <mergeCell ref="C266:C269"/>
    <mergeCell ref="A192:A196"/>
    <mergeCell ref="D170:D171"/>
    <mergeCell ref="C262:C264"/>
    <mergeCell ref="A205:A206"/>
    <mergeCell ref="C205:C206"/>
    <mergeCell ref="C219:C220"/>
    <mergeCell ref="D219:D220"/>
    <mergeCell ref="C212:C215"/>
    <mergeCell ref="A179:A181"/>
    <mergeCell ref="C170:C171"/>
    <mergeCell ref="D197:D198"/>
    <mergeCell ref="D203:D204"/>
    <mergeCell ref="C207:C211"/>
    <mergeCell ref="A262:A264"/>
    <mergeCell ref="A232:A233"/>
    <mergeCell ref="C232:C233"/>
    <mergeCell ref="D232:D233"/>
    <mergeCell ref="C234:C236"/>
    <mergeCell ref="C237:C238"/>
    <mergeCell ref="A223:A226"/>
    <mergeCell ref="D205:D206"/>
    <mergeCell ref="C199:C202"/>
    <mergeCell ref="C203:C204"/>
    <mergeCell ref="F1:H1"/>
    <mergeCell ref="F2:H2"/>
    <mergeCell ref="E12:E13"/>
    <mergeCell ref="F12:H12"/>
    <mergeCell ref="E11:H11"/>
    <mergeCell ref="A8:H8"/>
    <mergeCell ref="A9:H9"/>
    <mergeCell ref="D11:D13"/>
    <mergeCell ref="A11:A13"/>
    <mergeCell ref="B11:B13"/>
    <mergeCell ref="A227:A231"/>
    <mergeCell ref="C227:C231"/>
    <mergeCell ref="D227:D231"/>
    <mergeCell ref="A221:A222"/>
    <mergeCell ref="C221:C222"/>
    <mergeCell ref="C223:C226"/>
    <mergeCell ref="D223:D226"/>
    <mergeCell ref="C257:C258"/>
    <mergeCell ref="A282:B282"/>
    <mergeCell ref="C259:C260"/>
    <mergeCell ref="D259:D260"/>
    <mergeCell ref="A259:A260"/>
    <mergeCell ref="A276:H276"/>
    <mergeCell ref="A261:H261"/>
    <mergeCell ref="D257:D258"/>
    <mergeCell ref="A257:A258"/>
    <mergeCell ref="A271:A274"/>
    <mergeCell ref="D172:D178"/>
    <mergeCell ref="D152:D158"/>
    <mergeCell ref="C251:C254"/>
    <mergeCell ref="D251:D254"/>
    <mergeCell ref="C245:C250"/>
    <mergeCell ref="C239:C240"/>
    <mergeCell ref="D179:D181"/>
    <mergeCell ref="C172:C178"/>
    <mergeCell ref="C182:C183"/>
    <mergeCell ref="C179:C181"/>
    <mergeCell ref="F3:H3"/>
    <mergeCell ref="F5:H5"/>
    <mergeCell ref="F6:H6"/>
    <mergeCell ref="D73:D83"/>
    <mergeCell ref="D35:D50"/>
    <mergeCell ref="D59:D60"/>
    <mergeCell ref="A72:H72"/>
    <mergeCell ref="C52:C58"/>
    <mergeCell ref="D52:D58"/>
    <mergeCell ref="C61:C62"/>
    <mergeCell ref="C11:C13"/>
    <mergeCell ref="A152:A158"/>
    <mergeCell ref="C152:C158"/>
    <mergeCell ref="A141:A143"/>
    <mergeCell ref="A115:A132"/>
    <mergeCell ref="A136:A140"/>
    <mergeCell ref="C141:C143"/>
    <mergeCell ref="A148:A151"/>
    <mergeCell ref="C148:C151"/>
    <mergeCell ref="A146:A147"/>
    <mergeCell ref="C35:C50"/>
    <mergeCell ref="A84:A91"/>
    <mergeCell ref="A92:A96"/>
    <mergeCell ref="A73:A83"/>
    <mergeCell ref="C84:C91"/>
    <mergeCell ref="A52:A64"/>
    <mergeCell ref="A69:H69"/>
    <mergeCell ref="A70:A71"/>
    <mergeCell ref="C70:C71"/>
    <mergeCell ref="D70:D71"/>
    <mergeCell ref="A251:A254"/>
    <mergeCell ref="D115:D132"/>
    <mergeCell ref="D133:D135"/>
    <mergeCell ref="C186:C191"/>
    <mergeCell ref="D182:D183"/>
    <mergeCell ref="D144:D145"/>
    <mergeCell ref="D141:D143"/>
    <mergeCell ref="A182:A183"/>
    <mergeCell ref="A172:A178"/>
    <mergeCell ref="A184:A185"/>
    <mergeCell ref="A255:A256"/>
    <mergeCell ref="C255:C256"/>
    <mergeCell ref="A234:A236"/>
    <mergeCell ref="D241:D244"/>
    <mergeCell ref="D255:D256"/>
    <mergeCell ref="A245:A250"/>
    <mergeCell ref="A239:A240"/>
    <mergeCell ref="A241:A244"/>
    <mergeCell ref="D237:D238"/>
    <mergeCell ref="A237:A238"/>
    <mergeCell ref="A203:A204"/>
    <mergeCell ref="C184:C185"/>
    <mergeCell ref="D184:D185"/>
    <mergeCell ref="A186:A191"/>
    <mergeCell ref="D186:D191"/>
    <mergeCell ref="A197:A198"/>
    <mergeCell ref="A199:A202"/>
    <mergeCell ref="D199:D202"/>
    <mergeCell ref="D192:D196"/>
    <mergeCell ref="C192:C196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4" manualBreakCount="4">
    <brk id="64" max="7" man="1"/>
    <brk id="114" max="7" man="1"/>
    <brk id="147" max="7" man="1"/>
    <brk id="1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1" spans="4:6" s="29" customFormat="1" ht="18.75" customHeight="1">
      <c r="D1" s="85" t="s">
        <v>183</v>
      </c>
      <c r="E1" s="85"/>
      <c r="F1" s="27"/>
    </row>
    <row r="2" spans="4:6" s="29" customFormat="1" ht="18.75" customHeight="1">
      <c r="D2" s="85" t="s">
        <v>184</v>
      </c>
      <c r="E2" s="85"/>
      <c r="F2" s="27"/>
    </row>
    <row r="3" spans="4:6" ht="18.75" customHeight="1">
      <c r="D3" s="123" t="s">
        <v>276</v>
      </c>
      <c r="E3" s="83"/>
      <c r="F3" s="83"/>
    </row>
    <row r="4" spans="4:6" ht="12.75">
      <c r="D4" s="44"/>
      <c r="E4" s="44"/>
      <c r="F4" s="1"/>
    </row>
    <row r="5" spans="4:6" ht="18.75" customHeight="1">
      <c r="D5" s="29" t="s">
        <v>18</v>
      </c>
      <c r="E5" s="29"/>
      <c r="F5" s="27"/>
    </row>
    <row r="6" spans="4:6" ht="94.5" customHeight="1">
      <c r="D6" s="103" t="s">
        <v>167</v>
      </c>
      <c r="E6" s="103"/>
      <c r="F6" s="27"/>
    </row>
    <row r="8" spans="1:5" s="29" customFormat="1" ht="18.75">
      <c r="A8" s="106" t="s">
        <v>22</v>
      </c>
      <c r="B8" s="106"/>
      <c r="C8" s="106"/>
      <c r="D8" s="106"/>
      <c r="E8" s="106"/>
    </row>
    <row r="9" spans="1:5" s="29" customFormat="1" ht="18.75">
      <c r="A9" s="107" t="s">
        <v>88</v>
      </c>
      <c r="B9" s="107"/>
      <c r="C9" s="107"/>
      <c r="D9" s="107"/>
      <c r="E9" s="107"/>
    </row>
    <row r="10" spans="1:5" ht="12.75">
      <c r="A10" s="12"/>
      <c r="B10" s="12"/>
      <c r="C10" s="12"/>
      <c r="D10" s="12"/>
      <c r="E10" s="12"/>
    </row>
    <row r="11" spans="1:5" ht="12.75">
      <c r="A11" s="105"/>
      <c r="B11" s="105" t="s">
        <v>8</v>
      </c>
      <c r="C11" s="105" t="s">
        <v>9</v>
      </c>
      <c r="D11" s="105"/>
      <c r="E11" s="105"/>
    </row>
    <row r="12" spans="1:5" ht="12.75">
      <c r="A12" s="105"/>
      <c r="B12" s="105"/>
      <c r="C12" s="13">
        <v>2013</v>
      </c>
      <c r="D12" s="13">
        <v>2014</v>
      </c>
      <c r="E12" s="13">
        <v>2015</v>
      </c>
    </row>
    <row r="13" spans="1:5" s="1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169</v>
      </c>
      <c r="B14" s="15">
        <f>C14+D14+E14</f>
        <v>721199.189</v>
      </c>
      <c r="C14" s="15">
        <f>'додаток 1'!F275</f>
        <v>258692.157</v>
      </c>
      <c r="D14" s="15">
        <f>'додаток 1'!G275</f>
        <v>267969.976</v>
      </c>
      <c r="E14" s="15">
        <f>'додаток 1'!H275</f>
        <v>194537.05600000004</v>
      </c>
      <c r="F14" s="16"/>
    </row>
    <row r="15" spans="1:6" ht="12.75">
      <c r="A15" s="14" t="s">
        <v>170</v>
      </c>
      <c r="B15" s="15"/>
      <c r="C15" s="15"/>
      <c r="D15" s="15"/>
      <c r="E15" s="15"/>
      <c r="F15" s="16"/>
    </row>
    <row r="16" spans="1:6" s="32" customFormat="1" ht="51">
      <c r="A16" s="22" t="s">
        <v>171</v>
      </c>
      <c r="B16" s="30">
        <f>C16+D16+E16</f>
        <v>96852.06361499999</v>
      </c>
      <c r="C16" s="30">
        <v>30794.1</v>
      </c>
      <c r="D16" s="30">
        <f>C16*1.05</f>
        <v>32333.805</v>
      </c>
      <c r="E16" s="30">
        <f>D16*1.043</f>
        <v>33724.158615</v>
      </c>
      <c r="F16" s="31"/>
    </row>
    <row r="17" spans="1:6" s="32" customFormat="1" ht="12.75">
      <c r="A17" s="33" t="s">
        <v>172</v>
      </c>
      <c r="B17" s="30">
        <f>C17+D17+E17</f>
        <v>387.7844144</v>
      </c>
      <c r="C17" s="30">
        <v>123.296</v>
      </c>
      <c r="D17" s="30">
        <f>C17*1.05</f>
        <v>129.4608</v>
      </c>
      <c r="E17" s="30">
        <f>D17*1.043</f>
        <v>135.0276144</v>
      </c>
      <c r="F17" s="31"/>
    </row>
    <row r="18" spans="1:5" ht="12.75">
      <c r="A18" s="14" t="s">
        <v>10</v>
      </c>
      <c r="B18" s="15">
        <f>C18+D18+E18</f>
        <v>0</v>
      </c>
      <c r="C18" s="15"/>
      <c r="D18" s="15"/>
      <c r="E18" s="15"/>
    </row>
    <row r="19" spans="1:5" ht="12.75">
      <c r="A19" s="14" t="s">
        <v>11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89</v>
      </c>
      <c r="B20" s="15">
        <f>C20+D20+E20</f>
        <v>0</v>
      </c>
      <c r="C20" s="13"/>
      <c r="D20" s="17"/>
      <c r="E20" s="17"/>
    </row>
    <row r="21" spans="1:5" ht="19.5" customHeight="1">
      <c r="A21" s="14" t="s">
        <v>12</v>
      </c>
      <c r="B21" s="15">
        <f>B14+B18+B19+B20</f>
        <v>721199.189</v>
      </c>
      <c r="C21" s="15">
        <f>C14+C18+C19+C20</f>
        <v>258692.157</v>
      </c>
      <c r="D21" s="15">
        <f>D14+D18+D19+D20</f>
        <v>267969.976</v>
      </c>
      <c r="E21" s="15">
        <f>E14+E18+E19+E20</f>
        <v>194537.05600000004</v>
      </c>
    </row>
    <row r="24" spans="1:5" s="29" customFormat="1" ht="18.75">
      <c r="A24" s="29" t="s">
        <v>146</v>
      </c>
      <c r="D24" s="104" t="s">
        <v>147</v>
      </c>
      <c r="E24" s="104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6:E6"/>
    <mergeCell ref="D3:F3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28"/>
  <sheetViews>
    <sheetView view="pageBreakPreview" zoomScaleSheetLayoutView="100" zoomScalePageLayoutView="0" workbookViewId="0" topLeftCell="A1">
      <selection activeCell="E5" sqref="E5:G5"/>
    </sheetView>
  </sheetViews>
  <sheetFormatPr defaultColWidth="9.140625" defaultRowHeight="12.75"/>
  <cols>
    <col min="1" max="1" width="36.7109375" style="50" customWidth="1"/>
    <col min="2" max="2" width="28.00390625" style="49" customWidth="1"/>
    <col min="3" max="3" width="9.140625" style="4" customWidth="1"/>
    <col min="4" max="4" width="16.421875" style="49" customWidth="1"/>
    <col min="5" max="5" width="16.7109375" style="49" customWidth="1"/>
    <col min="6" max="6" width="15.140625" style="49" customWidth="1"/>
    <col min="7" max="7" width="16.140625" style="49" customWidth="1"/>
    <col min="8" max="8" width="0.13671875" style="49" customWidth="1"/>
    <col min="9" max="16384" width="9.140625" style="49" customWidth="1"/>
  </cols>
  <sheetData>
    <row r="1" spans="3:7" s="47" customFormat="1" ht="18.75" customHeight="1">
      <c r="C1" s="48"/>
      <c r="E1" s="85" t="s">
        <v>183</v>
      </c>
      <c r="F1" s="85"/>
      <c r="G1" s="85"/>
    </row>
    <row r="2" spans="3:7" s="47" customFormat="1" ht="18.75" customHeight="1">
      <c r="C2" s="48"/>
      <c r="E2" s="85" t="s">
        <v>184</v>
      </c>
      <c r="F2" s="85"/>
      <c r="G2" s="85"/>
    </row>
    <row r="3" spans="3:7" s="47" customFormat="1" ht="18.75" customHeight="1">
      <c r="C3" s="48"/>
      <c r="E3" s="123" t="s">
        <v>276</v>
      </c>
      <c r="F3" s="83"/>
      <c r="G3" s="83"/>
    </row>
    <row r="4" ht="12.75">
      <c r="A4" s="49"/>
    </row>
    <row r="5" spans="1:7" ht="18.75">
      <c r="A5" s="49"/>
      <c r="E5" s="113" t="s">
        <v>81</v>
      </c>
      <c r="F5" s="113"/>
      <c r="G5" s="113"/>
    </row>
    <row r="6" spans="1:7" ht="54" customHeight="1">
      <c r="A6" s="49"/>
      <c r="E6" s="113" t="s">
        <v>168</v>
      </c>
      <c r="F6" s="113"/>
      <c r="G6" s="113"/>
    </row>
    <row r="7" ht="12.75">
      <c r="A7" s="49"/>
    </row>
    <row r="8" spans="1:7" s="47" customFormat="1" ht="18.75">
      <c r="A8" s="117" t="s">
        <v>21</v>
      </c>
      <c r="B8" s="117"/>
      <c r="C8" s="117"/>
      <c r="D8" s="117"/>
      <c r="E8" s="117"/>
      <c r="F8" s="117"/>
      <c r="G8" s="117"/>
    </row>
    <row r="9" spans="1:7" s="47" customFormat="1" ht="18.75">
      <c r="A9" s="116" t="s">
        <v>90</v>
      </c>
      <c r="B9" s="116"/>
      <c r="C9" s="116"/>
      <c r="D9" s="116"/>
      <c r="E9" s="116"/>
      <c r="F9" s="116"/>
      <c r="G9" s="116"/>
    </row>
    <row r="11" spans="1:8" ht="12.75">
      <c r="A11" s="82" t="s">
        <v>0</v>
      </c>
      <c r="B11" s="82" t="s">
        <v>13</v>
      </c>
      <c r="C11" s="82" t="s">
        <v>14</v>
      </c>
      <c r="D11" s="82" t="s">
        <v>17</v>
      </c>
      <c r="E11" s="82"/>
      <c r="F11" s="82"/>
      <c r="G11" s="82"/>
      <c r="H11" s="51"/>
    </row>
    <row r="12" spans="1:8" ht="12.75">
      <c r="A12" s="82"/>
      <c r="B12" s="82"/>
      <c r="C12" s="82"/>
      <c r="D12" s="82" t="s">
        <v>15</v>
      </c>
      <c r="E12" s="82" t="s">
        <v>16</v>
      </c>
      <c r="F12" s="82"/>
      <c r="G12" s="82"/>
      <c r="H12" s="51"/>
    </row>
    <row r="13" spans="1:8" ht="24" customHeight="1">
      <c r="A13" s="82"/>
      <c r="B13" s="82"/>
      <c r="C13" s="82"/>
      <c r="D13" s="82"/>
      <c r="E13" s="3">
        <v>2013</v>
      </c>
      <c r="F13" s="3">
        <v>2014</v>
      </c>
      <c r="G13" s="3">
        <v>2015</v>
      </c>
      <c r="H13" s="51"/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/>
    </row>
    <row r="15" spans="1:8" s="4" customFormat="1" ht="12.75">
      <c r="A15" s="84" t="s">
        <v>135</v>
      </c>
      <c r="B15" s="111"/>
      <c r="C15" s="111"/>
      <c r="D15" s="111"/>
      <c r="E15" s="111"/>
      <c r="F15" s="111"/>
      <c r="G15" s="111"/>
      <c r="H15" s="111"/>
    </row>
    <row r="16" spans="1:8" s="4" customFormat="1" ht="12.75">
      <c r="A16" s="68" t="s">
        <v>70</v>
      </c>
      <c r="B16" s="68"/>
      <c r="C16" s="68"/>
      <c r="D16" s="68"/>
      <c r="E16" s="68"/>
      <c r="F16" s="68"/>
      <c r="G16" s="68"/>
      <c r="H16" s="3"/>
    </row>
    <row r="17" spans="1:8" s="4" customFormat="1" ht="25.5">
      <c r="A17" s="109" t="s">
        <v>142</v>
      </c>
      <c r="B17" s="39" t="s">
        <v>190</v>
      </c>
      <c r="C17" s="6" t="s">
        <v>148</v>
      </c>
      <c r="D17" s="19">
        <f>E17+F17+G17</f>
        <v>51</v>
      </c>
      <c r="E17" s="6">
        <v>33</v>
      </c>
      <c r="F17" s="6">
        <v>9</v>
      </c>
      <c r="G17" s="6">
        <v>9</v>
      </c>
      <c r="H17" s="3"/>
    </row>
    <row r="18" spans="1:8" s="4" customFormat="1" ht="25.5">
      <c r="A18" s="115"/>
      <c r="B18" s="39" t="s">
        <v>189</v>
      </c>
      <c r="C18" s="6" t="s">
        <v>149</v>
      </c>
      <c r="D18" s="9">
        <f aca="true" t="shared" si="0" ref="D18:D38">E18+F18+G18</f>
        <v>155.502</v>
      </c>
      <c r="E18" s="52">
        <v>26.876</v>
      </c>
      <c r="F18" s="6">
        <v>64.313</v>
      </c>
      <c r="G18" s="6">
        <v>64.313</v>
      </c>
      <c r="H18" s="3"/>
    </row>
    <row r="19" spans="1:8" s="4" customFormat="1" ht="25.5">
      <c r="A19" s="115"/>
      <c r="B19" s="39" t="s">
        <v>191</v>
      </c>
      <c r="C19" s="6" t="s">
        <v>217</v>
      </c>
      <c r="D19" s="9">
        <f t="shared" si="0"/>
        <v>24.807000000000002</v>
      </c>
      <c r="E19" s="52">
        <v>8.771</v>
      </c>
      <c r="F19" s="6">
        <v>8.018</v>
      </c>
      <c r="G19" s="6">
        <v>8.018</v>
      </c>
      <c r="H19" s="3"/>
    </row>
    <row r="20" spans="1:8" s="4" customFormat="1" ht="12.75">
      <c r="A20" s="115"/>
      <c r="B20" s="39" t="s">
        <v>192</v>
      </c>
      <c r="C20" s="6" t="s">
        <v>217</v>
      </c>
      <c r="D20" s="9">
        <f t="shared" si="0"/>
        <v>39.241</v>
      </c>
      <c r="E20" s="52">
        <v>39.241</v>
      </c>
      <c r="F20" s="6"/>
      <c r="G20" s="6"/>
      <c r="H20" s="3"/>
    </row>
    <row r="21" spans="1:8" s="4" customFormat="1" ht="12.75">
      <c r="A21" s="115"/>
      <c r="B21" s="39" t="s">
        <v>193</v>
      </c>
      <c r="C21" s="6" t="s">
        <v>71</v>
      </c>
      <c r="D21" s="19">
        <f t="shared" si="0"/>
        <v>36</v>
      </c>
      <c r="E21" s="52">
        <v>36</v>
      </c>
      <c r="F21" s="6"/>
      <c r="G21" s="6"/>
      <c r="H21" s="3"/>
    </row>
    <row r="22" spans="1:8" s="4" customFormat="1" ht="51">
      <c r="A22" s="115"/>
      <c r="B22" s="39" t="s">
        <v>194</v>
      </c>
      <c r="C22" s="6" t="s">
        <v>71</v>
      </c>
      <c r="D22" s="19">
        <f t="shared" si="0"/>
        <v>569</v>
      </c>
      <c r="E22" s="52">
        <v>161</v>
      </c>
      <c r="F22" s="6">
        <v>204</v>
      </c>
      <c r="G22" s="6">
        <v>204</v>
      </c>
      <c r="H22" s="3"/>
    </row>
    <row r="23" spans="1:8" s="4" customFormat="1" ht="12.75">
      <c r="A23" s="115"/>
      <c r="B23" s="39" t="s">
        <v>195</v>
      </c>
      <c r="C23" s="6" t="s">
        <v>71</v>
      </c>
      <c r="D23" s="19">
        <f t="shared" si="0"/>
        <v>4</v>
      </c>
      <c r="E23" s="52">
        <v>4</v>
      </c>
      <c r="F23" s="6"/>
      <c r="G23" s="6"/>
      <c r="H23" s="3"/>
    </row>
    <row r="24" spans="1:8" s="4" customFormat="1" ht="12.75">
      <c r="A24" s="115"/>
      <c r="B24" s="39" t="s">
        <v>196</v>
      </c>
      <c r="C24" s="6" t="s">
        <v>71</v>
      </c>
      <c r="D24" s="19">
        <f t="shared" si="0"/>
        <v>238</v>
      </c>
      <c r="E24" s="52">
        <v>108</v>
      </c>
      <c r="F24" s="6">
        <v>65</v>
      </c>
      <c r="G24" s="6">
        <v>65</v>
      </c>
      <c r="H24" s="3"/>
    </row>
    <row r="25" spans="1:8" s="4" customFormat="1" ht="38.25">
      <c r="A25" s="115"/>
      <c r="B25" s="39" t="s">
        <v>259</v>
      </c>
      <c r="C25" s="6" t="s">
        <v>71</v>
      </c>
      <c r="D25" s="19">
        <f t="shared" si="0"/>
        <v>7</v>
      </c>
      <c r="E25" s="52">
        <v>7</v>
      </c>
      <c r="F25" s="6"/>
      <c r="G25" s="6"/>
      <c r="H25" s="3"/>
    </row>
    <row r="26" spans="1:8" s="4" customFormat="1" ht="38.25">
      <c r="A26" s="115"/>
      <c r="B26" s="39" t="s">
        <v>197</v>
      </c>
      <c r="C26" s="6" t="s">
        <v>148</v>
      </c>
      <c r="D26" s="19">
        <f t="shared" si="0"/>
        <v>15</v>
      </c>
      <c r="E26" s="52">
        <v>5</v>
      </c>
      <c r="F26" s="6">
        <v>5</v>
      </c>
      <c r="G26" s="6">
        <v>5</v>
      </c>
      <c r="H26" s="3"/>
    </row>
    <row r="27" spans="1:8" s="4" customFormat="1" ht="25.5">
      <c r="A27" s="115"/>
      <c r="B27" s="39" t="s">
        <v>231</v>
      </c>
      <c r="C27" s="6" t="s">
        <v>148</v>
      </c>
      <c r="D27" s="19">
        <f t="shared" si="0"/>
        <v>4</v>
      </c>
      <c r="E27" s="52">
        <v>4</v>
      </c>
      <c r="F27" s="6"/>
      <c r="G27" s="6"/>
      <c r="H27" s="3"/>
    </row>
    <row r="28" spans="1:8" s="4" customFormat="1" ht="12.75">
      <c r="A28" s="115"/>
      <c r="B28" s="39" t="s">
        <v>235</v>
      </c>
      <c r="C28" s="6" t="s">
        <v>71</v>
      </c>
      <c r="D28" s="19">
        <f t="shared" si="0"/>
        <v>2</v>
      </c>
      <c r="E28" s="52">
        <v>2</v>
      </c>
      <c r="F28" s="6"/>
      <c r="G28" s="6"/>
      <c r="H28" s="3"/>
    </row>
    <row r="29" spans="1:8" s="4" customFormat="1" ht="38.25">
      <c r="A29" s="115"/>
      <c r="B29" s="39" t="s">
        <v>198</v>
      </c>
      <c r="C29" s="6" t="s">
        <v>148</v>
      </c>
      <c r="D29" s="19">
        <f t="shared" si="0"/>
        <v>21</v>
      </c>
      <c r="E29" s="52">
        <v>7</v>
      </c>
      <c r="F29" s="6">
        <v>7</v>
      </c>
      <c r="G29" s="6">
        <v>7</v>
      </c>
      <c r="H29" s="3"/>
    </row>
    <row r="30" spans="1:8" s="4" customFormat="1" ht="25.5">
      <c r="A30" s="115"/>
      <c r="B30" s="39" t="s">
        <v>199</v>
      </c>
      <c r="C30" s="6" t="s">
        <v>148</v>
      </c>
      <c r="D30" s="19">
        <f t="shared" si="0"/>
        <v>262</v>
      </c>
      <c r="E30" s="52">
        <v>130</v>
      </c>
      <c r="F30" s="6">
        <v>66</v>
      </c>
      <c r="G30" s="6">
        <v>66</v>
      </c>
      <c r="H30" s="3"/>
    </row>
    <row r="31" spans="1:8" s="4" customFormat="1" ht="41.25" customHeight="1">
      <c r="A31" s="115"/>
      <c r="B31" s="8" t="s">
        <v>219</v>
      </c>
      <c r="C31" s="6"/>
      <c r="D31" s="34"/>
      <c r="E31" s="52"/>
      <c r="F31" s="6"/>
      <c r="G31" s="6"/>
      <c r="H31" s="3"/>
    </row>
    <row r="32" spans="1:8" s="4" customFormat="1" ht="25.5">
      <c r="A32" s="115"/>
      <c r="B32" s="8" t="s">
        <v>224</v>
      </c>
      <c r="C32" s="6" t="s">
        <v>149</v>
      </c>
      <c r="D32" s="20">
        <f>E32+F32+G32</f>
        <v>0.69</v>
      </c>
      <c r="E32" s="52">
        <f>0.6+0.09</f>
        <v>0.69</v>
      </c>
      <c r="F32" s="6"/>
      <c r="G32" s="6"/>
      <c r="H32" s="3"/>
    </row>
    <row r="33" spans="1:8" s="4" customFormat="1" ht="38.25" customHeight="1">
      <c r="A33" s="115"/>
      <c r="B33" s="8" t="s">
        <v>220</v>
      </c>
      <c r="C33" s="6" t="s">
        <v>71</v>
      </c>
      <c r="D33" s="19">
        <f>E33+F33+G33</f>
        <v>9</v>
      </c>
      <c r="E33" s="52">
        <f>5+3+1</f>
        <v>9</v>
      </c>
      <c r="F33" s="6"/>
      <c r="G33" s="6"/>
      <c r="H33" s="3"/>
    </row>
    <row r="34" spans="1:8" s="4" customFormat="1" ht="25.5">
      <c r="A34" s="115"/>
      <c r="B34" s="8" t="s">
        <v>221</v>
      </c>
      <c r="C34" s="6" t="s">
        <v>149</v>
      </c>
      <c r="D34" s="20">
        <f>E34+F34+G34</f>
        <v>0.02</v>
      </c>
      <c r="E34" s="52">
        <v>0.02</v>
      </c>
      <c r="F34" s="6"/>
      <c r="G34" s="6"/>
      <c r="H34" s="3"/>
    </row>
    <row r="35" spans="1:8" s="4" customFormat="1" ht="38.25">
      <c r="A35" s="115"/>
      <c r="B35" s="8" t="s">
        <v>223</v>
      </c>
      <c r="C35" s="6" t="s">
        <v>71</v>
      </c>
      <c r="D35" s="19">
        <f>E35+F35+G35</f>
        <v>5</v>
      </c>
      <c r="E35" s="52">
        <f>4+1</f>
        <v>5</v>
      </c>
      <c r="F35" s="6"/>
      <c r="G35" s="6"/>
      <c r="H35" s="3"/>
    </row>
    <row r="36" spans="1:8" s="4" customFormat="1" ht="38.25">
      <c r="A36" s="115"/>
      <c r="B36" s="8" t="s">
        <v>265</v>
      </c>
      <c r="C36" s="6" t="s">
        <v>152</v>
      </c>
      <c r="D36" s="9">
        <f>E36+F36+G36</f>
        <v>7.5</v>
      </c>
      <c r="E36" s="53">
        <v>7.5</v>
      </c>
      <c r="F36" s="6"/>
      <c r="G36" s="6"/>
      <c r="H36" s="3"/>
    </row>
    <row r="37" spans="1:8" s="4" customFormat="1" ht="38.25">
      <c r="A37" s="115"/>
      <c r="B37" s="39" t="s">
        <v>263</v>
      </c>
      <c r="C37" s="6" t="s">
        <v>152</v>
      </c>
      <c r="D37" s="9">
        <f t="shared" si="0"/>
        <v>9994.025</v>
      </c>
      <c r="E37" s="41">
        <f>9994.025</f>
        <v>9994.025</v>
      </c>
      <c r="F37" s="6"/>
      <c r="G37" s="6"/>
      <c r="H37" s="3"/>
    </row>
    <row r="38" spans="1:8" s="4" customFormat="1" ht="38.25">
      <c r="A38" s="115"/>
      <c r="B38" s="39" t="s">
        <v>230</v>
      </c>
      <c r="C38" s="6" t="s">
        <v>152</v>
      </c>
      <c r="D38" s="9">
        <f t="shared" si="0"/>
        <v>7409.833</v>
      </c>
      <c r="E38" s="41">
        <f>7409.833</f>
        <v>7409.833</v>
      </c>
      <c r="F38" s="6"/>
      <c r="G38" s="6"/>
      <c r="H38" s="3"/>
    </row>
    <row r="39" spans="1:8" s="4" customFormat="1" ht="12.75">
      <c r="A39" s="84" t="s">
        <v>137</v>
      </c>
      <c r="B39" s="114"/>
      <c r="C39" s="114"/>
      <c r="D39" s="114"/>
      <c r="E39" s="114"/>
      <c r="F39" s="114"/>
      <c r="G39" s="114"/>
      <c r="H39" s="114"/>
    </row>
    <row r="40" spans="1:8" s="4" customFormat="1" ht="12.75">
      <c r="A40" s="68" t="s">
        <v>70</v>
      </c>
      <c r="B40" s="68"/>
      <c r="C40" s="68"/>
      <c r="D40" s="68"/>
      <c r="E40" s="68"/>
      <c r="F40" s="68"/>
      <c r="G40" s="68"/>
      <c r="H40" s="3"/>
    </row>
    <row r="41" spans="1:8" s="4" customFormat="1" ht="52.5" customHeight="1">
      <c r="A41" s="69" t="s">
        <v>143</v>
      </c>
      <c r="B41" s="8" t="s">
        <v>202</v>
      </c>
      <c r="C41" s="6" t="s">
        <v>149</v>
      </c>
      <c r="D41" s="9">
        <f aca="true" t="shared" si="1" ref="D41:D62">E41+F41+G41</f>
        <v>12.308</v>
      </c>
      <c r="E41" s="6">
        <v>12.308</v>
      </c>
      <c r="F41" s="6"/>
      <c r="G41" s="6"/>
      <c r="H41" s="3"/>
    </row>
    <row r="42" spans="1:8" s="4" customFormat="1" ht="89.25">
      <c r="A42" s="70"/>
      <c r="B42" s="8" t="s">
        <v>203</v>
      </c>
      <c r="C42" s="6" t="s">
        <v>151</v>
      </c>
      <c r="D42" s="19">
        <v>7</v>
      </c>
      <c r="E42" s="6">
        <v>7</v>
      </c>
      <c r="F42" s="6">
        <v>7</v>
      </c>
      <c r="G42" s="6">
        <v>7</v>
      </c>
      <c r="H42" s="3"/>
    </row>
    <row r="43" spans="1:8" s="4" customFormat="1" ht="38.25">
      <c r="A43" s="70"/>
      <c r="B43" s="8" t="s">
        <v>261</v>
      </c>
      <c r="C43" s="6" t="s">
        <v>148</v>
      </c>
      <c r="D43" s="19">
        <f t="shared" si="1"/>
        <v>6</v>
      </c>
      <c r="E43" s="6">
        <v>6</v>
      </c>
      <c r="F43" s="6"/>
      <c r="G43" s="6"/>
      <c r="H43" s="3"/>
    </row>
    <row r="44" spans="1:8" s="4" customFormat="1" ht="38.25">
      <c r="A44" s="70"/>
      <c r="B44" s="8" t="s">
        <v>204</v>
      </c>
      <c r="C44" s="6" t="s">
        <v>24</v>
      </c>
      <c r="D44" s="34">
        <f t="shared" si="1"/>
        <v>937.6</v>
      </c>
      <c r="E44" s="6">
        <v>937.6</v>
      </c>
      <c r="F44" s="6"/>
      <c r="G44" s="6"/>
      <c r="H44" s="3"/>
    </row>
    <row r="45" spans="1:8" s="4" customFormat="1" ht="38.25">
      <c r="A45" s="70"/>
      <c r="B45" s="8" t="s">
        <v>260</v>
      </c>
      <c r="C45" s="6" t="s">
        <v>71</v>
      </c>
      <c r="D45" s="19">
        <f t="shared" si="1"/>
        <v>1</v>
      </c>
      <c r="E45" s="6">
        <v>1</v>
      </c>
      <c r="F45" s="6"/>
      <c r="G45" s="6"/>
      <c r="H45" s="3"/>
    </row>
    <row r="46" spans="1:8" s="4" customFormat="1" ht="38.25">
      <c r="A46" s="70"/>
      <c r="B46" s="8" t="s">
        <v>269</v>
      </c>
      <c r="C46" s="6" t="s">
        <v>71</v>
      </c>
      <c r="D46" s="19">
        <f>E46+F46+G46</f>
        <v>1</v>
      </c>
      <c r="E46" s="6">
        <v>1</v>
      </c>
      <c r="F46" s="6"/>
      <c r="G46" s="6"/>
      <c r="H46" s="3"/>
    </row>
    <row r="47" spans="1:8" s="4" customFormat="1" ht="76.5">
      <c r="A47" s="70"/>
      <c r="B47" s="8" t="s">
        <v>225</v>
      </c>
      <c r="C47" s="6"/>
      <c r="D47" s="34"/>
      <c r="E47" s="6"/>
      <c r="F47" s="6"/>
      <c r="G47" s="6"/>
      <c r="H47" s="3"/>
    </row>
    <row r="48" spans="1:8" s="4" customFormat="1" ht="38.25">
      <c r="A48" s="70"/>
      <c r="B48" s="8" t="s">
        <v>222</v>
      </c>
      <c r="C48" s="6" t="s">
        <v>71</v>
      </c>
      <c r="D48" s="19">
        <f t="shared" si="1"/>
        <v>17</v>
      </c>
      <c r="E48" s="6">
        <v>17</v>
      </c>
      <c r="F48" s="6"/>
      <c r="G48" s="6"/>
      <c r="H48" s="3"/>
    </row>
    <row r="49" spans="1:8" s="4" customFormat="1" ht="25.5">
      <c r="A49" s="70"/>
      <c r="B49" s="8" t="s">
        <v>239</v>
      </c>
      <c r="C49" s="6" t="s">
        <v>149</v>
      </c>
      <c r="D49" s="20">
        <f t="shared" si="1"/>
        <v>0.22000000000000003</v>
      </c>
      <c r="E49" s="6">
        <f>0.14+0.08</f>
        <v>0.22000000000000003</v>
      </c>
      <c r="F49" s="6"/>
      <c r="G49" s="6"/>
      <c r="H49" s="3"/>
    </row>
    <row r="50" spans="1:8" s="4" customFormat="1" ht="25.5">
      <c r="A50" s="70"/>
      <c r="B50" s="8" t="s">
        <v>226</v>
      </c>
      <c r="C50" s="6" t="s">
        <v>217</v>
      </c>
      <c r="D50" s="9">
        <f t="shared" si="1"/>
        <v>0.30000000000000004</v>
      </c>
      <c r="E50" s="9">
        <f>0.233+0.067</f>
        <v>0.30000000000000004</v>
      </c>
      <c r="F50" s="6"/>
      <c r="G50" s="6"/>
      <c r="H50" s="3"/>
    </row>
    <row r="51" spans="1:8" s="4" customFormat="1" ht="38.25">
      <c r="A51" s="70"/>
      <c r="B51" s="8" t="s">
        <v>223</v>
      </c>
      <c r="C51" s="6" t="s">
        <v>148</v>
      </c>
      <c r="D51" s="19">
        <f>E51</f>
        <v>3</v>
      </c>
      <c r="E51" s="6">
        <f>2+1</f>
        <v>3</v>
      </c>
      <c r="F51" s="6"/>
      <c r="G51" s="6"/>
      <c r="H51" s="3"/>
    </row>
    <row r="52" spans="1:8" s="4" customFormat="1" ht="12.75">
      <c r="A52" s="70"/>
      <c r="B52" s="8" t="s">
        <v>240</v>
      </c>
      <c r="C52" s="6" t="s">
        <v>71</v>
      </c>
      <c r="D52" s="19">
        <f>E52</f>
        <v>1</v>
      </c>
      <c r="E52" s="19">
        <v>1</v>
      </c>
      <c r="F52" s="6"/>
      <c r="G52" s="6"/>
      <c r="H52" s="3"/>
    </row>
    <row r="53" spans="1:8" s="4" customFormat="1" ht="12.75">
      <c r="A53" s="70"/>
      <c r="B53" s="8" t="s">
        <v>266</v>
      </c>
      <c r="C53" s="6" t="s">
        <v>71</v>
      </c>
      <c r="D53" s="19">
        <f>E53+F53+G53</f>
        <v>1</v>
      </c>
      <c r="E53" s="52">
        <v>1</v>
      </c>
      <c r="F53" s="6"/>
      <c r="G53" s="6"/>
      <c r="H53" s="3"/>
    </row>
    <row r="54" spans="1:8" s="4" customFormat="1" ht="38.25">
      <c r="A54" s="70"/>
      <c r="B54" s="8" t="s">
        <v>227</v>
      </c>
      <c r="C54" s="6" t="s">
        <v>152</v>
      </c>
      <c r="D54" s="9">
        <f t="shared" si="1"/>
        <v>174.5</v>
      </c>
      <c r="E54" s="53">
        <f>113.9+24.5+36.1</f>
        <v>174.5</v>
      </c>
      <c r="F54" s="6"/>
      <c r="G54" s="6"/>
      <c r="H54" s="3"/>
    </row>
    <row r="55" spans="1:8" s="4" customFormat="1" ht="63.75">
      <c r="A55" s="70"/>
      <c r="B55" s="8" t="s">
        <v>206</v>
      </c>
      <c r="C55" s="6" t="s">
        <v>152</v>
      </c>
      <c r="D55" s="9">
        <f t="shared" si="1"/>
        <v>727.521</v>
      </c>
      <c r="E55" s="6">
        <v>727.521</v>
      </c>
      <c r="F55" s="6"/>
      <c r="G55" s="6"/>
      <c r="H55" s="3"/>
    </row>
    <row r="56" spans="1:8" s="4" customFormat="1" ht="63.75">
      <c r="A56" s="70"/>
      <c r="B56" s="8" t="s">
        <v>207</v>
      </c>
      <c r="C56" s="6" t="s">
        <v>152</v>
      </c>
      <c r="D56" s="9">
        <f t="shared" si="1"/>
        <v>951.183</v>
      </c>
      <c r="E56" s="6">
        <v>951.183</v>
      </c>
      <c r="F56" s="6"/>
      <c r="G56" s="6"/>
      <c r="H56" s="3"/>
    </row>
    <row r="57" spans="1:8" s="4" customFormat="1" ht="102">
      <c r="A57" s="70"/>
      <c r="B57" s="39" t="s">
        <v>208</v>
      </c>
      <c r="C57" s="6" t="s">
        <v>152</v>
      </c>
      <c r="D57" s="9">
        <f t="shared" si="1"/>
        <v>79.165</v>
      </c>
      <c r="E57" s="41">
        <v>79.165</v>
      </c>
      <c r="F57" s="6"/>
      <c r="G57" s="6"/>
      <c r="H57" s="3"/>
    </row>
    <row r="58" spans="1:8" s="4" customFormat="1" ht="102">
      <c r="A58" s="70"/>
      <c r="B58" s="39" t="s">
        <v>218</v>
      </c>
      <c r="C58" s="6" t="s">
        <v>152</v>
      </c>
      <c r="D58" s="9">
        <f t="shared" si="1"/>
        <v>1701.739</v>
      </c>
      <c r="E58" s="41">
        <v>1701.739</v>
      </c>
      <c r="F58" s="6"/>
      <c r="G58" s="6"/>
      <c r="H58" s="3"/>
    </row>
    <row r="59" spans="1:8" s="4" customFormat="1" ht="114.75">
      <c r="A59" s="70"/>
      <c r="B59" s="8" t="s">
        <v>232</v>
      </c>
      <c r="C59" s="6" t="s">
        <v>152</v>
      </c>
      <c r="D59" s="9">
        <f t="shared" si="1"/>
        <v>915.401</v>
      </c>
      <c r="E59" s="41">
        <v>915.401</v>
      </c>
      <c r="F59" s="6"/>
      <c r="G59" s="6"/>
      <c r="H59" s="3"/>
    </row>
    <row r="60" spans="1:8" s="4" customFormat="1" ht="51">
      <c r="A60" s="70"/>
      <c r="B60" s="8" t="s">
        <v>233</v>
      </c>
      <c r="C60" s="6" t="s">
        <v>152</v>
      </c>
      <c r="D60" s="9">
        <f t="shared" si="1"/>
        <v>35.782</v>
      </c>
      <c r="E60" s="41">
        <v>35.782</v>
      </c>
      <c r="F60" s="6"/>
      <c r="G60" s="6"/>
      <c r="H60" s="3"/>
    </row>
    <row r="61" spans="1:8" s="4" customFormat="1" ht="63.75">
      <c r="A61" s="70"/>
      <c r="B61" s="8" t="s">
        <v>234</v>
      </c>
      <c r="C61" s="6" t="s">
        <v>152</v>
      </c>
      <c r="D61" s="9">
        <f t="shared" si="1"/>
        <v>8.76</v>
      </c>
      <c r="E61" s="41">
        <v>8.76</v>
      </c>
      <c r="F61" s="6"/>
      <c r="G61" s="6"/>
      <c r="H61" s="3"/>
    </row>
    <row r="62" spans="1:8" s="4" customFormat="1" ht="63.75">
      <c r="A62" s="71"/>
      <c r="B62" s="8" t="s">
        <v>210</v>
      </c>
      <c r="C62" s="6" t="s">
        <v>152</v>
      </c>
      <c r="D62" s="9">
        <f t="shared" si="1"/>
        <v>13.632</v>
      </c>
      <c r="E62" s="6">
        <v>13.632</v>
      </c>
      <c r="F62" s="6"/>
      <c r="G62" s="6"/>
      <c r="H62" s="3"/>
    </row>
    <row r="63" spans="1:8" s="4" customFormat="1" ht="12.75">
      <c r="A63" s="84" t="s">
        <v>138</v>
      </c>
      <c r="B63" s="111"/>
      <c r="C63" s="111"/>
      <c r="D63" s="111"/>
      <c r="E63" s="111"/>
      <c r="F63" s="111"/>
      <c r="G63" s="111"/>
      <c r="H63" s="111"/>
    </row>
    <row r="64" spans="1:8" s="4" customFormat="1" ht="12.75">
      <c r="A64" s="68" t="s">
        <v>70</v>
      </c>
      <c r="B64" s="68"/>
      <c r="C64" s="68"/>
      <c r="D64" s="68"/>
      <c r="E64" s="68"/>
      <c r="F64" s="68"/>
      <c r="G64" s="68"/>
      <c r="H64" s="3"/>
    </row>
    <row r="65" spans="1:8" s="4" customFormat="1" ht="12.75" customHeight="1">
      <c r="A65" s="69" t="s">
        <v>144</v>
      </c>
      <c r="B65" s="6"/>
      <c r="C65" s="6"/>
      <c r="D65" s="6"/>
      <c r="E65" s="6"/>
      <c r="F65" s="6"/>
      <c r="G65" s="6"/>
      <c r="H65" s="3"/>
    </row>
    <row r="66" spans="1:8" s="4" customFormat="1" ht="25.5">
      <c r="A66" s="70"/>
      <c r="B66" s="8" t="s">
        <v>211</v>
      </c>
      <c r="C66" s="6" t="s">
        <v>153</v>
      </c>
      <c r="D66" s="19">
        <f>E66+F66+G66</f>
        <v>126</v>
      </c>
      <c r="E66" s="6">
        <v>121</v>
      </c>
      <c r="F66" s="6">
        <v>5</v>
      </c>
      <c r="G66" s="6"/>
      <c r="H66" s="3"/>
    </row>
    <row r="67" spans="1:8" s="4" customFormat="1" ht="25.5">
      <c r="A67" s="70"/>
      <c r="B67" s="8" t="s">
        <v>212</v>
      </c>
      <c r="C67" s="6" t="s">
        <v>153</v>
      </c>
      <c r="D67" s="19">
        <f>E67+F67+G67</f>
        <v>118</v>
      </c>
      <c r="E67" s="6">
        <v>87</v>
      </c>
      <c r="F67" s="6">
        <v>28</v>
      </c>
      <c r="G67" s="6">
        <v>3</v>
      </c>
      <c r="H67" s="3"/>
    </row>
    <row r="68" spans="1:8" s="4" customFormat="1" ht="63.75">
      <c r="A68" s="70"/>
      <c r="B68" s="8" t="s">
        <v>254</v>
      </c>
      <c r="C68" s="6"/>
      <c r="D68" s="19"/>
      <c r="E68" s="6"/>
      <c r="F68" s="6"/>
      <c r="G68" s="6"/>
      <c r="H68" s="3"/>
    </row>
    <row r="69" spans="1:8" s="4" customFormat="1" ht="25.5">
      <c r="A69" s="70"/>
      <c r="B69" s="8" t="s">
        <v>211</v>
      </c>
      <c r="C69" s="6" t="s">
        <v>153</v>
      </c>
      <c r="D69" s="19">
        <f>E69+F69+G69</f>
        <v>2</v>
      </c>
      <c r="E69" s="6">
        <v>2</v>
      </c>
      <c r="F69" s="6"/>
      <c r="G69" s="6"/>
      <c r="H69" s="3"/>
    </row>
    <row r="70" spans="1:8" s="4" customFormat="1" ht="25.5">
      <c r="A70" s="70"/>
      <c r="B70" s="8" t="s">
        <v>212</v>
      </c>
      <c r="C70" s="6" t="s">
        <v>153</v>
      </c>
      <c r="D70" s="19">
        <f>E70+F70+G70</f>
        <v>1</v>
      </c>
      <c r="E70" s="6">
        <v>1</v>
      </c>
      <c r="F70" s="6"/>
      <c r="G70" s="6"/>
      <c r="H70" s="3"/>
    </row>
    <row r="71" spans="1:8" s="4" customFormat="1" ht="38.25">
      <c r="A71" s="70"/>
      <c r="B71" s="8" t="s">
        <v>213</v>
      </c>
      <c r="C71" s="6" t="s">
        <v>152</v>
      </c>
      <c r="D71" s="9">
        <f>E71</f>
        <v>2156.121</v>
      </c>
      <c r="E71" s="6">
        <v>2156.121</v>
      </c>
      <c r="F71" s="6"/>
      <c r="G71" s="6"/>
      <c r="H71" s="3"/>
    </row>
    <row r="72" spans="1:8" s="4" customFormat="1" ht="38.25">
      <c r="A72" s="70"/>
      <c r="B72" s="8" t="s">
        <v>228</v>
      </c>
      <c r="C72" s="6" t="s">
        <v>150</v>
      </c>
      <c r="D72" s="19">
        <f>E72+F72+G72</f>
        <v>4</v>
      </c>
      <c r="E72" s="6">
        <v>4</v>
      </c>
      <c r="F72" s="6"/>
      <c r="G72" s="6"/>
      <c r="H72" s="3"/>
    </row>
    <row r="73" spans="1:8" s="4" customFormat="1" ht="51">
      <c r="A73" s="71"/>
      <c r="B73" s="8" t="s">
        <v>229</v>
      </c>
      <c r="C73" s="6" t="s">
        <v>152</v>
      </c>
      <c r="D73" s="9">
        <f>E73</f>
        <v>5134.878</v>
      </c>
      <c r="E73" s="6">
        <v>5134.878</v>
      </c>
      <c r="F73" s="6"/>
      <c r="G73" s="6"/>
      <c r="H73" s="3"/>
    </row>
    <row r="74" spans="1:8" s="4" customFormat="1" ht="12.75">
      <c r="A74" s="68" t="s">
        <v>154</v>
      </c>
      <c r="B74" s="118"/>
      <c r="C74" s="118"/>
      <c r="D74" s="118"/>
      <c r="E74" s="118"/>
      <c r="F74" s="118"/>
      <c r="G74" s="118"/>
      <c r="H74" s="3"/>
    </row>
    <row r="75" spans="1:8" s="4" customFormat="1" ht="38.25">
      <c r="A75" s="69" t="s">
        <v>138</v>
      </c>
      <c r="B75" s="8" t="s">
        <v>214</v>
      </c>
      <c r="C75" s="6" t="s">
        <v>153</v>
      </c>
      <c r="D75" s="19">
        <f>E75+F75+G75</f>
        <v>6</v>
      </c>
      <c r="E75" s="6">
        <v>6</v>
      </c>
      <c r="F75" s="6"/>
      <c r="G75" s="6"/>
      <c r="H75" s="3"/>
    </row>
    <row r="76" spans="1:8" s="4" customFormat="1" ht="38.25">
      <c r="A76" s="71"/>
      <c r="B76" s="8" t="s">
        <v>213</v>
      </c>
      <c r="C76" s="6" t="s">
        <v>152</v>
      </c>
      <c r="D76" s="9">
        <f>E76+F76+G76</f>
        <v>1077.16</v>
      </c>
      <c r="E76" s="9">
        <v>1077.16</v>
      </c>
      <c r="F76" s="6"/>
      <c r="G76" s="6"/>
      <c r="H76" s="3"/>
    </row>
    <row r="77" spans="1:8" s="4" customFormat="1" ht="12.75">
      <c r="A77" s="68" t="s">
        <v>155</v>
      </c>
      <c r="B77" s="118"/>
      <c r="C77" s="118"/>
      <c r="D77" s="118"/>
      <c r="E77" s="118"/>
      <c r="F77" s="118"/>
      <c r="G77" s="118"/>
      <c r="H77" s="3"/>
    </row>
    <row r="78" spans="1:8" s="4" customFormat="1" ht="25.5">
      <c r="A78" s="69" t="s">
        <v>138</v>
      </c>
      <c r="B78" s="8" t="s">
        <v>215</v>
      </c>
      <c r="C78" s="6" t="s">
        <v>153</v>
      </c>
      <c r="D78" s="19">
        <f>E78+F78+G78</f>
        <v>1</v>
      </c>
      <c r="E78" s="6">
        <v>1</v>
      </c>
      <c r="F78" s="6"/>
      <c r="G78" s="6"/>
      <c r="H78" s="3"/>
    </row>
    <row r="79" spans="1:8" s="4" customFormat="1" ht="25.5">
      <c r="A79" s="71"/>
      <c r="B79" s="8" t="s">
        <v>216</v>
      </c>
      <c r="C79" s="6" t="s">
        <v>152</v>
      </c>
      <c r="D79" s="9">
        <f>E79+F79+G79</f>
        <v>2.692</v>
      </c>
      <c r="E79" s="9">
        <v>2.692</v>
      </c>
      <c r="F79" s="6"/>
      <c r="G79" s="6"/>
      <c r="H79" s="3"/>
    </row>
    <row r="80" spans="1:8" s="4" customFormat="1" ht="12.75">
      <c r="A80" s="68" t="s">
        <v>133</v>
      </c>
      <c r="B80" s="118"/>
      <c r="C80" s="118"/>
      <c r="D80" s="118"/>
      <c r="E80" s="118"/>
      <c r="F80" s="118"/>
      <c r="G80" s="118"/>
      <c r="H80" s="3"/>
    </row>
    <row r="81" spans="1:8" s="4" customFormat="1" ht="25.5">
      <c r="A81" s="69" t="s">
        <v>138</v>
      </c>
      <c r="B81" s="8" t="s">
        <v>215</v>
      </c>
      <c r="C81" s="6" t="s">
        <v>153</v>
      </c>
      <c r="D81" s="19">
        <f>E81+F81+G81</f>
        <v>1</v>
      </c>
      <c r="E81" s="6">
        <v>1</v>
      </c>
      <c r="F81" s="6"/>
      <c r="G81" s="6"/>
      <c r="H81" s="3"/>
    </row>
    <row r="82" spans="1:8" s="4" customFormat="1" ht="25.5">
      <c r="A82" s="71"/>
      <c r="B82" s="8" t="s">
        <v>216</v>
      </c>
      <c r="C82" s="6" t="s">
        <v>152</v>
      </c>
      <c r="D82" s="9">
        <f>E82+F82+G82</f>
        <v>21.734</v>
      </c>
      <c r="E82" s="9">
        <v>21.734</v>
      </c>
      <c r="F82" s="6"/>
      <c r="G82" s="6"/>
      <c r="H82" s="3"/>
    </row>
    <row r="83" spans="1:8" s="4" customFormat="1" ht="12.75" customHeight="1">
      <c r="A83" s="79" t="s">
        <v>275</v>
      </c>
      <c r="B83" s="65"/>
      <c r="C83" s="65"/>
      <c r="D83" s="65"/>
      <c r="E83" s="65"/>
      <c r="F83" s="65"/>
      <c r="G83" s="65"/>
      <c r="H83" s="66"/>
    </row>
    <row r="84" spans="1:8" s="4" customFormat="1" ht="12.75">
      <c r="A84" s="68" t="s">
        <v>272</v>
      </c>
      <c r="B84" s="68"/>
      <c r="C84" s="68"/>
      <c r="D84" s="68"/>
      <c r="E84" s="68"/>
      <c r="F84" s="68"/>
      <c r="G84" s="68"/>
      <c r="H84" s="3"/>
    </row>
    <row r="85" spans="1:8" s="4" customFormat="1" ht="12.75" customHeight="1">
      <c r="A85" s="69" t="s">
        <v>264</v>
      </c>
      <c r="B85" s="8"/>
      <c r="C85" s="6"/>
      <c r="D85" s="9"/>
      <c r="E85" s="9"/>
      <c r="F85" s="6"/>
      <c r="G85" s="6"/>
      <c r="H85" s="3"/>
    </row>
    <row r="86" spans="1:8" s="4" customFormat="1" ht="63.75">
      <c r="A86" s="70"/>
      <c r="B86" s="63" t="s">
        <v>273</v>
      </c>
      <c r="C86" s="6" t="s">
        <v>71</v>
      </c>
      <c r="D86" s="19">
        <f>E86</f>
        <v>7</v>
      </c>
      <c r="E86" s="19">
        <v>7</v>
      </c>
      <c r="F86" s="6"/>
      <c r="G86" s="6"/>
      <c r="H86" s="3"/>
    </row>
    <row r="87" spans="1:8" s="4" customFormat="1" ht="191.25">
      <c r="A87" s="71"/>
      <c r="B87" s="22" t="s">
        <v>274</v>
      </c>
      <c r="C87" s="35" t="s">
        <v>152</v>
      </c>
      <c r="D87" s="23">
        <f>E87</f>
        <v>620.407</v>
      </c>
      <c r="E87" s="23">
        <v>620.407</v>
      </c>
      <c r="F87" s="23"/>
      <c r="G87" s="23"/>
      <c r="H87" s="3"/>
    </row>
    <row r="88" spans="1:8" s="4" customFormat="1" ht="12.75">
      <c r="A88" s="84" t="s">
        <v>255</v>
      </c>
      <c r="B88" s="111"/>
      <c r="C88" s="111"/>
      <c r="D88" s="111"/>
      <c r="E88" s="111"/>
      <c r="F88" s="111"/>
      <c r="G88" s="111"/>
      <c r="H88" s="111"/>
    </row>
    <row r="89" spans="1:8" s="4" customFormat="1" ht="12.75">
      <c r="A89" s="68" t="s">
        <v>70</v>
      </c>
      <c r="B89" s="68"/>
      <c r="C89" s="68"/>
      <c r="D89" s="68"/>
      <c r="E89" s="68"/>
      <c r="F89" s="68"/>
      <c r="G89" s="68"/>
      <c r="H89" s="3"/>
    </row>
    <row r="90" spans="1:8" s="4" customFormat="1" ht="12.75">
      <c r="A90" s="69" t="s">
        <v>256</v>
      </c>
      <c r="B90" s="8"/>
      <c r="C90" s="6"/>
      <c r="D90" s="9"/>
      <c r="E90" s="9"/>
      <c r="F90" s="6"/>
      <c r="G90" s="6"/>
      <c r="H90" s="3"/>
    </row>
    <row r="91" spans="1:8" s="4" customFormat="1" ht="38.25">
      <c r="A91" s="71"/>
      <c r="B91" s="8" t="s">
        <v>257</v>
      </c>
      <c r="C91" s="6" t="s">
        <v>71</v>
      </c>
      <c r="D91" s="19">
        <f>E91</f>
        <v>7</v>
      </c>
      <c r="E91" s="19">
        <v>7</v>
      </c>
      <c r="F91" s="6"/>
      <c r="G91" s="6"/>
      <c r="H91" s="3"/>
    </row>
    <row r="92" spans="1:8" s="4" customFormat="1" ht="12.75">
      <c r="A92" s="108" t="s">
        <v>159</v>
      </c>
      <c r="B92" s="108"/>
      <c r="C92" s="108"/>
      <c r="D92" s="108"/>
      <c r="E92" s="108"/>
      <c r="F92" s="108"/>
      <c r="G92" s="108"/>
      <c r="H92" s="3"/>
    </row>
    <row r="93" spans="1:8" s="4" customFormat="1" ht="12.75">
      <c r="A93" s="82" t="s">
        <v>70</v>
      </c>
      <c r="B93" s="82"/>
      <c r="C93" s="82"/>
      <c r="D93" s="82"/>
      <c r="E93" s="82"/>
      <c r="F93" s="82"/>
      <c r="G93" s="82"/>
      <c r="H93" s="3"/>
    </row>
    <row r="94" spans="1:8" s="4" customFormat="1" ht="12.75">
      <c r="A94" s="109" t="s">
        <v>96</v>
      </c>
      <c r="B94" s="6"/>
      <c r="C94" s="3"/>
      <c r="D94" s="3"/>
      <c r="E94" s="3"/>
      <c r="F94" s="3"/>
      <c r="G94" s="3"/>
      <c r="H94" s="3"/>
    </row>
    <row r="95" spans="1:8" s="4" customFormat="1" ht="12.75">
      <c r="A95" s="109"/>
      <c r="B95" s="8" t="s">
        <v>91</v>
      </c>
      <c r="C95" s="6" t="s">
        <v>24</v>
      </c>
      <c r="D95" s="20">
        <v>4466666.67</v>
      </c>
      <c r="E95" s="20">
        <v>4466666.67</v>
      </c>
      <c r="F95" s="20">
        <v>4466666.67</v>
      </c>
      <c r="G95" s="20">
        <v>4466666.67</v>
      </c>
      <c r="H95" s="3"/>
    </row>
    <row r="96" spans="1:8" s="4" customFormat="1" ht="25.5">
      <c r="A96" s="109"/>
      <c r="B96" s="10" t="s">
        <v>92</v>
      </c>
      <c r="C96" s="6" t="s">
        <v>71</v>
      </c>
      <c r="D96" s="6">
        <v>40351</v>
      </c>
      <c r="E96" s="6">
        <v>40351</v>
      </c>
      <c r="F96" s="6">
        <v>40351</v>
      </c>
      <c r="G96" s="6">
        <v>40351</v>
      </c>
      <c r="H96" s="3"/>
    </row>
    <row r="97" spans="1:8" s="4" customFormat="1" ht="12.75">
      <c r="A97" s="109"/>
      <c r="B97" s="10" t="s">
        <v>93</v>
      </c>
      <c r="C97" s="6" t="s">
        <v>73</v>
      </c>
      <c r="D97" s="54">
        <v>29.35</v>
      </c>
      <c r="E97" s="54">
        <v>29.35</v>
      </c>
      <c r="F97" s="54">
        <v>29.35</v>
      </c>
      <c r="G97" s="54">
        <v>29.35</v>
      </c>
      <c r="H97" s="3"/>
    </row>
    <row r="98" spans="1:8" s="4" customFormat="1" ht="25.5">
      <c r="A98" s="109"/>
      <c r="B98" s="10" t="s">
        <v>29</v>
      </c>
      <c r="C98" s="6" t="s">
        <v>73</v>
      </c>
      <c r="D98" s="6">
        <v>396.9</v>
      </c>
      <c r="E98" s="6">
        <v>396.9</v>
      </c>
      <c r="F98" s="6">
        <v>396.9</v>
      </c>
      <c r="G98" s="6">
        <v>396.9</v>
      </c>
      <c r="H98" s="3"/>
    </row>
    <row r="99" spans="1:8" s="4" customFormat="1" ht="25.5">
      <c r="A99" s="109"/>
      <c r="B99" s="10" t="s">
        <v>188</v>
      </c>
      <c r="C99" s="6" t="s">
        <v>77</v>
      </c>
      <c r="D99" s="6">
        <v>15.4</v>
      </c>
      <c r="E99" s="6">
        <v>15.4</v>
      </c>
      <c r="F99" s="6"/>
      <c r="G99" s="6"/>
      <c r="H99" s="3"/>
    </row>
    <row r="100" spans="1:8" s="4" customFormat="1" ht="12.75">
      <c r="A100" s="109"/>
      <c r="B100" s="10" t="s">
        <v>94</v>
      </c>
      <c r="C100" s="6" t="s">
        <v>73</v>
      </c>
      <c r="D100" s="6">
        <v>4.793</v>
      </c>
      <c r="E100" s="6">
        <v>4.793</v>
      </c>
      <c r="F100" s="6">
        <v>4.793</v>
      </c>
      <c r="G100" s="6">
        <v>4.793</v>
      </c>
      <c r="H100" s="3"/>
    </row>
    <row r="101" spans="1:8" s="4" customFormat="1" ht="12.75">
      <c r="A101" s="109"/>
      <c r="B101" s="10" t="s">
        <v>31</v>
      </c>
      <c r="C101" s="6" t="s">
        <v>71</v>
      </c>
      <c r="D101" s="6">
        <v>36</v>
      </c>
      <c r="E101" s="6">
        <v>36</v>
      </c>
      <c r="F101" s="6">
        <v>36</v>
      </c>
      <c r="G101" s="6">
        <v>36</v>
      </c>
      <c r="H101" s="3"/>
    </row>
    <row r="102" spans="1:8" s="4" customFormat="1" ht="38.25">
      <c r="A102" s="109"/>
      <c r="B102" s="10" t="s">
        <v>95</v>
      </c>
      <c r="C102" s="6" t="s">
        <v>71</v>
      </c>
      <c r="D102" s="6">
        <v>37</v>
      </c>
      <c r="E102" s="6">
        <f>3+34</f>
        <v>37</v>
      </c>
      <c r="F102" s="6">
        <f>3+34</f>
        <v>37</v>
      </c>
      <c r="G102" s="6">
        <f>3+34</f>
        <v>37</v>
      </c>
      <c r="H102" s="3"/>
    </row>
    <row r="103" spans="1:8" s="4" customFormat="1" ht="25.5">
      <c r="A103" s="109"/>
      <c r="B103" s="10" t="s">
        <v>112</v>
      </c>
      <c r="C103" s="6" t="s">
        <v>73</v>
      </c>
      <c r="D103" s="6">
        <v>51.125</v>
      </c>
      <c r="E103" s="6">
        <v>51.125</v>
      </c>
      <c r="F103" s="6">
        <v>51.125</v>
      </c>
      <c r="G103" s="6">
        <v>51.125</v>
      </c>
      <c r="H103" s="3"/>
    </row>
    <row r="104" spans="1:8" s="4" customFormat="1" ht="12.75" customHeight="1">
      <c r="A104" s="109" t="s">
        <v>97</v>
      </c>
      <c r="B104" s="10"/>
      <c r="C104" s="3"/>
      <c r="D104" s="3"/>
      <c r="E104" s="3"/>
      <c r="F104" s="3"/>
      <c r="G104" s="3"/>
      <c r="H104" s="3"/>
    </row>
    <row r="105" spans="1:8" s="4" customFormat="1" ht="12.75">
      <c r="A105" s="109"/>
      <c r="B105" s="10" t="s">
        <v>30</v>
      </c>
      <c r="C105" s="6" t="s">
        <v>72</v>
      </c>
      <c r="D105" s="20">
        <f aca="true" t="shared" si="2" ref="D105:D110">E105+F105+G105</f>
        <v>41196708</v>
      </c>
      <c r="E105" s="20">
        <v>13732236</v>
      </c>
      <c r="F105" s="20">
        <v>13732236</v>
      </c>
      <c r="G105" s="20">
        <v>13732236</v>
      </c>
      <c r="H105" s="3"/>
    </row>
    <row r="106" spans="1:8" s="4" customFormat="1" ht="25.5">
      <c r="A106" s="109"/>
      <c r="B106" s="8" t="s">
        <v>28</v>
      </c>
      <c r="C106" s="6" t="s">
        <v>72</v>
      </c>
      <c r="D106" s="20">
        <f t="shared" si="2"/>
        <v>1941000</v>
      </c>
      <c r="E106" s="20">
        <v>647000</v>
      </c>
      <c r="F106" s="20">
        <v>647000</v>
      </c>
      <c r="G106" s="20">
        <v>647000</v>
      </c>
      <c r="H106" s="3"/>
    </row>
    <row r="107" spans="1:8" s="4" customFormat="1" ht="12.75">
      <c r="A107" s="109"/>
      <c r="B107" s="10" t="s">
        <v>98</v>
      </c>
      <c r="C107" s="6" t="s">
        <v>72</v>
      </c>
      <c r="D107" s="20">
        <f t="shared" si="2"/>
        <v>140866</v>
      </c>
      <c r="E107" s="20">
        <v>19200</v>
      </c>
      <c r="F107" s="20">
        <v>60833</v>
      </c>
      <c r="G107" s="20">
        <v>60833</v>
      </c>
      <c r="H107" s="3"/>
    </row>
    <row r="108" spans="1:8" s="4" customFormat="1" ht="12.75">
      <c r="A108" s="109"/>
      <c r="B108" s="10" t="s">
        <v>99</v>
      </c>
      <c r="C108" s="6" t="s">
        <v>72</v>
      </c>
      <c r="D108" s="20">
        <f t="shared" si="2"/>
        <v>77548</v>
      </c>
      <c r="E108" s="20">
        <v>62000</v>
      </c>
      <c r="F108" s="20">
        <v>7774</v>
      </c>
      <c r="G108" s="20">
        <v>7774</v>
      </c>
      <c r="H108" s="3"/>
    </row>
    <row r="109" spans="1:8" s="4" customFormat="1" ht="12.75">
      <c r="A109" s="109"/>
      <c r="B109" s="10" t="s">
        <v>100</v>
      </c>
      <c r="C109" s="6" t="s">
        <v>72</v>
      </c>
      <c r="D109" s="20">
        <f t="shared" si="2"/>
        <v>2236857</v>
      </c>
      <c r="E109" s="20">
        <v>684011</v>
      </c>
      <c r="F109" s="20">
        <v>776423</v>
      </c>
      <c r="G109" s="20">
        <v>776423</v>
      </c>
      <c r="H109" s="3"/>
    </row>
    <row r="110" spans="1:8" s="4" customFormat="1" ht="25.5">
      <c r="A110" s="109"/>
      <c r="B110" s="10" t="s">
        <v>101</v>
      </c>
      <c r="C110" s="6" t="s">
        <v>72</v>
      </c>
      <c r="D110" s="20">
        <f t="shared" si="2"/>
        <v>15740</v>
      </c>
      <c r="E110" s="20">
        <v>5800</v>
      </c>
      <c r="F110" s="20">
        <v>4970</v>
      </c>
      <c r="G110" s="20">
        <v>4970</v>
      </c>
      <c r="H110" s="3"/>
    </row>
    <row r="111" spans="1:8" s="4" customFormat="1" ht="25.5">
      <c r="A111" s="109"/>
      <c r="B111" s="8" t="s">
        <v>158</v>
      </c>
      <c r="C111" s="6" t="s">
        <v>152</v>
      </c>
      <c r="D111" s="9">
        <f>E111</f>
        <v>12.573</v>
      </c>
      <c r="E111" s="9">
        <v>12.573</v>
      </c>
      <c r="F111" s="20"/>
      <c r="G111" s="20"/>
      <c r="H111" s="3"/>
    </row>
    <row r="112" spans="1:8" s="4" customFormat="1" ht="12.75">
      <c r="A112" s="109" t="s">
        <v>102</v>
      </c>
      <c r="B112" s="10"/>
      <c r="C112" s="3"/>
      <c r="D112" s="3"/>
      <c r="E112" s="3"/>
      <c r="F112" s="3"/>
      <c r="G112" s="3"/>
      <c r="H112" s="3"/>
    </row>
    <row r="113" spans="1:8" s="4" customFormat="1" ht="25.5">
      <c r="A113" s="109"/>
      <c r="B113" s="10" t="s">
        <v>103</v>
      </c>
      <c r="C113" s="6" t="s">
        <v>74</v>
      </c>
      <c r="D113" s="20">
        <f>E113+F113+G113</f>
        <v>3791.4799999999996</v>
      </c>
      <c r="E113" s="20">
        <v>1265</v>
      </c>
      <c r="F113" s="20">
        <v>1263.24</v>
      </c>
      <c r="G113" s="20">
        <v>1263.24</v>
      </c>
      <c r="H113" s="3"/>
    </row>
    <row r="114" spans="1:8" s="4" customFormat="1" ht="25.5">
      <c r="A114" s="109"/>
      <c r="B114" s="10" t="s">
        <v>104</v>
      </c>
      <c r="C114" s="6" t="s">
        <v>74</v>
      </c>
      <c r="D114" s="20">
        <f>E114+F114+G114</f>
        <v>13946.400000000001</v>
      </c>
      <c r="E114" s="20">
        <v>4653</v>
      </c>
      <c r="F114" s="20">
        <v>4646.7</v>
      </c>
      <c r="G114" s="20">
        <v>4646.7</v>
      </c>
      <c r="H114" s="3"/>
    </row>
    <row r="115" spans="1:8" s="4" customFormat="1" ht="25.5">
      <c r="A115" s="109"/>
      <c r="B115" s="10" t="s">
        <v>105</v>
      </c>
      <c r="C115" s="6" t="s">
        <v>74</v>
      </c>
      <c r="D115" s="20">
        <f>E115+F115+G115</f>
        <v>42379.240000000005</v>
      </c>
      <c r="E115" s="20">
        <v>12352</v>
      </c>
      <c r="F115" s="20">
        <v>15013.62</v>
      </c>
      <c r="G115" s="20">
        <v>15013.62</v>
      </c>
      <c r="H115" s="3"/>
    </row>
    <row r="116" spans="1:8" s="4" customFormat="1" ht="38.25">
      <c r="A116" s="109"/>
      <c r="B116" s="10" t="s">
        <v>106</v>
      </c>
      <c r="C116" s="6" t="s">
        <v>74</v>
      </c>
      <c r="D116" s="20">
        <f>E116+F116+G116</f>
        <v>6471</v>
      </c>
      <c r="E116" s="20">
        <v>2157</v>
      </c>
      <c r="F116" s="20">
        <v>2157</v>
      </c>
      <c r="G116" s="20">
        <v>2157</v>
      </c>
      <c r="H116" s="3"/>
    </row>
    <row r="117" spans="1:8" s="4" customFormat="1" ht="12.75" customHeight="1">
      <c r="A117" s="69" t="s">
        <v>107</v>
      </c>
      <c r="B117" s="10"/>
      <c r="C117" s="3"/>
      <c r="D117" s="3"/>
      <c r="E117" s="3"/>
      <c r="F117" s="3"/>
      <c r="G117" s="3"/>
      <c r="H117" s="3"/>
    </row>
    <row r="118" spans="1:8" s="4" customFormat="1" ht="25.5">
      <c r="A118" s="70"/>
      <c r="B118" s="10" t="s">
        <v>26</v>
      </c>
      <c r="C118" s="6" t="s">
        <v>24</v>
      </c>
      <c r="D118" s="20">
        <f>E118+F118+G118</f>
        <v>217018.65999999997</v>
      </c>
      <c r="E118" s="20">
        <f>17821.39+49881.54+9449.79+1428.08</f>
        <v>78580.8</v>
      </c>
      <c r="F118" s="20">
        <f>17821.39+51397.54</f>
        <v>69218.93</v>
      </c>
      <c r="G118" s="20">
        <f>17821.39+51397.54</f>
        <v>69218.93</v>
      </c>
      <c r="H118" s="3"/>
    </row>
    <row r="119" spans="1:8" s="37" customFormat="1" ht="89.25">
      <c r="A119" s="70"/>
      <c r="B119" s="22" t="s">
        <v>157</v>
      </c>
      <c r="C119" s="35" t="s">
        <v>24</v>
      </c>
      <c r="D119" s="36">
        <f>E119+F119+G119</f>
        <v>152676.62</v>
      </c>
      <c r="E119" s="36">
        <v>49881.54</v>
      </c>
      <c r="F119" s="36">
        <v>51397.54</v>
      </c>
      <c r="G119" s="36">
        <v>51397.54</v>
      </c>
      <c r="H119" s="38"/>
    </row>
    <row r="120" spans="1:8" s="37" customFormat="1" ht="102">
      <c r="A120" s="70"/>
      <c r="B120" s="22" t="s">
        <v>176</v>
      </c>
      <c r="C120" s="35" t="s">
        <v>24</v>
      </c>
      <c r="D120" s="36">
        <f>E120+F120+G120</f>
        <v>9449.79</v>
      </c>
      <c r="E120" s="36">
        <v>9449.79</v>
      </c>
      <c r="F120" s="36"/>
      <c r="G120" s="36"/>
      <c r="H120" s="38"/>
    </row>
    <row r="121" spans="1:8" s="37" customFormat="1" ht="38.25">
      <c r="A121" s="70"/>
      <c r="B121" s="22" t="s">
        <v>156</v>
      </c>
      <c r="C121" s="35" t="s">
        <v>24</v>
      </c>
      <c r="D121" s="36">
        <f>E121+F121+G121</f>
        <v>1428.08</v>
      </c>
      <c r="E121" s="36">
        <v>1428.08</v>
      </c>
      <c r="F121" s="36"/>
      <c r="G121" s="36"/>
      <c r="H121" s="38"/>
    </row>
    <row r="122" spans="1:8" s="4" customFormat="1" ht="38.25">
      <c r="A122" s="70"/>
      <c r="B122" s="10" t="s">
        <v>82</v>
      </c>
      <c r="C122" s="6" t="s">
        <v>71</v>
      </c>
      <c r="D122" s="19">
        <f>E122</f>
        <v>5835</v>
      </c>
      <c r="E122" s="6">
        <f>164+5671</f>
        <v>5835</v>
      </c>
      <c r="F122" s="6">
        <v>5835</v>
      </c>
      <c r="G122" s="6">
        <v>5835</v>
      </c>
      <c r="H122" s="3"/>
    </row>
    <row r="123" spans="1:8" s="4" customFormat="1" ht="12.75">
      <c r="A123" s="70"/>
      <c r="B123" s="10" t="s">
        <v>23</v>
      </c>
      <c r="C123" s="6" t="s">
        <v>24</v>
      </c>
      <c r="D123" s="20">
        <f>E123+F123+G123</f>
        <v>94127.9</v>
      </c>
      <c r="E123" s="20">
        <f>16804.8+8208.9</f>
        <v>25013.699999999997</v>
      </c>
      <c r="F123" s="20">
        <f>26348.2+8208.9</f>
        <v>34557.1</v>
      </c>
      <c r="G123" s="20">
        <f>26348.2+8208.9</f>
        <v>34557.1</v>
      </c>
      <c r="H123" s="3"/>
    </row>
    <row r="124" spans="1:8" s="37" customFormat="1" ht="38.25">
      <c r="A124" s="70"/>
      <c r="B124" s="22" t="s">
        <v>156</v>
      </c>
      <c r="C124" s="35" t="s">
        <v>24</v>
      </c>
      <c r="D124" s="36">
        <f>E124+F124+G124</f>
        <v>24626.699999999997</v>
      </c>
      <c r="E124" s="36">
        <v>8208.9</v>
      </c>
      <c r="F124" s="36">
        <v>8208.9</v>
      </c>
      <c r="G124" s="36">
        <v>8208.9</v>
      </c>
      <c r="H124" s="38"/>
    </row>
    <row r="125" spans="1:8" s="4" customFormat="1" ht="25.5">
      <c r="A125" s="70"/>
      <c r="B125" s="10" t="s">
        <v>108</v>
      </c>
      <c r="C125" s="6" t="s">
        <v>71</v>
      </c>
      <c r="D125" s="6">
        <v>8070</v>
      </c>
      <c r="E125" s="6">
        <v>8070</v>
      </c>
      <c r="F125" s="6">
        <v>8070</v>
      </c>
      <c r="G125" s="6">
        <v>8070</v>
      </c>
      <c r="H125" s="3"/>
    </row>
    <row r="126" spans="1:8" s="4" customFormat="1" ht="38.25">
      <c r="A126" s="70"/>
      <c r="B126" s="10" t="s">
        <v>113</v>
      </c>
      <c r="C126" s="6" t="s">
        <v>71</v>
      </c>
      <c r="D126" s="26">
        <v>193</v>
      </c>
      <c r="E126" s="26">
        <v>193</v>
      </c>
      <c r="F126" s="26">
        <v>193</v>
      </c>
      <c r="G126" s="26">
        <v>193</v>
      </c>
      <c r="H126" s="3"/>
    </row>
    <row r="127" spans="1:8" s="4" customFormat="1" ht="12.75" customHeight="1">
      <c r="A127" s="70"/>
      <c r="B127" s="61" t="s">
        <v>65</v>
      </c>
      <c r="C127" s="6" t="s">
        <v>73</v>
      </c>
      <c r="D127" s="6">
        <v>417.25</v>
      </c>
      <c r="E127" s="6">
        <f>396.9+20.35</f>
        <v>417.25</v>
      </c>
      <c r="F127" s="6">
        <f>396.9+20.35</f>
        <v>417.25</v>
      </c>
      <c r="G127" s="6">
        <f>396.9+20.35</f>
        <v>417.25</v>
      </c>
      <c r="H127" s="3"/>
    </row>
    <row r="128" spans="1:8" s="4" customFormat="1" ht="38.25">
      <c r="A128" s="70"/>
      <c r="B128" s="10" t="s">
        <v>109</v>
      </c>
      <c r="C128" s="6" t="s">
        <v>71</v>
      </c>
      <c r="D128" s="6">
        <v>274</v>
      </c>
      <c r="E128" s="6">
        <v>274</v>
      </c>
      <c r="F128" s="6">
        <v>274</v>
      </c>
      <c r="G128" s="6">
        <v>274</v>
      </c>
      <c r="H128" s="3"/>
    </row>
    <row r="129" spans="1:8" s="4" customFormat="1" ht="25.5">
      <c r="A129" s="70"/>
      <c r="B129" s="10" t="s">
        <v>110</v>
      </c>
      <c r="C129" s="6" t="s">
        <v>71</v>
      </c>
      <c r="D129" s="6">
        <v>36</v>
      </c>
      <c r="E129" s="6">
        <v>36</v>
      </c>
      <c r="F129" s="6">
        <v>36</v>
      </c>
      <c r="G129" s="6">
        <v>36</v>
      </c>
      <c r="H129" s="3"/>
    </row>
    <row r="130" spans="1:8" s="4" customFormat="1" ht="25.5">
      <c r="A130" s="70"/>
      <c r="B130" s="10" t="s">
        <v>111</v>
      </c>
      <c r="C130" s="6" t="s">
        <v>71</v>
      </c>
      <c r="D130" s="6">
        <f>E130+F130+G130</f>
        <v>27</v>
      </c>
      <c r="E130" s="6">
        <v>9</v>
      </c>
      <c r="F130" s="6">
        <v>9</v>
      </c>
      <c r="G130" s="6">
        <v>9</v>
      </c>
      <c r="H130" s="3"/>
    </row>
    <row r="131" spans="1:8" s="4" customFormat="1" ht="25.5">
      <c r="A131" s="70"/>
      <c r="B131" s="8" t="s">
        <v>84</v>
      </c>
      <c r="C131" s="6" t="s">
        <v>71</v>
      </c>
      <c r="D131" s="6">
        <f>E131+F131+G131</f>
        <v>10788</v>
      </c>
      <c r="E131" s="6">
        <v>3596</v>
      </c>
      <c r="F131" s="6">
        <v>3596</v>
      </c>
      <c r="G131" s="6">
        <v>3596</v>
      </c>
      <c r="H131" s="3"/>
    </row>
    <row r="132" spans="1:8" s="4" customFormat="1" ht="51">
      <c r="A132" s="70"/>
      <c r="B132" s="8" t="s">
        <v>250</v>
      </c>
      <c r="C132" s="6"/>
      <c r="D132" s="6"/>
      <c r="E132" s="6"/>
      <c r="F132" s="6"/>
      <c r="G132" s="6"/>
      <c r="H132" s="3"/>
    </row>
    <row r="133" spans="1:8" s="4" customFormat="1" ht="25.5">
      <c r="A133" s="70"/>
      <c r="B133" s="10" t="s">
        <v>26</v>
      </c>
      <c r="C133" s="6" t="s">
        <v>24</v>
      </c>
      <c r="D133" s="6">
        <f>E133</f>
        <v>500</v>
      </c>
      <c r="E133" s="6">
        <v>500</v>
      </c>
      <c r="F133" s="6"/>
      <c r="G133" s="6"/>
      <c r="H133" s="3"/>
    </row>
    <row r="134" spans="1:8" s="4" customFormat="1" ht="12.75" customHeight="1">
      <c r="A134" s="70"/>
      <c r="B134" s="8" t="s">
        <v>65</v>
      </c>
      <c r="C134" s="6" t="s">
        <v>71</v>
      </c>
      <c r="D134" s="6">
        <f>E134</f>
        <v>45</v>
      </c>
      <c r="E134" s="6">
        <v>45</v>
      </c>
      <c r="F134" s="6"/>
      <c r="G134" s="6"/>
      <c r="H134" s="3"/>
    </row>
    <row r="135" spans="1:8" s="4" customFormat="1" ht="25.5">
      <c r="A135" s="70"/>
      <c r="B135" s="8" t="s">
        <v>175</v>
      </c>
      <c r="C135" s="6" t="s">
        <v>152</v>
      </c>
      <c r="D135" s="53">
        <f>E135</f>
        <v>2788.462</v>
      </c>
      <c r="E135" s="9">
        <f>1749.328+1039.134</f>
        <v>2788.462</v>
      </c>
      <c r="F135" s="6"/>
      <c r="G135" s="6"/>
      <c r="H135" s="3"/>
    </row>
    <row r="136" spans="1:8" s="4" customFormat="1" ht="102">
      <c r="A136" s="71"/>
      <c r="B136" s="22" t="s">
        <v>176</v>
      </c>
      <c r="C136" s="35" t="s">
        <v>152</v>
      </c>
      <c r="D136" s="55">
        <f>E136</f>
        <v>1039.134</v>
      </c>
      <c r="E136" s="23">
        <v>1039.134</v>
      </c>
      <c r="F136" s="6"/>
      <c r="G136" s="6"/>
      <c r="H136" s="3"/>
    </row>
    <row r="137" spans="1:8" s="4" customFormat="1" ht="12.75" customHeight="1">
      <c r="A137" s="69" t="s">
        <v>114</v>
      </c>
      <c r="B137" s="8"/>
      <c r="C137" s="3"/>
      <c r="D137" s="3"/>
      <c r="E137" s="3"/>
      <c r="F137" s="3"/>
      <c r="G137" s="3"/>
      <c r="H137" s="3"/>
    </row>
    <row r="138" spans="1:8" s="4" customFormat="1" ht="12.75">
      <c r="A138" s="70"/>
      <c r="B138" s="110" t="s">
        <v>85</v>
      </c>
      <c r="C138" s="6" t="s">
        <v>71</v>
      </c>
      <c r="D138" s="19">
        <f aca="true" t="shared" si="3" ref="D138:D152">E138+F138+G138</f>
        <v>83</v>
      </c>
      <c r="E138" s="19">
        <v>21</v>
      </c>
      <c r="F138" s="19">
        <f>18+13</f>
        <v>31</v>
      </c>
      <c r="G138" s="19">
        <f>18+13</f>
        <v>31</v>
      </c>
      <c r="H138" s="3"/>
    </row>
    <row r="139" spans="1:8" s="4" customFormat="1" ht="12.75">
      <c r="A139" s="70"/>
      <c r="B139" s="110"/>
      <c r="C139" s="6" t="s">
        <v>24</v>
      </c>
      <c r="D139" s="20">
        <f t="shared" si="3"/>
        <v>130802.56</v>
      </c>
      <c r="E139" s="6">
        <f>81000</f>
        <v>81000</v>
      </c>
      <c r="F139" s="6">
        <f>24901.28</f>
        <v>24901.28</v>
      </c>
      <c r="G139" s="6">
        <f>24901.28</f>
        <v>24901.28</v>
      </c>
      <c r="H139" s="3"/>
    </row>
    <row r="140" spans="1:8" s="37" customFormat="1" ht="102">
      <c r="A140" s="70"/>
      <c r="B140" s="22" t="s">
        <v>176</v>
      </c>
      <c r="C140" s="35" t="s">
        <v>24</v>
      </c>
      <c r="D140" s="42">
        <f>E140+F140+G140</f>
        <v>81000</v>
      </c>
      <c r="E140" s="35">
        <v>81000</v>
      </c>
      <c r="F140" s="35"/>
      <c r="G140" s="35"/>
      <c r="H140" s="38"/>
    </row>
    <row r="141" spans="1:8" s="4" customFormat="1" ht="12.75">
      <c r="A141" s="70"/>
      <c r="B141" s="10" t="s">
        <v>27</v>
      </c>
      <c r="C141" s="6" t="s">
        <v>71</v>
      </c>
      <c r="D141" s="6">
        <f t="shared" si="3"/>
        <v>564</v>
      </c>
      <c r="E141" s="6">
        <v>188</v>
      </c>
      <c r="F141" s="6">
        <v>188</v>
      </c>
      <c r="G141" s="6">
        <v>188</v>
      </c>
      <c r="H141" s="3"/>
    </row>
    <row r="142" spans="1:8" s="4" customFormat="1" ht="25.5">
      <c r="A142" s="70"/>
      <c r="B142" s="10" t="s">
        <v>55</v>
      </c>
      <c r="C142" s="6" t="s">
        <v>71</v>
      </c>
      <c r="D142" s="6">
        <f>E142+F142+G142</f>
        <v>65</v>
      </c>
      <c r="E142" s="6">
        <v>65</v>
      </c>
      <c r="F142" s="6"/>
      <c r="G142" s="6"/>
      <c r="H142" s="3"/>
    </row>
    <row r="143" spans="1:8" s="4" customFormat="1" ht="25.5">
      <c r="A143" s="70"/>
      <c r="B143" s="10" t="s">
        <v>187</v>
      </c>
      <c r="C143" s="6" t="s">
        <v>24</v>
      </c>
      <c r="D143" s="6">
        <f t="shared" si="3"/>
        <v>2688.97</v>
      </c>
      <c r="E143" s="6">
        <v>2688.97</v>
      </c>
      <c r="F143" s="6"/>
      <c r="G143" s="6"/>
      <c r="H143" s="3"/>
    </row>
    <row r="144" spans="1:8" s="4" customFormat="1" ht="51">
      <c r="A144" s="70"/>
      <c r="B144" s="10" t="s">
        <v>177</v>
      </c>
      <c r="C144" s="6" t="s">
        <v>71</v>
      </c>
      <c r="D144" s="6">
        <f t="shared" si="3"/>
        <v>15</v>
      </c>
      <c r="E144" s="6">
        <v>15</v>
      </c>
      <c r="F144" s="6"/>
      <c r="G144" s="6"/>
      <c r="H144" s="3"/>
    </row>
    <row r="145" spans="1:8" s="37" customFormat="1" ht="38.25">
      <c r="A145" s="70"/>
      <c r="B145" s="22" t="s">
        <v>156</v>
      </c>
      <c r="C145" s="35" t="s">
        <v>71</v>
      </c>
      <c r="D145" s="35">
        <f t="shared" si="3"/>
        <v>15</v>
      </c>
      <c r="E145" s="35">
        <v>15</v>
      </c>
      <c r="F145" s="35"/>
      <c r="G145" s="35"/>
      <c r="H145" s="38"/>
    </row>
    <row r="146" spans="1:8" s="4" customFormat="1" ht="12.75">
      <c r="A146" s="70"/>
      <c r="B146" s="119" t="s">
        <v>86</v>
      </c>
      <c r="C146" s="6" t="s">
        <v>24</v>
      </c>
      <c r="D146" s="20">
        <f t="shared" si="3"/>
        <v>55522.6</v>
      </c>
      <c r="E146" s="45">
        <v>6661</v>
      </c>
      <c r="F146" s="6">
        <f aca="true" t="shared" si="4" ref="F146:G148">24430.8</f>
        <v>24430.8</v>
      </c>
      <c r="G146" s="6">
        <f t="shared" si="4"/>
        <v>24430.8</v>
      </c>
      <c r="H146" s="3"/>
    </row>
    <row r="147" spans="1:8" s="4" customFormat="1" ht="12.75">
      <c r="A147" s="70"/>
      <c r="B147" s="120"/>
      <c r="C147" s="6" t="s">
        <v>25</v>
      </c>
      <c r="D147" s="9">
        <f t="shared" si="3"/>
        <v>2.0039</v>
      </c>
      <c r="E147" s="6">
        <v>2.0039</v>
      </c>
      <c r="F147" s="6"/>
      <c r="G147" s="6"/>
      <c r="H147" s="3"/>
    </row>
    <row r="148" spans="1:8" s="37" customFormat="1" ht="80.25" customHeight="1">
      <c r="A148" s="70"/>
      <c r="B148" s="121" t="s">
        <v>157</v>
      </c>
      <c r="C148" s="35" t="s">
        <v>24</v>
      </c>
      <c r="D148" s="36">
        <f>E148+F148+G148</f>
        <v>55522.6</v>
      </c>
      <c r="E148" s="46">
        <v>6661</v>
      </c>
      <c r="F148" s="35">
        <f t="shared" si="4"/>
        <v>24430.8</v>
      </c>
      <c r="G148" s="35">
        <f t="shared" si="4"/>
        <v>24430.8</v>
      </c>
      <c r="H148" s="38"/>
    </row>
    <row r="149" spans="1:8" s="37" customFormat="1" ht="12.75">
      <c r="A149" s="70"/>
      <c r="B149" s="122"/>
      <c r="C149" s="35" t="s">
        <v>25</v>
      </c>
      <c r="D149" s="23">
        <f>E149+F149+G149</f>
        <v>2.0039</v>
      </c>
      <c r="E149" s="35">
        <v>2.0039</v>
      </c>
      <c r="F149" s="35"/>
      <c r="G149" s="35"/>
      <c r="H149" s="38"/>
    </row>
    <row r="150" spans="1:8" s="4" customFormat="1" ht="25.5">
      <c r="A150" s="70"/>
      <c r="B150" s="8" t="s">
        <v>87</v>
      </c>
      <c r="C150" s="6" t="s">
        <v>25</v>
      </c>
      <c r="D150" s="9">
        <f t="shared" si="3"/>
        <v>1.7600000000000002</v>
      </c>
      <c r="E150" s="53">
        <v>0.42</v>
      </c>
      <c r="F150" s="53">
        <v>0.67</v>
      </c>
      <c r="G150" s="53">
        <v>0.67</v>
      </c>
      <c r="H150" s="3"/>
    </row>
    <row r="151" spans="1:8" s="37" customFormat="1" ht="89.25">
      <c r="A151" s="70"/>
      <c r="B151" s="22" t="s">
        <v>157</v>
      </c>
      <c r="C151" s="35" t="s">
        <v>25</v>
      </c>
      <c r="D151" s="23">
        <f>E151+F151+G151</f>
        <v>1.7600000000000002</v>
      </c>
      <c r="E151" s="55">
        <v>0.42</v>
      </c>
      <c r="F151" s="55">
        <v>0.67</v>
      </c>
      <c r="G151" s="55">
        <v>0.67</v>
      </c>
      <c r="H151" s="38"/>
    </row>
    <row r="152" spans="1:8" s="37" customFormat="1" ht="25.5">
      <c r="A152" s="70"/>
      <c r="B152" s="8" t="s">
        <v>178</v>
      </c>
      <c r="C152" s="6" t="s">
        <v>71</v>
      </c>
      <c r="D152" s="19">
        <f t="shared" si="3"/>
        <v>1</v>
      </c>
      <c r="E152" s="26">
        <v>1</v>
      </c>
      <c r="F152" s="26"/>
      <c r="G152" s="26"/>
      <c r="H152" s="38"/>
    </row>
    <row r="153" spans="1:8" s="37" customFormat="1" ht="38.25">
      <c r="A153" s="70"/>
      <c r="B153" s="22" t="s">
        <v>156</v>
      </c>
      <c r="C153" s="35" t="s">
        <v>71</v>
      </c>
      <c r="D153" s="42">
        <f>E153+F153+G153</f>
        <v>1</v>
      </c>
      <c r="E153" s="56">
        <v>1</v>
      </c>
      <c r="F153" s="56"/>
      <c r="G153" s="56"/>
      <c r="H153" s="38"/>
    </row>
    <row r="154" spans="1:8" s="37" customFormat="1" ht="51">
      <c r="A154" s="70"/>
      <c r="B154" s="8" t="s">
        <v>252</v>
      </c>
      <c r="C154" s="35"/>
      <c r="D154" s="42"/>
      <c r="E154" s="56"/>
      <c r="F154" s="56"/>
      <c r="G154" s="56"/>
      <c r="H154" s="38"/>
    </row>
    <row r="155" spans="1:8" s="37" customFormat="1" ht="25.5">
      <c r="A155" s="70"/>
      <c r="B155" s="10" t="s">
        <v>55</v>
      </c>
      <c r="C155" s="6" t="s">
        <v>71</v>
      </c>
      <c r="D155" s="6">
        <f>E155+F155+G155</f>
        <v>15</v>
      </c>
      <c r="E155" s="6">
        <v>15</v>
      </c>
      <c r="F155" s="56"/>
      <c r="G155" s="56"/>
      <c r="H155" s="38"/>
    </row>
    <row r="156" spans="1:8" s="37" customFormat="1" ht="12.75">
      <c r="A156" s="70"/>
      <c r="B156" s="10" t="s">
        <v>238</v>
      </c>
      <c r="C156" s="6" t="s">
        <v>71</v>
      </c>
      <c r="D156" s="6">
        <f>E156+F156+G156</f>
        <v>914</v>
      </c>
      <c r="E156" s="6">
        <f>887+27</f>
        <v>914</v>
      </c>
      <c r="F156" s="56"/>
      <c r="G156" s="56"/>
      <c r="H156" s="38"/>
    </row>
    <row r="157" spans="1:8" s="4" customFormat="1" ht="25.5">
      <c r="A157" s="70"/>
      <c r="B157" s="8" t="s">
        <v>175</v>
      </c>
      <c r="C157" s="6" t="s">
        <v>152</v>
      </c>
      <c r="D157" s="9">
        <f>E157</f>
        <v>715.362</v>
      </c>
      <c r="E157" s="6">
        <v>715.362</v>
      </c>
      <c r="F157" s="6"/>
      <c r="G157" s="6"/>
      <c r="H157" s="3"/>
    </row>
    <row r="158" spans="1:8" s="37" customFormat="1" ht="102">
      <c r="A158" s="70"/>
      <c r="B158" s="22" t="s">
        <v>176</v>
      </c>
      <c r="C158" s="35" t="s">
        <v>152</v>
      </c>
      <c r="D158" s="23">
        <f>E158</f>
        <v>57.954</v>
      </c>
      <c r="E158" s="35">
        <v>57.954</v>
      </c>
      <c r="F158" s="35"/>
      <c r="G158" s="35"/>
      <c r="H158" s="38"/>
    </row>
    <row r="159" spans="1:8" s="37" customFormat="1" ht="38.25">
      <c r="A159" s="71"/>
      <c r="B159" s="22" t="s">
        <v>156</v>
      </c>
      <c r="C159" s="35" t="s">
        <v>152</v>
      </c>
      <c r="D159" s="23">
        <f>E159</f>
        <v>338.135</v>
      </c>
      <c r="E159" s="35">
        <v>338.135</v>
      </c>
      <c r="F159" s="35"/>
      <c r="G159" s="35"/>
      <c r="H159" s="38"/>
    </row>
    <row r="160" spans="1:8" s="4" customFormat="1" ht="12.75">
      <c r="A160" s="68" t="s">
        <v>127</v>
      </c>
      <c r="B160" s="68"/>
      <c r="C160" s="68"/>
      <c r="D160" s="68"/>
      <c r="E160" s="68"/>
      <c r="F160" s="68"/>
      <c r="G160" s="68"/>
      <c r="H160" s="3"/>
    </row>
    <row r="161" spans="1:8" s="4" customFormat="1" ht="12.75">
      <c r="A161" s="109" t="s">
        <v>96</v>
      </c>
      <c r="B161" s="8"/>
      <c r="C161" s="3"/>
      <c r="D161" s="3"/>
      <c r="E161" s="3"/>
      <c r="F161" s="3"/>
      <c r="G161" s="3"/>
      <c r="H161" s="3"/>
    </row>
    <row r="162" spans="1:8" s="4" customFormat="1" ht="25.5">
      <c r="A162" s="109"/>
      <c r="B162" s="10" t="s">
        <v>65</v>
      </c>
      <c r="C162" s="6" t="s">
        <v>24</v>
      </c>
      <c r="D162" s="54">
        <f>E162+F162+G162</f>
        <v>540000</v>
      </c>
      <c r="E162" s="54">
        <v>180000</v>
      </c>
      <c r="F162" s="54">
        <v>180000</v>
      </c>
      <c r="G162" s="54">
        <v>180000</v>
      </c>
      <c r="H162" s="3"/>
    </row>
    <row r="163" spans="1:8" s="4" customFormat="1" ht="12.75">
      <c r="A163" s="109"/>
      <c r="B163" s="10" t="s">
        <v>118</v>
      </c>
      <c r="C163" s="3" t="s">
        <v>71</v>
      </c>
      <c r="D163" s="26">
        <f>E163+F163+G163</f>
        <v>14</v>
      </c>
      <c r="E163" s="3">
        <v>14</v>
      </c>
      <c r="F163" s="3"/>
      <c r="G163" s="3"/>
      <c r="H163" s="3"/>
    </row>
    <row r="164" spans="1:8" s="4" customFormat="1" ht="12.75" customHeight="1">
      <c r="A164" s="69" t="s">
        <v>107</v>
      </c>
      <c r="B164" s="8"/>
      <c r="C164" s="3"/>
      <c r="D164" s="3"/>
      <c r="E164" s="3"/>
      <c r="F164" s="3"/>
      <c r="G164" s="3"/>
      <c r="H164" s="3"/>
    </row>
    <row r="165" spans="1:8" s="4" customFormat="1" ht="12.75">
      <c r="A165" s="70"/>
      <c r="B165" s="110" t="s">
        <v>26</v>
      </c>
      <c r="C165" s="6" t="s">
        <v>24</v>
      </c>
      <c r="D165" s="54">
        <f>E165+F165+G165</f>
        <v>486</v>
      </c>
      <c r="E165" s="54">
        <v>162</v>
      </c>
      <c r="F165" s="54">
        <v>162</v>
      </c>
      <c r="G165" s="54">
        <v>162</v>
      </c>
      <c r="H165" s="3"/>
    </row>
    <row r="166" spans="1:8" s="4" customFormat="1" ht="12.75">
      <c r="A166" s="70"/>
      <c r="B166" s="110"/>
      <c r="C166" s="6" t="s">
        <v>75</v>
      </c>
      <c r="D166" s="53">
        <f>E166+F166+G166</f>
        <v>1033.368</v>
      </c>
      <c r="E166" s="53">
        <v>344.456</v>
      </c>
      <c r="F166" s="53">
        <v>344.456</v>
      </c>
      <c r="G166" s="53">
        <v>344.456</v>
      </c>
      <c r="H166" s="3"/>
    </row>
    <row r="167" spans="1:8" s="4" customFormat="1" ht="25.5">
      <c r="A167" s="70"/>
      <c r="B167" s="10" t="s">
        <v>34</v>
      </c>
      <c r="C167" s="6" t="s">
        <v>24</v>
      </c>
      <c r="D167" s="54">
        <f>E167+F167+G167</f>
        <v>4225.860000000001</v>
      </c>
      <c r="E167" s="54">
        <f>1178+691.86</f>
        <v>1869.8600000000001</v>
      </c>
      <c r="F167" s="54">
        <v>1178</v>
      </c>
      <c r="G167" s="54">
        <v>1178</v>
      </c>
      <c r="H167" s="3"/>
    </row>
    <row r="168" spans="1:8" s="4" customFormat="1" ht="25.5">
      <c r="A168" s="70"/>
      <c r="B168" s="10" t="s">
        <v>35</v>
      </c>
      <c r="C168" s="6" t="s">
        <v>24</v>
      </c>
      <c r="D168" s="54">
        <f>E168+F168+G168</f>
        <v>8029.4400000000005</v>
      </c>
      <c r="E168" s="54">
        <v>2676.48</v>
      </c>
      <c r="F168" s="54">
        <v>2676.48</v>
      </c>
      <c r="G168" s="54">
        <v>2676.48</v>
      </c>
      <c r="H168" s="3"/>
    </row>
    <row r="169" spans="1:8" s="4" customFormat="1" ht="25.5">
      <c r="A169" s="71"/>
      <c r="B169" s="10" t="s">
        <v>179</v>
      </c>
      <c r="C169" s="6" t="s">
        <v>24</v>
      </c>
      <c r="D169" s="54">
        <f>E169+F169+G169</f>
        <v>123.61</v>
      </c>
      <c r="E169" s="54">
        <v>123.61</v>
      </c>
      <c r="F169" s="54"/>
      <c r="G169" s="54"/>
      <c r="H169" s="3"/>
    </row>
    <row r="170" spans="1:8" s="4" customFormat="1" ht="12.75">
      <c r="A170" s="109" t="s">
        <v>116</v>
      </c>
      <c r="B170" s="10"/>
      <c r="C170" s="3"/>
      <c r="D170" s="3"/>
      <c r="E170" s="3"/>
      <c r="F170" s="3"/>
      <c r="G170" s="3"/>
      <c r="H170" s="3"/>
    </row>
    <row r="171" spans="1:8" s="4" customFormat="1" ht="25.5">
      <c r="A171" s="109"/>
      <c r="B171" s="10" t="s">
        <v>36</v>
      </c>
      <c r="C171" s="6" t="s">
        <v>76</v>
      </c>
      <c r="D171" s="6">
        <f>E171+F171+G171</f>
        <v>387</v>
      </c>
      <c r="E171" s="6">
        <v>129</v>
      </c>
      <c r="F171" s="6">
        <v>129</v>
      </c>
      <c r="G171" s="6">
        <v>129</v>
      </c>
      <c r="H171" s="3"/>
    </row>
    <row r="172" spans="1:8" s="4" customFormat="1" ht="12.75">
      <c r="A172" s="109"/>
      <c r="B172" s="10" t="s">
        <v>37</v>
      </c>
      <c r="C172" s="6" t="s">
        <v>77</v>
      </c>
      <c r="D172" s="6">
        <f>E172+F172+G172</f>
        <v>1444.557</v>
      </c>
      <c r="E172" s="6">
        <v>481.519</v>
      </c>
      <c r="F172" s="6">
        <v>481.519</v>
      </c>
      <c r="G172" s="6">
        <v>481.519</v>
      </c>
      <c r="H172" s="3"/>
    </row>
    <row r="173" spans="1:8" s="4" customFormat="1" ht="17.25" customHeight="1">
      <c r="A173" s="109" t="s">
        <v>115</v>
      </c>
      <c r="B173" s="10"/>
      <c r="C173" s="3"/>
      <c r="D173" s="3"/>
      <c r="E173" s="3"/>
      <c r="F173" s="3"/>
      <c r="G173" s="3"/>
      <c r="H173" s="3"/>
    </row>
    <row r="174" spans="1:8" s="4" customFormat="1" ht="21.75" customHeight="1">
      <c r="A174" s="109"/>
      <c r="B174" s="10" t="s">
        <v>38</v>
      </c>
      <c r="C174" s="6" t="s">
        <v>25</v>
      </c>
      <c r="D174" s="54">
        <f>E174+F174+G174</f>
        <v>39.57</v>
      </c>
      <c r="E174" s="54">
        <v>13.19</v>
      </c>
      <c r="F174" s="54">
        <v>13.19</v>
      </c>
      <c r="G174" s="54">
        <v>13.19</v>
      </c>
      <c r="H174" s="3"/>
    </row>
    <row r="175" spans="1:8" s="4" customFormat="1" ht="12.75">
      <c r="A175" s="75" t="s">
        <v>180</v>
      </c>
      <c r="B175" s="10"/>
      <c r="C175" s="6"/>
      <c r="D175" s="54"/>
      <c r="E175" s="54"/>
      <c r="F175" s="54"/>
      <c r="G175" s="54"/>
      <c r="H175" s="3"/>
    </row>
    <row r="176" spans="1:8" s="4" customFormat="1" ht="25.5">
      <c r="A176" s="76"/>
      <c r="B176" s="8" t="s">
        <v>158</v>
      </c>
      <c r="C176" s="6" t="s">
        <v>152</v>
      </c>
      <c r="D176" s="53">
        <f>E176+F176+G176</f>
        <v>43.781</v>
      </c>
      <c r="E176" s="53">
        <v>43.781</v>
      </c>
      <c r="F176" s="54"/>
      <c r="G176" s="54"/>
      <c r="H176" s="3"/>
    </row>
    <row r="177" spans="1:8" s="4" customFormat="1" ht="12.75">
      <c r="A177" s="68" t="s">
        <v>128</v>
      </c>
      <c r="B177" s="68"/>
      <c r="C177" s="68"/>
      <c r="D177" s="68"/>
      <c r="E177" s="68"/>
      <c r="F177" s="68"/>
      <c r="G177" s="68"/>
      <c r="H177" s="3"/>
    </row>
    <row r="178" spans="1:8" s="4" customFormat="1" ht="12.75">
      <c r="A178" s="109" t="s">
        <v>96</v>
      </c>
      <c r="B178" s="10"/>
      <c r="C178" s="3"/>
      <c r="D178" s="3"/>
      <c r="E178" s="3"/>
      <c r="F178" s="3"/>
      <c r="G178" s="3"/>
      <c r="H178" s="3"/>
    </row>
    <row r="179" spans="1:8" s="4" customFormat="1" ht="25.5">
      <c r="A179" s="109"/>
      <c r="B179" s="10" t="s">
        <v>40</v>
      </c>
      <c r="C179" s="6" t="s">
        <v>24</v>
      </c>
      <c r="D179" s="20">
        <f>E179+F179+G179</f>
        <v>176274</v>
      </c>
      <c r="E179" s="20">
        <v>58758</v>
      </c>
      <c r="F179" s="20">
        <v>58758</v>
      </c>
      <c r="G179" s="20">
        <v>58758</v>
      </c>
      <c r="H179" s="3"/>
    </row>
    <row r="180" spans="1:8" s="4" customFormat="1" ht="12.75">
      <c r="A180" s="109"/>
      <c r="B180" s="10" t="s">
        <v>44</v>
      </c>
      <c r="C180" s="6" t="s">
        <v>73</v>
      </c>
      <c r="D180" s="6">
        <f>E180+F180+G180</f>
        <v>62.937</v>
      </c>
      <c r="E180" s="6">
        <v>20.979</v>
      </c>
      <c r="F180" s="6">
        <v>20.979</v>
      </c>
      <c r="G180" s="6">
        <v>20.979</v>
      </c>
      <c r="H180" s="3"/>
    </row>
    <row r="181" spans="1:8" s="4" customFormat="1" ht="28.5" customHeight="1">
      <c r="A181" s="109"/>
      <c r="B181" s="110" t="s">
        <v>241</v>
      </c>
      <c r="C181" s="6" t="s">
        <v>73</v>
      </c>
      <c r="D181" s="6">
        <f>E181+F181+G181</f>
        <v>93.53699999999999</v>
      </c>
      <c r="E181" s="6">
        <v>31.179</v>
      </c>
      <c r="F181" s="6">
        <v>31.179</v>
      </c>
      <c r="G181" s="6">
        <v>31.179</v>
      </c>
      <c r="H181" s="3"/>
    </row>
    <row r="182" spans="1:8" s="4" customFormat="1" ht="25.5" customHeight="1">
      <c r="A182" s="109"/>
      <c r="B182" s="110"/>
      <c r="C182" s="6" t="s">
        <v>71</v>
      </c>
      <c r="D182" s="6">
        <f>E182+F182+G182</f>
        <v>270</v>
      </c>
      <c r="E182" s="6">
        <v>90</v>
      </c>
      <c r="F182" s="6">
        <v>90</v>
      </c>
      <c r="G182" s="6">
        <v>90</v>
      </c>
      <c r="H182" s="3"/>
    </row>
    <row r="183" spans="1:8" s="4" customFormat="1" ht="12.75">
      <c r="A183" s="109"/>
      <c r="B183" s="10" t="s">
        <v>118</v>
      </c>
      <c r="C183" s="3" t="s">
        <v>71</v>
      </c>
      <c r="D183" s="26">
        <f>E183+F183+G183</f>
        <v>20</v>
      </c>
      <c r="E183" s="3">
        <v>20</v>
      </c>
      <c r="F183" s="3"/>
      <c r="G183" s="3"/>
      <c r="H183" s="3"/>
    </row>
    <row r="184" spans="1:8" s="4" customFormat="1" ht="12.75" customHeight="1">
      <c r="A184" s="69" t="s">
        <v>107</v>
      </c>
      <c r="B184" s="10"/>
      <c r="C184" s="3"/>
      <c r="D184" s="3"/>
      <c r="E184" s="3"/>
      <c r="F184" s="3"/>
      <c r="G184" s="3"/>
      <c r="H184" s="3"/>
    </row>
    <row r="185" spans="1:8" s="4" customFormat="1" ht="25.5">
      <c r="A185" s="70"/>
      <c r="B185" s="10" t="s">
        <v>26</v>
      </c>
      <c r="C185" s="6" t="s">
        <v>24</v>
      </c>
      <c r="D185" s="54">
        <f aca="true" t="shared" si="5" ref="D185:D190">E185+F185+G185</f>
        <v>1010.9499999999999</v>
      </c>
      <c r="E185" s="54">
        <v>482.65</v>
      </c>
      <c r="F185" s="54">
        <v>264.15</v>
      </c>
      <c r="G185" s="54">
        <v>264.15</v>
      </c>
      <c r="H185" s="3"/>
    </row>
    <row r="186" spans="1:8" s="4" customFormat="1" ht="25.5">
      <c r="A186" s="70"/>
      <c r="B186" s="10" t="s">
        <v>41</v>
      </c>
      <c r="C186" s="6" t="s">
        <v>24</v>
      </c>
      <c r="D186" s="54">
        <f t="shared" si="5"/>
        <v>1253.52</v>
      </c>
      <c r="E186" s="54">
        <v>417.84</v>
      </c>
      <c r="F186" s="54">
        <v>417.84</v>
      </c>
      <c r="G186" s="54">
        <v>417.84</v>
      </c>
      <c r="H186" s="3"/>
    </row>
    <row r="187" spans="1:8" s="4" customFormat="1" ht="25.5">
      <c r="A187" s="70"/>
      <c r="B187" s="10" t="s">
        <v>42</v>
      </c>
      <c r="C187" s="6" t="s">
        <v>71</v>
      </c>
      <c r="D187" s="6">
        <f t="shared" si="5"/>
        <v>105</v>
      </c>
      <c r="E187" s="6">
        <v>35</v>
      </c>
      <c r="F187" s="6">
        <v>35</v>
      </c>
      <c r="G187" s="6">
        <v>35</v>
      </c>
      <c r="H187" s="3"/>
    </row>
    <row r="188" spans="1:8" s="4" customFormat="1" ht="12.75">
      <c r="A188" s="70"/>
      <c r="B188" s="10" t="s">
        <v>43</v>
      </c>
      <c r="C188" s="6" t="s">
        <v>24</v>
      </c>
      <c r="D188" s="54">
        <f t="shared" si="5"/>
        <v>3296.25</v>
      </c>
      <c r="E188" s="54">
        <f>476.19+1867.68</f>
        <v>2343.87</v>
      </c>
      <c r="F188" s="54">
        <v>476.19</v>
      </c>
      <c r="G188" s="54">
        <v>476.19</v>
      </c>
      <c r="H188" s="3"/>
    </row>
    <row r="189" spans="1:8" s="4" customFormat="1" ht="25.5">
      <c r="A189" s="70"/>
      <c r="B189" s="10" t="s">
        <v>45</v>
      </c>
      <c r="C189" s="6" t="s">
        <v>71</v>
      </c>
      <c r="D189" s="6">
        <f t="shared" si="5"/>
        <v>284</v>
      </c>
      <c r="E189" s="6">
        <v>94</v>
      </c>
      <c r="F189" s="6">
        <f>92+2+1</f>
        <v>95</v>
      </c>
      <c r="G189" s="6">
        <f>92+2+1</f>
        <v>95</v>
      </c>
      <c r="H189" s="3"/>
    </row>
    <row r="190" spans="1:8" s="4" customFormat="1" ht="25.5">
      <c r="A190" s="71"/>
      <c r="B190" s="10" t="s">
        <v>55</v>
      </c>
      <c r="C190" s="6" t="s">
        <v>71</v>
      </c>
      <c r="D190" s="6">
        <f t="shared" si="5"/>
        <v>1</v>
      </c>
      <c r="E190" s="6">
        <v>1</v>
      </c>
      <c r="F190" s="6"/>
      <c r="G190" s="6"/>
      <c r="H190" s="3"/>
    </row>
    <row r="191" spans="1:8" s="4" customFormat="1" ht="12.75">
      <c r="A191" s="109" t="s">
        <v>116</v>
      </c>
      <c r="B191" s="8"/>
      <c r="C191" s="3"/>
      <c r="D191" s="3"/>
      <c r="E191" s="3"/>
      <c r="F191" s="3"/>
      <c r="G191" s="3"/>
      <c r="H191" s="3"/>
    </row>
    <row r="192" spans="1:8" s="4" customFormat="1" ht="25.5">
      <c r="A192" s="109"/>
      <c r="B192" s="10" t="s">
        <v>36</v>
      </c>
      <c r="C192" s="6" t="s">
        <v>76</v>
      </c>
      <c r="D192" s="6">
        <f>E192+F192+G192</f>
        <v>300</v>
      </c>
      <c r="E192" s="6">
        <v>100</v>
      </c>
      <c r="F192" s="6">
        <v>100</v>
      </c>
      <c r="G192" s="6">
        <v>100</v>
      </c>
      <c r="H192" s="3"/>
    </row>
    <row r="193" spans="1:8" s="4" customFormat="1" ht="12.75">
      <c r="A193" s="109"/>
      <c r="B193" s="10" t="s">
        <v>181</v>
      </c>
      <c r="C193" s="6" t="s">
        <v>77</v>
      </c>
      <c r="D193" s="6">
        <f>E193+F193+G193</f>
        <v>1885.02</v>
      </c>
      <c r="E193" s="6">
        <v>485.8</v>
      </c>
      <c r="F193" s="6">
        <v>699.61</v>
      </c>
      <c r="G193" s="6">
        <v>699.61</v>
      </c>
      <c r="H193" s="3"/>
    </row>
    <row r="194" spans="1:8" s="4" customFormat="1" ht="25.5">
      <c r="A194" s="109"/>
      <c r="B194" s="10" t="s">
        <v>182</v>
      </c>
      <c r="C194" s="6" t="s">
        <v>24</v>
      </c>
      <c r="D194" s="6">
        <f>E194+F194+G194</f>
        <v>3062.43</v>
      </c>
      <c r="E194" s="6">
        <v>1020.81</v>
      </c>
      <c r="F194" s="6">
        <v>1020.81</v>
      </c>
      <c r="G194" s="6">
        <v>1020.81</v>
      </c>
      <c r="H194" s="3"/>
    </row>
    <row r="195" spans="1:8" s="4" customFormat="1" ht="12.75">
      <c r="A195" s="67" t="s">
        <v>164</v>
      </c>
      <c r="B195" s="10"/>
      <c r="C195" s="6"/>
      <c r="D195" s="6"/>
      <c r="E195" s="6"/>
      <c r="F195" s="6"/>
      <c r="G195" s="6"/>
      <c r="H195" s="3"/>
    </row>
    <row r="196" spans="1:8" s="4" customFormat="1" ht="25.5">
      <c r="A196" s="67"/>
      <c r="B196" s="8" t="s">
        <v>158</v>
      </c>
      <c r="C196" s="6" t="s">
        <v>152</v>
      </c>
      <c r="D196" s="6">
        <f>E196</f>
        <v>117.316</v>
      </c>
      <c r="E196" s="9">
        <f>38.907+44.709+33.7</f>
        <v>117.316</v>
      </c>
      <c r="F196" s="6"/>
      <c r="G196" s="6"/>
      <c r="H196" s="3"/>
    </row>
    <row r="197" spans="1:8" s="4" customFormat="1" ht="12.75">
      <c r="A197" s="68" t="s">
        <v>129</v>
      </c>
      <c r="B197" s="68"/>
      <c r="C197" s="68"/>
      <c r="D197" s="68"/>
      <c r="E197" s="68"/>
      <c r="F197" s="68"/>
      <c r="G197" s="68"/>
      <c r="H197" s="3"/>
    </row>
    <row r="198" spans="1:8" s="4" customFormat="1" ht="12.75">
      <c r="A198" s="109" t="s">
        <v>96</v>
      </c>
      <c r="B198" s="10"/>
      <c r="C198" s="3"/>
      <c r="D198" s="3"/>
      <c r="E198" s="3"/>
      <c r="F198" s="3"/>
      <c r="G198" s="3"/>
      <c r="H198" s="3"/>
    </row>
    <row r="199" spans="1:8" s="4" customFormat="1" ht="25.5">
      <c r="A199" s="109"/>
      <c r="B199" s="10" t="s">
        <v>40</v>
      </c>
      <c r="C199" s="6" t="s">
        <v>24</v>
      </c>
      <c r="D199" s="20">
        <f>E199+F199+G199</f>
        <v>216000</v>
      </c>
      <c r="E199" s="20">
        <v>72000</v>
      </c>
      <c r="F199" s="20">
        <v>72000</v>
      </c>
      <c r="G199" s="20">
        <v>72000</v>
      </c>
      <c r="H199" s="3"/>
    </row>
    <row r="200" spans="1:8" s="4" customFormat="1" ht="27.75" customHeight="1">
      <c r="A200" s="109"/>
      <c r="B200" s="110" t="s">
        <v>241</v>
      </c>
      <c r="C200" s="6" t="s">
        <v>73</v>
      </c>
      <c r="D200" s="6">
        <f>E200+F200+G200</f>
        <v>28.32</v>
      </c>
      <c r="E200" s="6">
        <v>9.44</v>
      </c>
      <c r="F200" s="6">
        <v>9.44</v>
      </c>
      <c r="G200" s="6">
        <v>9.44</v>
      </c>
      <c r="H200" s="3"/>
    </row>
    <row r="201" spans="1:8" s="4" customFormat="1" ht="24" customHeight="1">
      <c r="A201" s="109"/>
      <c r="B201" s="110"/>
      <c r="C201" s="6" t="s">
        <v>71</v>
      </c>
      <c r="D201" s="6">
        <f>E201+F201+G201</f>
        <v>390</v>
      </c>
      <c r="E201" s="6">
        <v>130</v>
      </c>
      <c r="F201" s="6">
        <v>130</v>
      </c>
      <c r="G201" s="6">
        <v>130</v>
      </c>
      <c r="H201" s="3"/>
    </row>
    <row r="202" spans="1:8" s="4" customFormat="1" ht="25.5">
      <c r="A202" s="109"/>
      <c r="B202" s="10" t="s">
        <v>160</v>
      </c>
      <c r="C202" s="6" t="s">
        <v>71</v>
      </c>
      <c r="D202" s="6">
        <f>E202+F202+G202</f>
        <v>21</v>
      </c>
      <c r="E202" s="6">
        <v>7</v>
      </c>
      <c r="F202" s="6">
        <v>7</v>
      </c>
      <c r="G202" s="6">
        <v>7</v>
      </c>
      <c r="H202" s="3"/>
    </row>
    <row r="203" spans="1:8" s="4" customFormat="1" ht="12.75">
      <c r="A203" s="109"/>
      <c r="B203" s="10" t="s">
        <v>118</v>
      </c>
      <c r="C203" s="3" t="s">
        <v>71</v>
      </c>
      <c r="D203" s="26">
        <f>E203+F203+G203</f>
        <v>20</v>
      </c>
      <c r="E203" s="3">
        <v>20</v>
      </c>
      <c r="F203" s="3"/>
      <c r="G203" s="3"/>
      <c r="H203" s="3"/>
    </row>
    <row r="204" spans="1:8" s="4" customFormat="1" ht="12.75">
      <c r="A204" s="109" t="s">
        <v>97</v>
      </c>
      <c r="B204" s="10"/>
      <c r="C204" s="3"/>
      <c r="D204" s="3"/>
      <c r="E204" s="3"/>
      <c r="F204" s="3"/>
      <c r="G204" s="3"/>
      <c r="H204" s="3"/>
    </row>
    <row r="205" spans="1:8" s="4" customFormat="1" ht="12.75">
      <c r="A205" s="109"/>
      <c r="B205" s="10" t="s">
        <v>173</v>
      </c>
      <c r="C205" s="6" t="s">
        <v>72</v>
      </c>
      <c r="D205" s="20">
        <f>E205+F205+G205</f>
        <v>10.86</v>
      </c>
      <c r="E205" s="20">
        <v>3.62</v>
      </c>
      <c r="F205" s="20">
        <v>3.62</v>
      </c>
      <c r="G205" s="20">
        <v>3.62</v>
      </c>
      <c r="H205" s="3"/>
    </row>
    <row r="206" spans="1:8" s="4" customFormat="1" ht="12.75">
      <c r="A206" s="109" t="s">
        <v>107</v>
      </c>
      <c r="B206" s="10"/>
      <c r="C206" s="3"/>
      <c r="D206" s="3"/>
      <c r="E206" s="3"/>
      <c r="F206" s="3"/>
      <c r="G206" s="3"/>
      <c r="H206" s="3"/>
    </row>
    <row r="207" spans="1:8" s="4" customFormat="1" ht="25.5">
      <c r="A207" s="109"/>
      <c r="B207" s="10" t="s">
        <v>47</v>
      </c>
      <c r="C207" s="6" t="s">
        <v>71</v>
      </c>
      <c r="D207" s="6">
        <f aca="true" t="shared" si="6" ref="D207:D212">E207+F207+G207</f>
        <v>63</v>
      </c>
      <c r="E207" s="6">
        <v>21</v>
      </c>
      <c r="F207" s="6">
        <v>21</v>
      </c>
      <c r="G207" s="6">
        <v>21</v>
      </c>
      <c r="H207" s="3"/>
    </row>
    <row r="208" spans="1:8" s="4" customFormat="1" ht="25.5">
      <c r="A208" s="109"/>
      <c r="B208" s="10" t="s">
        <v>48</v>
      </c>
      <c r="C208" s="6" t="s">
        <v>24</v>
      </c>
      <c r="D208" s="53">
        <f t="shared" si="6"/>
        <v>3575.309</v>
      </c>
      <c r="E208" s="53">
        <f>400+2375.309</f>
        <v>2775.309</v>
      </c>
      <c r="F208" s="54">
        <v>400</v>
      </c>
      <c r="G208" s="54">
        <v>400</v>
      </c>
      <c r="H208" s="3"/>
    </row>
    <row r="209" spans="1:8" s="4" customFormat="1" ht="25.5">
      <c r="A209" s="109"/>
      <c r="B209" s="10" t="s">
        <v>45</v>
      </c>
      <c r="C209" s="6" t="s">
        <v>71</v>
      </c>
      <c r="D209" s="6">
        <f t="shared" si="6"/>
        <v>1443</v>
      </c>
      <c r="E209" s="6">
        <v>481</v>
      </c>
      <c r="F209" s="6">
        <v>481</v>
      </c>
      <c r="G209" s="6">
        <v>481</v>
      </c>
      <c r="H209" s="3"/>
    </row>
    <row r="210" spans="1:8" s="4" customFormat="1" ht="25.5">
      <c r="A210" s="109"/>
      <c r="B210" s="10" t="s">
        <v>49</v>
      </c>
      <c r="C210" s="6" t="s">
        <v>71</v>
      </c>
      <c r="D210" s="6">
        <f t="shared" si="6"/>
        <v>141</v>
      </c>
      <c r="E210" s="6">
        <v>47</v>
      </c>
      <c r="F210" s="6">
        <v>47</v>
      </c>
      <c r="G210" s="6">
        <v>47</v>
      </c>
      <c r="H210" s="3"/>
    </row>
    <row r="211" spans="1:8" s="4" customFormat="1" ht="12.75">
      <c r="A211" s="109"/>
      <c r="B211" s="10" t="s">
        <v>50</v>
      </c>
      <c r="C211" s="6" t="s">
        <v>24</v>
      </c>
      <c r="D211" s="54">
        <f t="shared" si="6"/>
        <v>1050</v>
      </c>
      <c r="E211" s="54">
        <v>350</v>
      </c>
      <c r="F211" s="54">
        <v>350</v>
      </c>
      <c r="G211" s="54">
        <v>350</v>
      </c>
      <c r="H211" s="3"/>
    </row>
    <row r="212" spans="1:8" s="4" customFormat="1" ht="12.75">
      <c r="A212" s="109"/>
      <c r="B212" s="10" t="s">
        <v>51</v>
      </c>
      <c r="C212" s="6" t="s">
        <v>71</v>
      </c>
      <c r="D212" s="6">
        <f t="shared" si="6"/>
        <v>33</v>
      </c>
      <c r="E212" s="6">
        <v>11</v>
      </c>
      <c r="F212" s="6">
        <v>11</v>
      </c>
      <c r="G212" s="6">
        <v>11</v>
      </c>
      <c r="H212" s="3"/>
    </row>
    <row r="213" spans="1:8" s="4" customFormat="1" ht="12.75">
      <c r="A213" s="109" t="s">
        <v>116</v>
      </c>
      <c r="B213" s="10"/>
      <c r="C213" s="3"/>
      <c r="D213" s="3"/>
      <c r="E213" s="3"/>
      <c r="F213" s="3"/>
      <c r="G213" s="3"/>
      <c r="H213" s="3"/>
    </row>
    <row r="214" spans="1:8" s="4" customFormat="1" ht="25.5">
      <c r="A214" s="109"/>
      <c r="B214" s="10" t="s">
        <v>36</v>
      </c>
      <c r="C214" s="6" t="s">
        <v>76</v>
      </c>
      <c r="D214" s="6">
        <f>E214+F214+G214</f>
        <v>240</v>
      </c>
      <c r="E214" s="6">
        <v>80</v>
      </c>
      <c r="F214" s="6">
        <v>80</v>
      </c>
      <c r="G214" s="6">
        <v>80</v>
      </c>
      <c r="H214" s="3"/>
    </row>
    <row r="215" spans="1:8" s="4" customFormat="1" ht="12.75">
      <c r="A215" s="109"/>
      <c r="B215" s="10" t="s">
        <v>37</v>
      </c>
      <c r="C215" s="6" t="s">
        <v>77</v>
      </c>
      <c r="D215" s="6">
        <f>E215+F215+G215</f>
        <v>735</v>
      </c>
      <c r="E215" s="6">
        <v>245</v>
      </c>
      <c r="F215" s="6">
        <v>245</v>
      </c>
      <c r="G215" s="6">
        <v>245</v>
      </c>
      <c r="H215" s="3"/>
    </row>
    <row r="216" spans="1:8" s="4" customFormat="1" ht="12.75">
      <c r="A216" s="109" t="s">
        <v>115</v>
      </c>
      <c r="B216" s="8"/>
      <c r="C216" s="3"/>
      <c r="D216" s="3"/>
      <c r="E216" s="3"/>
      <c r="F216" s="3"/>
      <c r="G216" s="3"/>
      <c r="H216" s="3"/>
    </row>
    <row r="217" spans="1:8" s="4" customFormat="1" ht="25.5">
      <c r="A217" s="109"/>
      <c r="B217" s="10" t="s">
        <v>52</v>
      </c>
      <c r="C217" s="6" t="s">
        <v>71</v>
      </c>
      <c r="D217" s="6">
        <f>E217+F217+G217</f>
        <v>15000</v>
      </c>
      <c r="E217" s="6">
        <v>5000</v>
      </c>
      <c r="F217" s="6">
        <v>5000</v>
      </c>
      <c r="G217" s="6">
        <v>5000</v>
      </c>
      <c r="H217" s="3"/>
    </row>
    <row r="218" spans="1:8" s="4" customFormat="1" ht="12.75">
      <c r="A218" s="67" t="s">
        <v>164</v>
      </c>
      <c r="B218" s="10"/>
      <c r="C218" s="6"/>
      <c r="D218" s="6"/>
      <c r="E218" s="6"/>
      <c r="F218" s="6"/>
      <c r="G218" s="6"/>
      <c r="H218" s="3"/>
    </row>
    <row r="219" spans="1:8" s="4" customFormat="1" ht="25.5">
      <c r="A219" s="67"/>
      <c r="B219" s="8" t="s">
        <v>158</v>
      </c>
      <c r="C219" s="6" t="s">
        <v>152</v>
      </c>
      <c r="D219" s="6">
        <f>E219</f>
        <v>32.173</v>
      </c>
      <c r="E219" s="6">
        <v>32.173</v>
      </c>
      <c r="F219" s="6"/>
      <c r="G219" s="6"/>
      <c r="H219" s="3"/>
    </row>
    <row r="220" spans="1:8" s="4" customFormat="1" ht="12.75">
      <c r="A220" s="68" t="s">
        <v>130</v>
      </c>
      <c r="B220" s="68"/>
      <c r="C220" s="68"/>
      <c r="D220" s="68"/>
      <c r="E220" s="68"/>
      <c r="F220" s="68"/>
      <c r="G220" s="68"/>
      <c r="H220" s="3"/>
    </row>
    <row r="221" spans="1:8" s="4" customFormat="1" ht="12.75" customHeight="1">
      <c r="A221" s="69" t="s">
        <v>96</v>
      </c>
      <c r="B221" s="10"/>
      <c r="C221" s="3"/>
      <c r="D221" s="3"/>
      <c r="E221" s="3"/>
      <c r="F221" s="3"/>
      <c r="G221" s="3"/>
      <c r="H221" s="3"/>
    </row>
    <row r="222" spans="1:8" s="4" customFormat="1" ht="25.5">
      <c r="A222" s="70"/>
      <c r="B222" s="8" t="s">
        <v>40</v>
      </c>
      <c r="C222" s="6" t="s">
        <v>24</v>
      </c>
      <c r="D222" s="26">
        <f aca="true" t="shared" si="7" ref="D222:D227">E222+F222+G222</f>
        <v>159678</v>
      </c>
      <c r="E222" s="26">
        <v>53226</v>
      </c>
      <c r="F222" s="26">
        <v>53226</v>
      </c>
      <c r="G222" s="26">
        <v>53226</v>
      </c>
      <c r="H222" s="3"/>
    </row>
    <row r="223" spans="1:8" s="4" customFormat="1" ht="27.75" customHeight="1">
      <c r="A223" s="70"/>
      <c r="B223" s="110" t="s">
        <v>241</v>
      </c>
      <c r="C223" s="6" t="s">
        <v>73</v>
      </c>
      <c r="D223" s="6">
        <f t="shared" si="7"/>
        <v>84.72</v>
      </c>
      <c r="E223" s="6">
        <v>28.24</v>
      </c>
      <c r="F223" s="6">
        <v>28.24</v>
      </c>
      <c r="G223" s="6">
        <v>28.24</v>
      </c>
      <c r="H223" s="3"/>
    </row>
    <row r="224" spans="1:8" s="4" customFormat="1" ht="27" customHeight="1">
      <c r="A224" s="70"/>
      <c r="B224" s="110"/>
      <c r="C224" s="6" t="s">
        <v>71</v>
      </c>
      <c r="D224" s="6">
        <f t="shared" si="7"/>
        <v>156</v>
      </c>
      <c r="E224" s="6">
        <v>52</v>
      </c>
      <c r="F224" s="6">
        <v>52</v>
      </c>
      <c r="G224" s="6">
        <v>52</v>
      </c>
      <c r="H224" s="3"/>
    </row>
    <row r="225" spans="1:8" s="4" customFormat="1" ht="12.75">
      <c r="A225" s="70"/>
      <c r="B225" s="10" t="s">
        <v>44</v>
      </c>
      <c r="C225" s="6" t="s">
        <v>71</v>
      </c>
      <c r="D225" s="6">
        <f t="shared" si="7"/>
        <v>12</v>
      </c>
      <c r="E225" s="6">
        <v>4</v>
      </c>
      <c r="F225" s="6">
        <v>4</v>
      </c>
      <c r="G225" s="6">
        <v>4</v>
      </c>
      <c r="H225" s="3"/>
    </row>
    <row r="226" spans="1:8" s="4" customFormat="1" ht="25.5">
      <c r="A226" s="70"/>
      <c r="B226" s="10" t="s">
        <v>54</v>
      </c>
      <c r="C226" s="6" t="s">
        <v>71</v>
      </c>
      <c r="D226" s="6">
        <f t="shared" si="7"/>
        <v>543</v>
      </c>
      <c r="E226" s="6">
        <v>181</v>
      </c>
      <c r="F226" s="6">
        <v>181</v>
      </c>
      <c r="G226" s="6">
        <v>181</v>
      </c>
      <c r="H226" s="3"/>
    </row>
    <row r="227" spans="1:8" s="4" customFormat="1" ht="12.75">
      <c r="A227" s="71"/>
      <c r="B227" s="10" t="s">
        <v>118</v>
      </c>
      <c r="C227" s="3" t="s">
        <v>71</v>
      </c>
      <c r="D227" s="6">
        <f t="shared" si="7"/>
        <v>16</v>
      </c>
      <c r="E227" s="6">
        <v>16</v>
      </c>
      <c r="F227" s="6"/>
      <c r="G227" s="6"/>
      <c r="H227" s="3"/>
    </row>
    <row r="228" spans="1:8" s="4" customFormat="1" ht="12.75">
      <c r="A228" s="109" t="s">
        <v>107</v>
      </c>
      <c r="B228" s="8"/>
      <c r="C228" s="3"/>
      <c r="D228" s="3"/>
      <c r="E228" s="3"/>
      <c r="F228" s="3"/>
      <c r="G228" s="3"/>
      <c r="H228" s="3"/>
    </row>
    <row r="229" spans="1:8" s="4" customFormat="1" ht="25.5">
      <c r="A229" s="109"/>
      <c r="B229" s="10" t="s">
        <v>42</v>
      </c>
      <c r="C229" s="6" t="s">
        <v>71</v>
      </c>
      <c r="D229" s="6">
        <f>E229+F229+G229</f>
        <v>297</v>
      </c>
      <c r="E229" s="6">
        <v>99</v>
      </c>
      <c r="F229" s="6">
        <v>99</v>
      </c>
      <c r="G229" s="6">
        <v>99</v>
      </c>
      <c r="H229" s="3"/>
    </row>
    <row r="230" spans="1:8" s="4" customFormat="1" ht="12.75">
      <c r="A230" s="109"/>
      <c r="B230" s="10" t="s">
        <v>43</v>
      </c>
      <c r="C230" s="6" t="s">
        <v>24</v>
      </c>
      <c r="D230" s="54">
        <f>E230+F230+G230</f>
        <v>4939.48</v>
      </c>
      <c r="E230" s="54">
        <f>1351+886.48</f>
        <v>2237.48</v>
      </c>
      <c r="F230" s="45">
        <v>1351</v>
      </c>
      <c r="G230" s="45">
        <v>1351</v>
      </c>
      <c r="H230" s="3"/>
    </row>
    <row r="231" spans="1:8" s="4" customFormat="1" ht="25.5">
      <c r="A231" s="109"/>
      <c r="B231" s="10" t="s">
        <v>55</v>
      </c>
      <c r="C231" s="6" t="s">
        <v>71</v>
      </c>
      <c r="D231" s="6">
        <f>E231+F231+G231</f>
        <v>30</v>
      </c>
      <c r="E231" s="6">
        <v>10</v>
      </c>
      <c r="F231" s="6">
        <v>10</v>
      </c>
      <c r="G231" s="6">
        <v>10</v>
      </c>
      <c r="H231" s="3"/>
    </row>
    <row r="232" spans="1:8" s="4" customFormat="1" ht="25.5">
      <c r="A232" s="109"/>
      <c r="B232" s="10" t="s">
        <v>45</v>
      </c>
      <c r="C232" s="6" t="s">
        <v>71</v>
      </c>
      <c r="D232" s="6">
        <f>E232+F232+G232</f>
        <v>30</v>
      </c>
      <c r="E232" s="6">
        <v>10</v>
      </c>
      <c r="F232" s="6">
        <v>10</v>
      </c>
      <c r="G232" s="6">
        <v>10</v>
      </c>
      <c r="H232" s="3"/>
    </row>
    <row r="233" spans="1:8" s="4" customFormat="1" ht="12.75">
      <c r="A233" s="69" t="s">
        <v>186</v>
      </c>
      <c r="B233" s="10"/>
      <c r="C233" s="6"/>
      <c r="D233" s="6"/>
      <c r="E233" s="6"/>
      <c r="F233" s="6"/>
      <c r="G233" s="6"/>
      <c r="H233" s="3"/>
    </row>
    <row r="234" spans="1:8" s="4" customFormat="1" ht="38.25">
      <c r="A234" s="71"/>
      <c r="B234" s="10" t="s">
        <v>236</v>
      </c>
      <c r="C234" s="6" t="s">
        <v>71</v>
      </c>
      <c r="D234" s="6">
        <f>E234+F234+G234</f>
        <v>4</v>
      </c>
      <c r="E234" s="6">
        <v>4</v>
      </c>
      <c r="F234" s="6"/>
      <c r="G234" s="6"/>
      <c r="H234" s="3"/>
    </row>
    <row r="235" spans="1:8" s="4" customFormat="1" ht="12.75">
      <c r="A235" s="109" t="s">
        <v>116</v>
      </c>
      <c r="B235" s="8"/>
      <c r="C235" s="3"/>
      <c r="D235" s="3"/>
      <c r="E235" s="3"/>
      <c r="F235" s="3"/>
      <c r="G235" s="3"/>
      <c r="H235" s="3"/>
    </row>
    <row r="236" spans="1:8" s="4" customFormat="1" ht="25.5">
      <c r="A236" s="109"/>
      <c r="B236" s="10" t="s">
        <v>36</v>
      </c>
      <c r="C236" s="6" t="s">
        <v>76</v>
      </c>
      <c r="D236" s="6">
        <f>E236+F236+G236</f>
        <v>1365</v>
      </c>
      <c r="E236" s="6">
        <v>455</v>
      </c>
      <c r="F236" s="6">
        <v>455</v>
      </c>
      <c r="G236" s="6">
        <v>455</v>
      </c>
      <c r="H236" s="3"/>
    </row>
    <row r="237" spans="1:8" s="4" customFormat="1" ht="38.25">
      <c r="A237" s="109"/>
      <c r="B237" s="10" t="s">
        <v>185</v>
      </c>
      <c r="C237" s="6" t="s">
        <v>77</v>
      </c>
      <c r="D237" s="6">
        <f>E237+F237+G237</f>
        <v>529.2</v>
      </c>
      <c r="E237" s="6">
        <v>176.4</v>
      </c>
      <c r="F237" s="6">
        <v>176.4</v>
      </c>
      <c r="G237" s="6">
        <v>176.4</v>
      </c>
      <c r="H237" s="3"/>
    </row>
    <row r="238" spans="1:8" s="4" customFormat="1" ht="25.5">
      <c r="A238" s="109"/>
      <c r="B238" s="10" t="s">
        <v>182</v>
      </c>
      <c r="C238" s="6" t="s">
        <v>77</v>
      </c>
      <c r="D238" s="6">
        <f>E238+F238+G238</f>
        <v>572.8050000000001</v>
      </c>
      <c r="E238" s="6">
        <v>190.935</v>
      </c>
      <c r="F238" s="6">
        <v>190.935</v>
      </c>
      <c r="G238" s="6">
        <v>190.935</v>
      </c>
      <c r="H238" s="3"/>
    </row>
    <row r="239" spans="1:8" s="4" customFormat="1" ht="12.75">
      <c r="A239" s="109" t="s">
        <v>115</v>
      </c>
      <c r="B239" s="8"/>
      <c r="C239" s="3"/>
      <c r="D239" s="3"/>
      <c r="E239" s="3"/>
      <c r="F239" s="3"/>
      <c r="G239" s="3"/>
      <c r="H239" s="3"/>
    </row>
    <row r="240" spans="1:8" s="4" customFormat="1" ht="25.5">
      <c r="A240" s="109"/>
      <c r="B240" s="10" t="s">
        <v>117</v>
      </c>
      <c r="C240" s="6" t="s">
        <v>25</v>
      </c>
      <c r="D240" s="6">
        <f>E240+F240+G240</f>
        <v>34.5</v>
      </c>
      <c r="E240" s="6">
        <v>11.5</v>
      </c>
      <c r="F240" s="6">
        <v>11.5</v>
      </c>
      <c r="G240" s="6">
        <v>11.5</v>
      </c>
      <c r="H240" s="3"/>
    </row>
    <row r="241" spans="1:8" s="4" customFormat="1" ht="12.75">
      <c r="A241" s="67" t="s">
        <v>164</v>
      </c>
      <c r="B241" s="10"/>
      <c r="C241" s="6"/>
      <c r="D241" s="6"/>
      <c r="E241" s="6"/>
      <c r="F241" s="6"/>
      <c r="G241" s="6"/>
      <c r="H241" s="3"/>
    </row>
    <row r="242" spans="1:8" s="4" customFormat="1" ht="25.5">
      <c r="A242" s="67"/>
      <c r="B242" s="8" t="s">
        <v>158</v>
      </c>
      <c r="C242" s="6" t="s">
        <v>152</v>
      </c>
      <c r="D242" s="6">
        <f>E242</f>
        <v>66.655</v>
      </c>
      <c r="E242" s="6">
        <v>66.655</v>
      </c>
      <c r="F242" s="6"/>
      <c r="G242" s="6"/>
      <c r="H242" s="3"/>
    </row>
    <row r="243" spans="1:8" s="4" customFormat="1" ht="12.75">
      <c r="A243" s="68" t="s">
        <v>131</v>
      </c>
      <c r="B243" s="68"/>
      <c r="C243" s="68"/>
      <c r="D243" s="68"/>
      <c r="E243" s="68"/>
      <c r="F243" s="68"/>
      <c r="G243" s="68"/>
      <c r="H243" s="3"/>
    </row>
    <row r="244" spans="1:8" s="4" customFormat="1" ht="12.75" customHeight="1">
      <c r="A244" s="69" t="s">
        <v>96</v>
      </c>
      <c r="B244" s="8"/>
      <c r="C244" s="3"/>
      <c r="D244" s="3"/>
      <c r="E244" s="3"/>
      <c r="F244" s="3"/>
      <c r="G244" s="3"/>
      <c r="H244" s="3"/>
    </row>
    <row r="245" spans="1:8" s="4" customFormat="1" ht="25.5">
      <c r="A245" s="70"/>
      <c r="B245" s="10" t="s">
        <v>40</v>
      </c>
      <c r="C245" s="6" t="s">
        <v>24</v>
      </c>
      <c r="D245" s="54">
        <f>E245+F245+G245</f>
        <v>94421.55</v>
      </c>
      <c r="E245" s="54">
        <v>15537.55</v>
      </c>
      <c r="F245" s="54">
        <v>39442</v>
      </c>
      <c r="G245" s="54">
        <v>39442</v>
      </c>
      <c r="H245" s="3"/>
    </row>
    <row r="246" spans="1:8" s="4" customFormat="1" ht="24.75" customHeight="1">
      <c r="A246" s="70"/>
      <c r="B246" s="110" t="s">
        <v>241</v>
      </c>
      <c r="C246" s="6" t="s">
        <v>73</v>
      </c>
      <c r="D246" s="6">
        <f>E246+F246+G246</f>
        <v>28.912800000000004</v>
      </c>
      <c r="E246" s="6">
        <v>9.6376</v>
      </c>
      <c r="F246" s="6">
        <v>9.6376</v>
      </c>
      <c r="G246" s="6">
        <v>9.6376</v>
      </c>
      <c r="H246" s="3"/>
    </row>
    <row r="247" spans="1:8" s="4" customFormat="1" ht="27" customHeight="1">
      <c r="A247" s="70"/>
      <c r="B247" s="110"/>
      <c r="C247" s="6" t="s">
        <v>71</v>
      </c>
      <c r="D247" s="6">
        <f>E247+F247+G247</f>
        <v>270</v>
      </c>
      <c r="E247" s="6">
        <v>90</v>
      </c>
      <c r="F247" s="6">
        <v>90</v>
      </c>
      <c r="G247" s="6">
        <v>90</v>
      </c>
      <c r="H247" s="3"/>
    </row>
    <row r="248" spans="1:8" s="4" customFormat="1" ht="12.75">
      <c r="A248" s="70"/>
      <c r="B248" s="10" t="s">
        <v>44</v>
      </c>
      <c r="C248" s="6" t="s">
        <v>71</v>
      </c>
      <c r="D248" s="6">
        <f>E248+F248+G248</f>
        <v>12</v>
      </c>
      <c r="E248" s="6">
        <v>4</v>
      </c>
      <c r="F248" s="6">
        <v>4</v>
      </c>
      <c r="G248" s="6">
        <v>4</v>
      </c>
      <c r="H248" s="3"/>
    </row>
    <row r="249" spans="1:8" s="4" customFormat="1" ht="12.75">
      <c r="A249" s="71"/>
      <c r="B249" s="10" t="s">
        <v>118</v>
      </c>
      <c r="C249" s="3" t="s">
        <v>71</v>
      </c>
      <c r="D249" s="6">
        <f>E249+F249+G249</f>
        <v>86</v>
      </c>
      <c r="E249" s="6">
        <v>86</v>
      </c>
      <c r="F249" s="6"/>
      <c r="G249" s="6"/>
      <c r="H249" s="3"/>
    </row>
    <row r="250" spans="1:8" s="4" customFormat="1" ht="12.75">
      <c r="A250" s="109" t="s">
        <v>107</v>
      </c>
      <c r="B250" s="10"/>
      <c r="C250" s="3"/>
      <c r="D250" s="3"/>
      <c r="E250" s="3"/>
      <c r="F250" s="3"/>
      <c r="G250" s="3"/>
      <c r="H250" s="3"/>
    </row>
    <row r="251" spans="1:8" s="4" customFormat="1" ht="25.5">
      <c r="A251" s="109"/>
      <c r="B251" s="10" t="s">
        <v>26</v>
      </c>
      <c r="C251" s="3" t="s">
        <v>24</v>
      </c>
      <c r="D251" s="45">
        <f>E251+F251+G251</f>
        <v>240</v>
      </c>
      <c r="E251" s="45">
        <v>240</v>
      </c>
      <c r="F251" s="3"/>
      <c r="G251" s="3"/>
      <c r="H251" s="3"/>
    </row>
    <row r="252" spans="1:8" s="4" customFormat="1" ht="12.75">
      <c r="A252" s="109"/>
      <c r="B252" s="10" t="s">
        <v>57</v>
      </c>
      <c r="C252" s="6" t="s">
        <v>24</v>
      </c>
      <c r="D252" s="53">
        <f>E252+F252+G252</f>
        <v>5308.178</v>
      </c>
      <c r="E252" s="53">
        <f>936.71+2498.048</f>
        <v>3434.758</v>
      </c>
      <c r="F252" s="54">
        <v>936.71</v>
      </c>
      <c r="G252" s="54">
        <v>936.71</v>
      </c>
      <c r="H252" s="3"/>
    </row>
    <row r="253" spans="1:8" s="4" customFormat="1" ht="25.5">
      <c r="A253" s="109"/>
      <c r="B253" s="10" t="s">
        <v>35</v>
      </c>
      <c r="C253" s="6" t="s">
        <v>71</v>
      </c>
      <c r="D253" s="6">
        <f>E253+F253+G253</f>
        <v>246</v>
      </c>
      <c r="E253" s="6">
        <v>82</v>
      </c>
      <c r="F253" s="6">
        <v>82</v>
      </c>
      <c r="G253" s="6">
        <v>82</v>
      </c>
      <c r="H253" s="3"/>
    </row>
    <row r="254" spans="1:8" s="4" customFormat="1" ht="12.75">
      <c r="A254" s="109" t="s">
        <v>116</v>
      </c>
      <c r="B254" s="10"/>
      <c r="C254" s="3"/>
      <c r="D254" s="3"/>
      <c r="E254" s="3"/>
      <c r="F254" s="3"/>
      <c r="G254" s="3"/>
      <c r="H254" s="3"/>
    </row>
    <row r="255" spans="1:8" s="4" customFormat="1" ht="25.5">
      <c r="A255" s="109"/>
      <c r="B255" s="10" t="s">
        <v>36</v>
      </c>
      <c r="C255" s="6" t="s">
        <v>76</v>
      </c>
      <c r="D255" s="6">
        <f>E255+F255+G255</f>
        <v>759</v>
      </c>
      <c r="E255" s="6">
        <v>253</v>
      </c>
      <c r="F255" s="6">
        <v>253</v>
      </c>
      <c r="G255" s="6">
        <v>253</v>
      </c>
      <c r="H255" s="3"/>
    </row>
    <row r="256" spans="1:8" s="4" customFormat="1" ht="12.75">
      <c r="A256" s="109"/>
      <c r="B256" s="10" t="s">
        <v>37</v>
      </c>
      <c r="C256" s="6" t="s">
        <v>78</v>
      </c>
      <c r="D256" s="6">
        <f>E256+F256+G256</f>
        <v>3562.5</v>
      </c>
      <c r="E256" s="6">
        <v>1187.5</v>
      </c>
      <c r="F256" s="6">
        <v>1187.5</v>
      </c>
      <c r="G256" s="6">
        <v>1187.5</v>
      </c>
      <c r="H256" s="3"/>
    </row>
    <row r="257" spans="1:8" s="4" customFormat="1" ht="12.75">
      <c r="A257" s="109" t="s">
        <v>115</v>
      </c>
      <c r="B257" s="10"/>
      <c r="C257" s="3"/>
      <c r="D257" s="3"/>
      <c r="E257" s="3"/>
      <c r="F257" s="3"/>
      <c r="G257" s="3"/>
      <c r="H257" s="3"/>
    </row>
    <row r="258" spans="1:8" s="4" customFormat="1" ht="25.5">
      <c r="A258" s="109"/>
      <c r="B258" s="10" t="s">
        <v>58</v>
      </c>
      <c r="C258" s="6" t="s">
        <v>25</v>
      </c>
      <c r="D258" s="6">
        <f>E258+F258+G258</f>
        <v>25.5</v>
      </c>
      <c r="E258" s="6">
        <v>8.5</v>
      </c>
      <c r="F258" s="6">
        <v>8.5</v>
      </c>
      <c r="G258" s="6">
        <v>8.5</v>
      </c>
      <c r="H258" s="3"/>
    </row>
    <row r="259" spans="1:8" s="4" customFormat="1" ht="12.75">
      <c r="A259" s="67" t="s">
        <v>164</v>
      </c>
      <c r="B259" s="10"/>
      <c r="C259" s="6"/>
      <c r="D259" s="6"/>
      <c r="E259" s="6"/>
      <c r="F259" s="6"/>
      <c r="G259" s="6"/>
      <c r="H259" s="3"/>
    </row>
    <row r="260" spans="1:8" s="4" customFormat="1" ht="25.5">
      <c r="A260" s="67"/>
      <c r="B260" s="8" t="s">
        <v>158</v>
      </c>
      <c r="C260" s="6" t="s">
        <v>152</v>
      </c>
      <c r="D260" s="6">
        <f>E260</f>
        <v>59.283</v>
      </c>
      <c r="E260" s="6">
        <v>59.283</v>
      </c>
      <c r="F260" s="6"/>
      <c r="G260" s="6"/>
      <c r="H260" s="3"/>
    </row>
    <row r="261" spans="1:8" s="4" customFormat="1" ht="12.75">
      <c r="A261" s="68" t="s">
        <v>132</v>
      </c>
      <c r="B261" s="68"/>
      <c r="C261" s="68"/>
      <c r="D261" s="68"/>
      <c r="E261" s="68"/>
      <c r="F261" s="68"/>
      <c r="G261" s="68"/>
      <c r="H261" s="3"/>
    </row>
    <row r="262" spans="1:8" s="4" customFormat="1" ht="12.75" customHeight="1">
      <c r="A262" s="69" t="s">
        <v>96</v>
      </c>
      <c r="B262" s="10"/>
      <c r="C262" s="3"/>
      <c r="D262" s="3"/>
      <c r="E262" s="3"/>
      <c r="F262" s="3"/>
      <c r="G262" s="3"/>
      <c r="H262" s="3"/>
    </row>
    <row r="263" spans="1:8" s="4" customFormat="1" ht="25.5">
      <c r="A263" s="70"/>
      <c r="B263" s="10" t="s">
        <v>40</v>
      </c>
      <c r="C263" s="6" t="s">
        <v>24</v>
      </c>
      <c r="D263" s="45">
        <f>E263+F263+G263</f>
        <v>77845</v>
      </c>
      <c r="E263" s="45">
        <v>20359</v>
      </c>
      <c r="F263" s="45">
        <v>28743</v>
      </c>
      <c r="G263" s="45">
        <v>28743</v>
      </c>
      <c r="H263" s="3"/>
    </row>
    <row r="264" spans="1:8" s="4" customFormat="1" ht="25.5">
      <c r="A264" s="70"/>
      <c r="B264" s="10" t="s">
        <v>65</v>
      </c>
      <c r="C264" s="6" t="s">
        <v>73</v>
      </c>
      <c r="D264" s="6">
        <f>E264+F264+G264</f>
        <v>44.3151</v>
      </c>
      <c r="E264" s="6">
        <v>14.7717</v>
      </c>
      <c r="F264" s="6">
        <v>14.7717</v>
      </c>
      <c r="G264" s="6">
        <v>14.7717</v>
      </c>
      <c r="H264" s="3"/>
    </row>
    <row r="265" spans="1:8" s="4" customFormat="1" ht="12.75">
      <c r="A265" s="71"/>
      <c r="B265" s="10" t="s">
        <v>118</v>
      </c>
      <c r="C265" s="3" t="s">
        <v>71</v>
      </c>
      <c r="D265" s="6">
        <f>E265+F265+G265</f>
        <v>20</v>
      </c>
      <c r="E265" s="6">
        <v>20</v>
      </c>
      <c r="F265" s="6"/>
      <c r="G265" s="6"/>
      <c r="H265" s="3"/>
    </row>
    <row r="266" spans="1:8" s="4" customFormat="1" ht="12.75">
      <c r="A266" s="109" t="s">
        <v>107</v>
      </c>
      <c r="B266" s="8"/>
      <c r="C266" s="3"/>
      <c r="D266" s="3"/>
      <c r="E266" s="3"/>
      <c r="F266" s="3"/>
      <c r="G266" s="3"/>
      <c r="H266" s="3"/>
    </row>
    <row r="267" spans="1:8" s="4" customFormat="1" ht="25.5">
      <c r="A267" s="109"/>
      <c r="B267" s="10" t="s">
        <v>60</v>
      </c>
      <c r="C267" s="6" t="s">
        <v>24</v>
      </c>
      <c r="D267" s="45">
        <f>E267+F267+G267</f>
        <v>1560</v>
      </c>
      <c r="E267" s="45">
        <v>520</v>
      </c>
      <c r="F267" s="45">
        <v>520</v>
      </c>
      <c r="G267" s="45">
        <v>520</v>
      </c>
      <c r="H267" s="3"/>
    </row>
    <row r="268" spans="1:8" s="4" customFormat="1" ht="25.5">
      <c r="A268" s="109"/>
      <c r="B268" s="10" t="s">
        <v>61</v>
      </c>
      <c r="C268" s="6" t="s">
        <v>71</v>
      </c>
      <c r="D268" s="6">
        <f>E268+F268+G268</f>
        <v>15</v>
      </c>
      <c r="E268" s="6">
        <v>5</v>
      </c>
      <c r="F268" s="6">
        <v>5</v>
      </c>
      <c r="G268" s="6">
        <v>5</v>
      </c>
      <c r="H268" s="3"/>
    </row>
    <row r="269" spans="1:8" s="4" customFormat="1" ht="12.75">
      <c r="A269" s="109"/>
      <c r="B269" s="10" t="s">
        <v>43</v>
      </c>
      <c r="C269" s="6" t="s">
        <v>24</v>
      </c>
      <c r="D269" s="54">
        <f>E269+F269+G269</f>
        <v>3221.2</v>
      </c>
      <c r="E269" s="54">
        <v>2111</v>
      </c>
      <c r="F269" s="54">
        <v>555.1</v>
      </c>
      <c r="G269" s="54">
        <v>555.1</v>
      </c>
      <c r="H269" s="3"/>
    </row>
    <row r="270" spans="1:8" s="4" customFormat="1" ht="38.25">
      <c r="A270" s="109"/>
      <c r="B270" s="10" t="s">
        <v>62</v>
      </c>
      <c r="C270" s="6" t="s">
        <v>71</v>
      </c>
      <c r="D270" s="6">
        <f>E270+F270+G270</f>
        <v>558</v>
      </c>
      <c r="E270" s="6">
        <v>186</v>
      </c>
      <c r="F270" s="6">
        <v>186</v>
      </c>
      <c r="G270" s="6">
        <v>186</v>
      </c>
      <c r="H270" s="3"/>
    </row>
    <row r="271" spans="1:8" s="4" customFormat="1" ht="12.75">
      <c r="A271" s="69" t="s">
        <v>186</v>
      </c>
      <c r="B271" s="10"/>
      <c r="C271" s="6"/>
      <c r="D271" s="6"/>
      <c r="E271" s="6"/>
      <c r="F271" s="6"/>
      <c r="G271" s="6"/>
      <c r="H271" s="3"/>
    </row>
    <row r="272" spans="1:8" s="4" customFormat="1" ht="38.25">
      <c r="A272" s="71"/>
      <c r="B272" s="10" t="s">
        <v>237</v>
      </c>
      <c r="C272" s="6" t="s">
        <v>71</v>
      </c>
      <c r="D272" s="6">
        <f>E272+F272+G272</f>
        <v>1</v>
      </c>
      <c r="E272" s="6">
        <v>1</v>
      </c>
      <c r="F272" s="6"/>
      <c r="G272" s="6"/>
      <c r="H272" s="3"/>
    </row>
    <row r="273" spans="1:8" s="4" customFormat="1" ht="12.75">
      <c r="A273" s="109" t="s">
        <v>116</v>
      </c>
      <c r="B273" s="8"/>
      <c r="C273" s="3"/>
      <c r="D273" s="3"/>
      <c r="E273" s="3"/>
      <c r="F273" s="3"/>
      <c r="G273" s="3"/>
      <c r="H273" s="3"/>
    </row>
    <row r="274" spans="1:8" s="4" customFormat="1" ht="25.5">
      <c r="A274" s="109"/>
      <c r="B274" s="10" t="s">
        <v>36</v>
      </c>
      <c r="C274" s="6" t="s">
        <v>76</v>
      </c>
      <c r="D274" s="6">
        <f>E274+F274+G274</f>
        <v>312</v>
      </c>
      <c r="E274" s="6">
        <v>104</v>
      </c>
      <c r="F274" s="6">
        <v>104</v>
      </c>
      <c r="G274" s="6">
        <v>104</v>
      </c>
      <c r="H274" s="3"/>
    </row>
    <row r="275" spans="1:8" s="4" customFormat="1" ht="12.75">
      <c r="A275" s="109"/>
      <c r="B275" s="10" t="s">
        <v>37</v>
      </c>
      <c r="C275" s="6" t="s">
        <v>77</v>
      </c>
      <c r="D275" s="54">
        <f>E275+F275+G275</f>
        <v>1630.3500000000001</v>
      </c>
      <c r="E275" s="54">
        <v>543.45</v>
      </c>
      <c r="F275" s="54">
        <v>543.45</v>
      </c>
      <c r="G275" s="54">
        <v>543.45</v>
      </c>
      <c r="H275" s="3"/>
    </row>
    <row r="276" spans="1:8" s="4" customFormat="1" ht="12.75">
      <c r="A276" s="109" t="s">
        <v>115</v>
      </c>
      <c r="B276" s="10"/>
      <c r="C276" s="6"/>
      <c r="D276" s="54"/>
      <c r="E276" s="54"/>
      <c r="F276" s="54"/>
      <c r="G276" s="54"/>
      <c r="H276" s="3"/>
    </row>
    <row r="277" spans="1:8" s="4" customFormat="1" ht="25.5">
      <c r="A277" s="109"/>
      <c r="B277" s="10" t="s">
        <v>58</v>
      </c>
      <c r="C277" s="6" t="s">
        <v>71</v>
      </c>
      <c r="D277" s="6">
        <f>E277+F277+G277</f>
        <v>4</v>
      </c>
      <c r="E277" s="26">
        <v>4</v>
      </c>
      <c r="F277" s="54"/>
      <c r="G277" s="54"/>
      <c r="H277" s="3"/>
    </row>
    <row r="278" spans="1:8" s="4" customFormat="1" ht="12.75">
      <c r="A278" s="67" t="s">
        <v>164</v>
      </c>
      <c r="B278" s="10"/>
      <c r="C278" s="6"/>
      <c r="D278" s="6"/>
      <c r="E278" s="6"/>
      <c r="F278" s="6"/>
      <c r="G278" s="6"/>
      <c r="H278" s="3"/>
    </row>
    <row r="279" spans="1:8" s="4" customFormat="1" ht="25.5">
      <c r="A279" s="67"/>
      <c r="B279" s="8" t="s">
        <v>158</v>
      </c>
      <c r="C279" s="6" t="s">
        <v>152</v>
      </c>
      <c r="D279" s="6">
        <f>E279</f>
        <v>82.205</v>
      </c>
      <c r="E279" s="6">
        <v>82.205</v>
      </c>
      <c r="F279" s="6"/>
      <c r="G279" s="6"/>
      <c r="H279" s="3"/>
    </row>
    <row r="280" spans="1:8" s="4" customFormat="1" ht="12.75">
      <c r="A280" s="68" t="s">
        <v>133</v>
      </c>
      <c r="B280" s="68"/>
      <c r="C280" s="68"/>
      <c r="D280" s="68"/>
      <c r="E280" s="68"/>
      <c r="F280" s="68"/>
      <c r="G280" s="68"/>
      <c r="H280" s="3"/>
    </row>
    <row r="281" spans="1:8" s="4" customFormat="1" ht="12.75" customHeight="1">
      <c r="A281" s="69" t="s">
        <v>96</v>
      </c>
      <c r="B281" s="10"/>
      <c r="C281" s="3"/>
      <c r="D281" s="3"/>
      <c r="E281" s="3"/>
      <c r="F281" s="3"/>
      <c r="G281" s="3"/>
      <c r="H281" s="3"/>
    </row>
    <row r="282" spans="1:8" s="4" customFormat="1" ht="26.25" customHeight="1">
      <c r="A282" s="70"/>
      <c r="B282" s="110" t="s">
        <v>241</v>
      </c>
      <c r="C282" s="6" t="s">
        <v>73</v>
      </c>
      <c r="D282" s="6">
        <f>E282+F282+G282</f>
        <v>498</v>
      </c>
      <c r="E282" s="6">
        <f>147.6+18.4</f>
        <v>166</v>
      </c>
      <c r="F282" s="6">
        <f>147.6+18.4</f>
        <v>166</v>
      </c>
      <c r="G282" s="6">
        <f>147.6+18.4</f>
        <v>166</v>
      </c>
      <c r="H282" s="3"/>
    </row>
    <row r="283" spans="1:8" s="4" customFormat="1" ht="27" customHeight="1">
      <c r="A283" s="70"/>
      <c r="B283" s="110"/>
      <c r="C283" s="6" t="s">
        <v>71</v>
      </c>
      <c r="D283" s="6">
        <f>E283+F283+G283</f>
        <v>294</v>
      </c>
      <c r="E283" s="6">
        <v>98</v>
      </c>
      <c r="F283" s="6">
        <v>98</v>
      </c>
      <c r="G283" s="6">
        <v>98</v>
      </c>
      <c r="H283" s="3"/>
    </row>
    <row r="284" spans="1:8" s="4" customFormat="1" ht="25.5">
      <c r="A284" s="70"/>
      <c r="B284" s="8" t="s">
        <v>32</v>
      </c>
      <c r="C284" s="6" t="s">
        <v>71</v>
      </c>
      <c r="D284" s="6">
        <f>E284+F284+G284</f>
        <v>3</v>
      </c>
      <c r="E284" s="6">
        <v>1</v>
      </c>
      <c r="F284" s="6">
        <v>1</v>
      </c>
      <c r="G284" s="6">
        <v>1</v>
      </c>
      <c r="H284" s="3"/>
    </row>
    <row r="285" spans="1:8" s="4" customFormat="1" ht="12.75">
      <c r="A285" s="71"/>
      <c r="B285" s="10" t="s">
        <v>118</v>
      </c>
      <c r="C285" s="3" t="s">
        <v>71</v>
      </c>
      <c r="D285" s="6">
        <f>E285+F285+G285</f>
        <v>13</v>
      </c>
      <c r="E285" s="6">
        <v>13</v>
      </c>
      <c r="F285" s="6"/>
      <c r="G285" s="6"/>
      <c r="H285" s="3"/>
    </row>
    <row r="286" spans="1:8" s="4" customFormat="1" ht="12.75">
      <c r="A286" s="109" t="s">
        <v>107</v>
      </c>
      <c r="B286" s="10"/>
      <c r="C286" s="3"/>
      <c r="D286" s="3"/>
      <c r="E286" s="3"/>
      <c r="F286" s="3"/>
      <c r="G286" s="3"/>
      <c r="H286" s="3"/>
    </row>
    <row r="287" spans="1:8" s="4" customFormat="1" ht="12.75">
      <c r="A287" s="109"/>
      <c r="B287" s="110" t="s">
        <v>60</v>
      </c>
      <c r="C287" s="6" t="s">
        <v>75</v>
      </c>
      <c r="D287" s="54">
        <f aca="true" t="shared" si="8" ref="D287:D292">E287+F287+G287</f>
        <v>1560</v>
      </c>
      <c r="E287" s="54">
        <v>520</v>
      </c>
      <c r="F287" s="54">
        <v>520</v>
      </c>
      <c r="G287" s="54">
        <v>520</v>
      </c>
      <c r="H287" s="3"/>
    </row>
    <row r="288" spans="1:8" s="4" customFormat="1" ht="12.75">
      <c r="A288" s="109"/>
      <c r="B288" s="110"/>
      <c r="C288" s="6" t="s">
        <v>24</v>
      </c>
      <c r="D288" s="54">
        <f t="shared" si="8"/>
        <v>1449</v>
      </c>
      <c r="E288" s="54">
        <v>483</v>
      </c>
      <c r="F288" s="54">
        <v>483</v>
      </c>
      <c r="G288" s="54">
        <v>483</v>
      </c>
      <c r="H288" s="3"/>
    </row>
    <row r="289" spans="1:8" s="4" customFormat="1" ht="38.25">
      <c r="A289" s="109"/>
      <c r="B289" s="10" t="s">
        <v>64</v>
      </c>
      <c r="C289" s="6" t="s">
        <v>71</v>
      </c>
      <c r="D289" s="6">
        <f t="shared" si="8"/>
        <v>99</v>
      </c>
      <c r="E289" s="6">
        <v>33</v>
      </c>
      <c r="F289" s="6">
        <v>33</v>
      </c>
      <c r="G289" s="6">
        <v>33</v>
      </c>
      <c r="H289" s="3"/>
    </row>
    <row r="290" spans="1:8" s="4" customFormat="1" ht="25.5">
      <c r="A290" s="109"/>
      <c r="B290" s="10" t="s">
        <v>34</v>
      </c>
      <c r="C290" s="6" t="s">
        <v>24</v>
      </c>
      <c r="D290" s="54">
        <f t="shared" si="8"/>
        <v>2431.75</v>
      </c>
      <c r="E290" s="54">
        <f>1477.25</f>
        <v>1477.25</v>
      </c>
      <c r="F290" s="54">
        <v>477.25</v>
      </c>
      <c r="G290" s="54">
        <v>477.25</v>
      </c>
      <c r="H290" s="3"/>
    </row>
    <row r="291" spans="1:8" s="4" customFormat="1" ht="25.5">
      <c r="A291" s="109"/>
      <c r="B291" s="10" t="s">
        <v>35</v>
      </c>
      <c r="C291" s="6" t="s">
        <v>71</v>
      </c>
      <c r="D291" s="6">
        <f t="shared" si="8"/>
        <v>96</v>
      </c>
      <c r="E291" s="6">
        <v>32</v>
      </c>
      <c r="F291" s="6">
        <v>32</v>
      </c>
      <c r="G291" s="6">
        <v>32</v>
      </c>
      <c r="H291" s="3"/>
    </row>
    <row r="292" spans="1:8" s="4" customFormat="1" ht="25.5">
      <c r="A292" s="109"/>
      <c r="B292" s="10" t="s">
        <v>66</v>
      </c>
      <c r="C292" s="6" t="s">
        <v>71</v>
      </c>
      <c r="D292" s="6">
        <f t="shared" si="8"/>
        <v>249</v>
      </c>
      <c r="E292" s="6">
        <v>83</v>
      </c>
      <c r="F292" s="6">
        <v>83</v>
      </c>
      <c r="G292" s="6">
        <v>83</v>
      </c>
      <c r="H292" s="3"/>
    </row>
    <row r="293" spans="1:8" s="4" customFormat="1" ht="12.75">
      <c r="A293" s="109" t="s">
        <v>116</v>
      </c>
      <c r="B293" s="8"/>
      <c r="C293" s="3"/>
      <c r="D293" s="3"/>
      <c r="E293" s="3"/>
      <c r="F293" s="3"/>
      <c r="G293" s="3"/>
      <c r="H293" s="3"/>
    </row>
    <row r="294" spans="1:8" s="4" customFormat="1" ht="25.5">
      <c r="A294" s="109"/>
      <c r="B294" s="10" t="s">
        <v>67</v>
      </c>
      <c r="C294" s="6" t="s">
        <v>78</v>
      </c>
      <c r="D294" s="6">
        <f>E294+F294+G294</f>
        <v>189</v>
      </c>
      <c r="E294" s="6">
        <v>63</v>
      </c>
      <c r="F294" s="6">
        <v>63</v>
      </c>
      <c r="G294" s="6">
        <v>63</v>
      </c>
      <c r="H294" s="3"/>
    </row>
    <row r="295" spans="1:8" s="4" customFormat="1" ht="25.5">
      <c r="A295" s="109"/>
      <c r="B295" s="10" t="s">
        <v>36</v>
      </c>
      <c r="C295" s="6" t="s">
        <v>76</v>
      </c>
      <c r="D295" s="6">
        <f>E295+F295+G295</f>
        <v>240</v>
      </c>
      <c r="E295" s="6">
        <v>80</v>
      </c>
      <c r="F295" s="6">
        <v>80</v>
      </c>
      <c r="G295" s="6">
        <v>80</v>
      </c>
      <c r="H295" s="3"/>
    </row>
    <row r="296" spans="1:8" s="4" customFormat="1" ht="12.75">
      <c r="A296" s="109"/>
      <c r="B296" s="10" t="s">
        <v>37</v>
      </c>
      <c r="C296" s="6" t="s">
        <v>77</v>
      </c>
      <c r="D296" s="6">
        <f>E296+F296+G296</f>
        <v>1059.6480000000001</v>
      </c>
      <c r="E296" s="6">
        <v>353.216</v>
      </c>
      <c r="F296" s="6">
        <v>353.216</v>
      </c>
      <c r="G296" s="6">
        <v>353.216</v>
      </c>
      <c r="H296" s="3"/>
    </row>
    <row r="297" spans="1:8" s="4" customFormat="1" ht="12.75">
      <c r="A297" s="109" t="s">
        <v>102</v>
      </c>
      <c r="B297" s="8"/>
      <c r="C297" s="3"/>
      <c r="D297" s="3"/>
      <c r="E297" s="3"/>
      <c r="F297" s="3"/>
      <c r="G297" s="3"/>
      <c r="H297" s="3"/>
    </row>
    <row r="298" spans="1:8" s="4" customFormat="1" ht="38.25">
      <c r="A298" s="109"/>
      <c r="B298" s="8" t="s">
        <v>68</v>
      </c>
      <c r="C298" s="6" t="s">
        <v>78</v>
      </c>
      <c r="D298" s="6">
        <f>E298+F298+G298</f>
        <v>505.26</v>
      </c>
      <c r="E298" s="6">
        <v>168.42</v>
      </c>
      <c r="F298" s="6">
        <v>168.42</v>
      </c>
      <c r="G298" s="6">
        <v>168.42</v>
      </c>
      <c r="H298" s="3"/>
    </row>
    <row r="299" spans="1:8" s="4" customFormat="1" ht="17.25" customHeight="1">
      <c r="A299" s="109" t="s">
        <v>115</v>
      </c>
      <c r="B299" s="8"/>
      <c r="C299" s="3"/>
      <c r="D299" s="3"/>
      <c r="E299" s="3"/>
      <c r="F299" s="3"/>
      <c r="G299" s="3"/>
      <c r="H299" s="3"/>
    </row>
    <row r="300" spans="1:8" s="4" customFormat="1" ht="24" customHeight="1">
      <c r="A300" s="109"/>
      <c r="B300" s="10" t="s">
        <v>69</v>
      </c>
      <c r="C300" s="6" t="s">
        <v>25</v>
      </c>
      <c r="D300" s="6">
        <f>E300+F300+G300</f>
        <v>35.688</v>
      </c>
      <c r="E300" s="6">
        <v>11.896</v>
      </c>
      <c r="F300" s="6">
        <v>11.896</v>
      </c>
      <c r="G300" s="6">
        <v>11.896</v>
      </c>
      <c r="H300" s="3"/>
    </row>
    <row r="301" spans="1:8" s="4" customFormat="1" ht="12.75">
      <c r="A301" s="67" t="s">
        <v>164</v>
      </c>
      <c r="B301" s="10"/>
      <c r="C301" s="6"/>
      <c r="D301" s="6"/>
      <c r="E301" s="6"/>
      <c r="F301" s="6"/>
      <c r="G301" s="6"/>
      <c r="H301" s="3"/>
    </row>
    <row r="302" spans="1:8" s="4" customFormat="1" ht="24" customHeight="1">
      <c r="A302" s="67"/>
      <c r="B302" s="8" t="s">
        <v>158</v>
      </c>
      <c r="C302" s="6" t="s">
        <v>152</v>
      </c>
      <c r="D302" s="53">
        <f>E302</f>
        <v>93.893</v>
      </c>
      <c r="E302" s="53">
        <f>20+73.893</f>
        <v>93.893</v>
      </c>
      <c r="F302" s="6"/>
      <c r="G302" s="6"/>
      <c r="H302" s="3"/>
    </row>
    <row r="303" spans="1:8" s="1" customFormat="1" ht="12.75">
      <c r="A303" s="108" t="s">
        <v>122</v>
      </c>
      <c r="B303" s="108"/>
      <c r="C303" s="108"/>
      <c r="D303" s="108"/>
      <c r="E303" s="108"/>
      <c r="F303" s="108"/>
      <c r="G303" s="108"/>
      <c r="H303" s="8"/>
    </row>
    <row r="304" spans="1:8" s="1" customFormat="1" ht="12.75">
      <c r="A304" s="82" t="s">
        <v>70</v>
      </c>
      <c r="B304" s="82"/>
      <c r="C304" s="82"/>
      <c r="D304" s="82"/>
      <c r="E304" s="82"/>
      <c r="F304" s="82"/>
      <c r="G304" s="82"/>
      <c r="H304" s="8"/>
    </row>
    <row r="305" spans="1:8" s="1" customFormat="1" ht="12.75" customHeight="1">
      <c r="A305" s="109" t="s">
        <v>123</v>
      </c>
      <c r="B305" s="5"/>
      <c r="C305" s="3"/>
      <c r="D305" s="51"/>
      <c r="E305" s="51"/>
      <c r="F305" s="51"/>
      <c r="G305" s="51"/>
      <c r="H305" s="8"/>
    </row>
    <row r="306" spans="1:8" s="1" customFormat="1" ht="38.25">
      <c r="A306" s="109"/>
      <c r="B306" s="8" t="s">
        <v>124</v>
      </c>
      <c r="C306" s="3" t="s">
        <v>71</v>
      </c>
      <c r="D306" s="3">
        <f>E306+F306+G306</f>
        <v>3</v>
      </c>
      <c r="E306" s="3">
        <v>1</v>
      </c>
      <c r="F306" s="3">
        <v>1</v>
      </c>
      <c r="G306" s="3">
        <v>1</v>
      </c>
      <c r="H306" s="8"/>
    </row>
    <row r="307" spans="1:8" s="1" customFormat="1" ht="25.5">
      <c r="A307" s="109"/>
      <c r="B307" s="8" t="s">
        <v>158</v>
      </c>
      <c r="C307" s="3" t="s">
        <v>152</v>
      </c>
      <c r="D307" s="3">
        <f>E307</f>
        <v>135.997</v>
      </c>
      <c r="E307" s="3">
        <v>135.997</v>
      </c>
      <c r="F307" s="3"/>
      <c r="G307" s="3"/>
      <c r="H307" s="8"/>
    </row>
    <row r="308" spans="1:8" s="1" customFormat="1" ht="12.75">
      <c r="A308" s="108" t="s">
        <v>125</v>
      </c>
      <c r="B308" s="108"/>
      <c r="C308" s="108"/>
      <c r="D308" s="108"/>
      <c r="E308" s="108"/>
      <c r="F308" s="108"/>
      <c r="G308" s="108"/>
      <c r="H308" s="8"/>
    </row>
    <row r="309" spans="1:8" s="1" customFormat="1" ht="12.75">
      <c r="A309" s="82" t="s">
        <v>70</v>
      </c>
      <c r="B309" s="82"/>
      <c r="C309" s="82"/>
      <c r="D309" s="82"/>
      <c r="E309" s="82"/>
      <c r="F309" s="82"/>
      <c r="G309" s="82"/>
      <c r="H309" s="8"/>
    </row>
    <row r="310" spans="1:8" s="1" customFormat="1" ht="12.75">
      <c r="A310" s="109" t="s">
        <v>126</v>
      </c>
      <c r="B310" s="5"/>
      <c r="C310" s="3"/>
      <c r="D310" s="51"/>
      <c r="E310" s="51"/>
      <c r="F310" s="51"/>
      <c r="G310" s="51"/>
      <c r="H310" s="8"/>
    </row>
    <row r="311" spans="1:8" s="1" customFormat="1" ht="51">
      <c r="A311" s="109"/>
      <c r="B311" s="8" t="s">
        <v>165</v>
      </c>
      <c r="C311" s="3" t="s">
        <v>71</v>
      </c>
      <c r="D311" s="3">
        <f>E311+F311+G311</f>
        <v>300</v>
      </c>
      <c r="E311" s="3">
        <v>100</v>
      </c>
      <c r="F311" s="3">
        <v>100</v>
      </c>
      <c r="G311" s="3">
        <v>100</v>
      </c>
      <c r="H311" s="8"/>
    </row>
    <row r="312" spans="1:8" s="1" customFormat="1" ht="51">
      <c r="A312" s="109"/>
      <c r="B312" s="8" t="s">
        <v>174</v>
      </c>
      <c r="C312" s="6" t="s">
        <v>150</v>
      </c>
      <c r="D312" s="3">
        <f>E312+F312+G312</f>
        <v>2</v>
      </c>
      <c r="E312" s="3">
        <v>2</v>
      </c>
      <c r="F312" s="3"/>
      <c r="G312" s="3"/>
      <c r="H312" s="8"/>
    </row>
    <row r="313" spans="1:8" s="1" customFormat="1" ht="63" customHeight="1">
      <c r="A313" s="109"/>
      <c r="B313" s="8" t="s">
        <v>166</v>
      </c>
      <c r="C313" s="3" t="s">
        <v>134</v>
      </c>
      <c r="D313" s="3">
        <f>E313+F313+G313</f>
        <v>33287.59</v>
      </c>
      <c r="E313" s="3">
        <v>33287.59</v>
      </c>
      <c r="F313" s="3"/>
      <c r="G313" s="3"/>
      <c r="H313" s="8"/>
    </row>
    <row r="314" spans="1:8" ht="12.75">
      <c r="A314" s="108" t="s">
        <v>119</v>
      </c>
      <c r="B314" s="108"/>
      <c r="C314" s="108"/>
      <c r="D314" s="108"/>
      <c r="E314" s="108"/>
      <c r="F314" s="108"/>
      <c r="G314" s="108"/>
      <c r="H314" s="51"/>
    </row>
    <row r="315" spans="1:8" ht="12.75">
      <c r="A315" s="82" t="s">
        <v>70</v>
      </c>
      <c r="B315" s="82"/>
      <c r="C315" s="82"/>
      <c r="D315" s="82"/>
      <c r="E315" s="82"/>
      <c r="F315" s="82"/>
      <c r="G315" s="82"/>
      <c r="H315" s="51"/>
    </row>
    <row r="316" spans="1:8" ht="72" customHeight="1">
      <c r="A316" s="109" t="s">
        <v>79</v>
      </c>
      <c r="B316" s="8" t="s">
        <v>120</v>
      </c>
      <c r="C316" s="3" t="s">
        <v>80</v>
      </c>
      <c r="D316" s="3">
        <f>E316+F316+G316</f>
        <v>540</v>
      </c>
      <c r="E316" s="3">
        <v>180</v>
      </c>
      <c r="F316" s="3">
        <v>180</v>
      </c>
      <c r="G316" s="3">
        <v>180</v>
      </c>
      <c r="H316" s="59"/>
    </row>
    <row r="317" spans="1:8" ht="25.5">
      <c r="A317" s="109"/>
      <c r="B317" s="8" t="s">
        <v>268</v>
      </c>
      <c r="C317" s="3" t="s">
        <v>80</v>
      </c>
      <c r="D317" s="3">
        <f>E317+F317+G317</f>
        <v>2</v>
      </c>
      <c r="E317" s="3">
        <v>2</v>
      </c>
      <c r="F317" s="3"/>
      <c r="G317" s="3"/>
      <c r="H317" s="59"/>
    </row>
    <row r="318" spans="1:8" ht="25.5">
      <c r="A318" s="109"/>
      <c r="B318" s="8" t="s">
        <v>158</v>
      </c>
      <c r="C318" s="3" t="s">
        <v>152</v>
      </c>
      <c r="D318" s="3">
        <f>E318</f>
        <v>15.947</v>
      </c>
      <c r="E318" s="3">
        <v>15.947</v>
      </c>
      <c r="F318" s="51"/>
      <c r="G318" s="51"/>
      <c r="H318" s="59"/>
    </row>
    <row r="319" spans="1:7" ht="12.75">
      <c r="A319" s="108" t="s">
        <v>244</v>
      </c>
      <c r="B319" s="108"/>
      <c r="C319" s="108"/>
      <c r="D319" s="108"/>
      <c r="E319" s="108"/>
      <c r="F319" s="108"/>
      <c r="G319" s="108"/>
    </row>
    <row r="320" spans="1:8" s="1" customFormat="1" ht="41.25" customHeight="1">
      <c r="A320" s="109" t="s">
        <v>242</v>
      </c>
      <c r="B320" s="112" t="s">
        <v>245</v>
      </c>
      <c r="C320" s="3" t="s">
        <v>152</v>
      </c>
      <c r="D320" s="57">
        <f>E320</f>
        <v>2400</v>
      </c>
      <c r="E320" s="57">
        <v>2400</v>
      </c>
      <c r="F320" s="51"/>
      <c r="G320" s="51"/>
      <c r="H320" s="60"/>
    </row>
    <row r="321" spans="1:8" s="1" customFormat="1" ht="29.25" customHeight="1">
      <c r="A321" s="109"/>
      <c r="B321" s="112"/>
      <c r="C321" s="3" t="s">
        <v>80</v>
      </c>
      <c r="D321" s="58">
        <f>E321</f>
        <v>1587</v>
      </c>
      <c r="E321" s="58">
        <v>1587</v>
      </c>
      <c r="F321" s="51"/>
      <c r="G321" s="51"/>
      <c r="H321" s="60"/>
    </row>
    <row r="322" spans="1:8" s="1" customFormat="1" ht="51">
      <c r="A322" s="21" t="s">
        <v>246</v>
      </c>
      <c r="B322" s="8" t="s">
        <v>247</v>
      </c>
      <c r="C322" s="3" t="s">
        <v>152</v>
      </c>
      <c r="D322" s="57">
        <f>E322</f>
        <v>300</v>
      </c>
      <c r="E322" s="57">
        <v>300</v>
      </c>
      <c r="F322" s="51"/>
      <c r="G322" s="51"/>
      <c r="H322" s="62"/>
    </row>
    <row r="325" spans="1:7" s="47" customFormat="1" ht="18.75">
      <c r="A325" s="47" t="s">
        <v>146</v>
      </c>
      <c r="C325" s="48"/>
      <c r="F325" s="113" t="s">
        <v>147</v>
      </c>
      <c r="G325" s="113"/>
    </row>
    <row r="326" spans="1:7" s="4" customFormat="1" ht="25.5" customHeight="1">
      <c r="A326" s="50"/>
      <c r="B326" s="49"/>
      <c r="D326" s="49"/>
      <c r="E326" s="49"/>
      <c r="F326" s="49"/>
      <c r="G326" s="49"/>
    </row>
    <row r="327" spans="1:7" s="4" customFormat="1" ht="17.25" customHeight="1">
      <c r="A327" s="50"/>
      <c r="B327" s="49"/>
      <c r="D327" s="49"/>
      <c r="E327" s="49"/>
      <c r="F327" s="49"/>
      <c r="G327" s="49"/>
    </row>
    <row r="328" spans="1:7" s="4" customFormat="1" ht="12.75">
      <c r="A328" s="50"/>
      <c r="B328" s="49"/>
      <c r="D328" s="49"/>
      <c r="E328" s="49"/>
      <c r="F328" s="49"/>
      <c r="G328" s="49"/>
    </row>
  </sheetData>
  <sheetProtection/>
  <mergeCells count="109">
    <mergeCell ref="A85:A87"/>
    <mergeCell ref="A83:H83"/>
    <mergeCell ref="A84:G84"/>
    <mergeCell ref="A254:A256"/>
    <mergeCell ref="A164:A169"/>
    <mergeCell ref="A94:A103"/>
    <mergeCell ref="A178:A183"/>
    <mergeCell ref="A104:A111"/>
    <mergeCell ref="A117:A136"/>
    <mergeCell ref="A137:A159"/>
    <mergeCell ref="B223:B224"/>
    <mergeCell ref="A235:A238"/>
    <mergeCell ref="A239:A240"/>
    <mergeCell ref="A228:A232"/>
    <mergeCell ref="A233:A234"/>
    <mergeCell ref="A221:A227"/>
    <mergeCell ref="A299:A300"/>
    <mergeCell ref="A297:A298"/>
    <mergeCell ref="A271:A272"/>
    <mergeCell ref="A250:A253"/>
    <mergeCell ref="A278:A279"/>
    <mergeCell ref="A261:G261"/>
    <mergeCell ref="A244:A249"/>
    <mergeCell ref="A262:A265"/>
    <mergeCell ref="A281:A285"/>
    <mergeCell ref="A276:A277"/>
    <mergeCell ref="A316:A318"/>
    <mergeCell ref="B246:B247"/>
    <mergeCell ref="B282:B283"/>
    <mergeCell ref="B287:B288"/>
    <mergeCell ref="A301:A302"/>
    <mergeCell ref="A315:G315"/>
    <mergeCell ref="A304:G304"/>
    <mergeCell ref="A308:G308"/>
    <mergeCell ref="A305:A307"/>
    <mergeCell ref="A303:G303"/>
    <mergeCell ref="A177:G177"/>
    <mergeCell ref="B181:B182"/>
    <mergeCell ref="B146:B147"/>
    <mergeCell ref="B148:B149"/>
    <mergeCell ref="A175:A176"/>
    <mergeCell ref="F325:G325"/>
    <mergeCell ref="A64:G64"/>
    <mergeCell ref="A74:G74"/>
    <mergeCell ref="A77:G77"/>
    <mergeCell ref="A314:G314"/>
    <mergeCell ref="A112:A116"/>
    <mergeCell ref="A309:G309"/>
    <mergeCell ref="A310:A313"/>
    <mergeCell ref="A80:G80"/>
    <mergeCell ref="A216:A217"/>
    <mergeCell ref="A40:G40"/>
    <mergeCell ref="A9:G9"/>
    <mergeCell ref="A8:G8"/>
    <mergeCell ref="A204:A205"/>
    <mergeCell ref="A16:G16"/>
    <mergeCell ref="B11:B13"/>
    <mergeCell ref="A90:A91"/>
    <mergeCell ref="A65:A73"/>
    <mergeCell ref="A88:H88"/>
    <mergeCell ref="A89:G89"/>
    <mergeCell ref="E5:G5"/>
    <mergeCell ref="E6:G6"/>
    <mergeCell ref="A39:H39"/>
    <mergeCell ref="D11:G11"/>
    <mergeCell ref="C11:C13"/>
    <mergeCell ref="A17:A38"/>
    <mergeCell ref="E12:G12"/>
    <mergeCell ref="A15:H15"/>
    <mergeCell ref="E1:G1"/>
    <mergeCell ref="E2:G2"/>
    <mergeCell ref="E3:G3"/>
    <mergeCell ref="A218:A219"/>
    <mergeCell ref="A11:A13"/>
    <mergeCell ref="D12:D13"/>
    <mergeCell ref="A173:A174"/>
    <mergeCell ref="A75:A76"/>
    <mergeCell ref="A213:A215"/>
    <mergeCell ref="A41:A62"/>
    <mergeCell ref="A63:H63"/>
    <mergeCell ref="A320:A321"/>
    <mergeCell ref="A257:A258"/>
    <mergeCell ref="A266:A270"/>
    <mergeCell ref="A273:A275"/>
    <mergeCell ref="A286:A292"/>
    <mergeCell ref="A280:G280"/>
    <mergeCell ref="A259:A260"/>
    <mergeCell ref="B320:B321"/>
    <mergeCell ref="A220:G220"/>
    <mergeCell ref="A319:G319"/>
    <mergeCell ref="A241:A242"/>
    <mergeCell ref="A191:A194"/>
    <mergeCell ref="A198:A203"/>
    <mergeCell ref="A195:A196"/>
    <mergeCell ref="A197:G197"/>
    <mergeCell ref="A206:A212"/>
    <mergeCell ref="B200:B201"/>
    <mergeCell ref="A293:A296"/>
    <mergeCell ref="A243:G243"/>
    <mergeCell ref="A78:A79"/>
    <mergeCell ref="A81:A82"/>
    <mergeCell ref="A184:A190"/>
    <mergeCell ref="A92:G92"/>
    <mergeCell ref="A170:A172"/>
    <mergeCell ref="B138:B139"/>
    <mergeCell ref="A160:G160"/>
    <mergeCell ref="B165:B166"/>
    <mergeCell ref="A93:G93"/>
    <mergeCell ref="A161:A163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4" manualBreakCount="4">
    <brk id="84" max="6" man="1"/>
    <brk id="203" max="6" man="1"/>
    <brk id="258" max="6" man="1"/>
    <brk id="2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2013-07-04T11:40:38Z</cp:lastPrinted>
  <dcterms:created xsi:type="dcterms:W3CDTF">1996-10-08T23:32:33Z</dcterms:created>
  <dcterms:modified xsi:type="dcterms:W3CDTF">2013-07-11T05:15:13Z</dcterms:modified>
  <cp:category/>
  <cp:version/>
  <cp:contentType/>
  <cp:contentStatus/>
</cp:coreProperties>
</file>