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</sheets>
  <definedNames>
    <definedName name="_xlnm.Print_Area" localSheetId="0">'додаток 1'!$A$1:$H$294</definedName>
  </definedNames>
  <calcPr fullCalcOnLoad="1"/>
</workbook>
</file>

<file path=xl/sharedStrings.xml><?xml version="1.0" encoding="utf-8"?>
<sst xmlns="http://schemas.openxmlformats.org/spreadsheetml/2006/main" count="410" uniqueCount="206">
  <si>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</si>
  <si>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</si>
  <si>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</si>
  <si>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</si>
  <si>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</si>
  <si>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</si>
  <si>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</si>
  <si>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</si>
  <si>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департамент житлово-комунального господарства Запорізької міської ради</t>
  </si>
  <si>
    <t>бюджет міста</t>
  </si>
  <si>
    <t xml:space="preserve">нанесення дорожньої розмітки </t>
  </si>
  <si>
    <t xml:space="preserve">поточний ремонт доріг та тротуарів </t>
  </si>
  <si>
    <t xml:space="preserve">установка дорожніх знаків </t>
  </si>
  <si>
    <t xml:space="preserve">енергопостачання засобів регулювання дорожнього руху </t>
  </si>
  <si>
    <t xml:space="preserve">прибирання газонів, парків, скверів (прибирання листя) </t>
  </si>
  <si>
    <t xml:space="preserve">утримання міських фонтанів </t>
  </si>
  <si>
    <t xml:space="preserve">утримання громадських вбиралень (туалетів) </t>
  </si>
  <si>
    <t>районна адміністрація Запорізької міської ради по Ленінському району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</si>
  <si>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</si>
  <si>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</si>
  <si>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</si>
  <si>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</si>
  <si>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</si>
  <si>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</si>
  <si>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</si>
  <si>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 xml:space="preserve">поточний ремонт штучних споруд </t>
  </si>
  <si>
    <t>встановлення засобів регулювання дорожнього руху</t>
  </si>
  <si>
    <t>відновлення дорожньої розмітки</t>
  </si>
  <si>
    <t>утримання парків та скверів</t>
  </si>
  <si>
    <t>поточний ремонт малих архітектурних форм</t>
  </si>
  <si>
    <t>районна адміністрація Запорізької міської ради по Жовтневому району</t>
  </si>
  <si>
    <t xml:space="preserve">встановлення засобів регулювання дорожнього руху </t>
  </si>
  <si>
    <t xml:space="preserve">нанесення та відновлення дорожньої розмітки </t>
  </si>
  <si>
    <t>виготовлення та встановлення малих архітектурних форм</t>
  </si>
  <si>
    <t xml:space="preserve">знесення тимчасових споруд </t>
  </si>
  <si>
    <t>інвентаризація зелених насаджень</t>
  </si>
  <si>
    <t>районна адміністрація Запорізької міської ради по Шевченківському району</t>
  </si>
  <si>
    <t>встановлення малих архітектурних форм</t>
  </si>
  <si>
    <t>районна адміністрація Запорізької міської ради по Комунарському району</t>
  </si>
  <si>
    <t>нанесення дорожньої розмітки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</si>
  <si>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</si>
  <si>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</si>
  <si>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</si>
  <si>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поточний ремонт засобів регулювання дорожнього руху</t>
  </si>
  <si>
    <t>поточний  ремонт та технічне обслуговування малих архітектурних форм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</si>
  <si>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</si>
  <si>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</si>
  <si>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</si>
  <si>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</si>
  <si>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</si>
  <si>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паспортизація доріг</t>
  </si>
  <si>
    <t>поточний ремонт та технічне обслуговування засобів регулювання дорожнього руху</t>
  </si>
  <si>
    <t>з виконання Програми розвитку та утримання житлово-комунального господарства м. Запоріжжя на 2013-2015 роки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</si>
  <si>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</si>
  <si>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</si>
  <si>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реконструкція об’єктів транспортної інфраструктури</t>
  </si>
  <si>
    <t>будівництво об’єктів транспортної інфраструктури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</si>
  <si>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</si>
  <si>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</si>
  <si>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</si>
  <si>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</si>
  <si>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</si>
  <si>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</si>
  <si>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</si>
  <si>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</si>
  <si>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</si>
  <si>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</si>
  <si>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</si>
  <si>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</si>
  <si>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</si>
  <si>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</si>
  <si>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</si>
  <si>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</si>
  <si>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</si>
  <si>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</si>
  <si>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</si>
  <si>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</si>
  <si>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</si>
  <si>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поточний ремонт та технічне обслуговування малих архітектурних форм парків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</si>
  <si>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</si>
  <si>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</si>
  <si>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</si>
  <si>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>інвентаризація та паспортизація вулиць</t>
  </si>
  <si>
    <t>охорона об'єктів благоустрою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</si>
  <si>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</si>
  <si>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</si>
  <si>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</si>
  <si>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</si>
  <si>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</si>
  <si>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</si>
  <si>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</si>
  <si>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Капітальний ремонт житлового фонду</t>
  </si>
  <si>
    <t>Прогнозні обсяги, тис.грн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</si>
  <si>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</si>
  <si>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</si>
  <si>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Районна адміністрація Запорізької міської ради по Орджонікідзевському  району</t>
  </si>
  <si>
    <t>Районна адміністрація Запорізької міської ради по Жовтневому  району</t>
  </si>
  <si>
    <t>Районна адміністрація Запорізької міської ради по Заводському  району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</si>
  <si>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</si>
  <si>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</si>
  <si>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</si>
  <si>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</si>
  <si>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</si>
  <si>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Р.О. Таран</t>
  </si>
  <si>
    <t>в тому числі за рахунок надходжень до спеціального фонду бюджету міста</t>
  </si>
  <si>
    <t>в тому числі 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</si>
  <si>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оплата за роботи виконані у 2012 році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</si>
  <si>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</si>
  <si>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</si>
  <si>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</si>
  <si>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поточний ремонт штучної споруди (міст)</t>
  </si>
  <si>
    <t>утримання малих архітектурних форм</t>
  </si>
  <si>
    <t>Погашення заборгованості минулих років, в тому числі</t>
  </si>
  <si>
    <t>поповнення обігових коштів комунального підприємства для оренди мобільних туалетних кабін та контейнерів для сміття</t>
  </si>
  <si>
    <t>поповнення обігових коштів комунальних підприємств для оплати 50 відсотків за рахунок коштів бюджету міста громадських робіт</t>
  </si>
  <si>
    <t>поповнення обігових коштів комунального підприємства для виплати заробітної плати з нарахуваннями</t>
  </si>
  <si>
    <t>оплата за роботи з благоустрою міста виконані у 2012 році</t>
  </si>
  <si>
    <t>в тому числі за рахунок залишку субвенції 2012 року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</si>
  <si>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влаштування засобів примусового зниження швидкості ("лежачі поліцейські" та дорожні знаки)</t>
  </si>
  <si>
    <t>будівництво світлофорного об'єкту</t>
  </si>
  <si>
    <t>поточний ремонт меморіального комплексу</t>
  </si>
  <si>
    <t>Погашення заборгованості минулих років, в тому числі:</t>
  </si>
  <si>
    <t>перевезення безпечних відходів</t>
  </si>
  <si>
    <t>збирання безпечних відходів (очищення території від сміття)</t>
  </si>
  <si>
    <t>ЗАТВЕРДЖЕНО</t>
  </si>
  <si>
    <t>Рішення міської ради</t>
  </si>
  <si>
    <t>перевезення безпечних відходів та захоронення твердих побутових відходів</t>
  </si>
  <si>
    <t>Капітальний ремонт об’єктів благоустрою, в тому числі:</t>
  </si>
  <si>
    <t>капітальний ремонт прилеглої до обласної філармонії території</t>
  </si>
  <si>
    <t xml:space="preserve">збирання і видалення безпечних відходів 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</si>
  <si>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</si>
  <si>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</si>
  <si>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</si>
  <si>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модернізація електричних мереж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</si>
  <si>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</si>
  <si>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</si>
  <si>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</si>
  <si>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</si>
  <si>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</si>
  <si>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</si>
  <si>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</si>
  <si>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капітальний ремонт житлового фонду за рахунок  коштів депутатського фонду</t>
  </si>
  <si>
    <t>оплата за виконані роботи з капітального ремонту житлового фонду у 2012 році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</si>
  <si>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</si>
  <si>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</si>
  <si>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капітальний ремонт нежитлового приміщення будівлі по вул. Сталеварів, 19</t>
  </si>
  <si>
    <t>поточний ремонт житлових будинків та об’єктів благоустрою  в житловому фонді м. Запоріжжя за рахунок коштів депутатського фонду</t>
  </si>
  <si>
    <t>оплата за виконані роботи з улаштування освітлення над входами до під'їздів будинків житлового фонду комунальної власності у 2012 році</t>
  </si>
  <si>
    <t>оплата за виконані роботи з поточного ремонту житлових будинків, об'єктів благоустрою та проведення енергоаудитів у 2012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</si>
  <si>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2012 році</t>
  </si>
  <si>
    <t>оплата за виконані роботи з поточного ремонту внутрішньоквартальних доріг у 2012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</si>
  <si>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капітального ремонту нежитлових приміщень та будівель м. Запоріжжя у 2012 році</t>
  </si>
  <si>
    <t>забезпечення проектування та будівництва об'єктів</t>
  </si>
  <si>
    <t>забезпечення  проектування та реконструкції об'єктів</t>
  </si>
  <si>
    <t xml:space="preserve">оплата за виконані у 2012 році роботи по об'єктах будівництва та реконструкції </t>
  </si>
  <si>
    <t>забезпечення  проектування, будівництва та реконструкції об'єктів</t>
  </si>
  <si>
    <t xml:space="preserve">забезпечення  проектування та реконструкції об'єктів </t>
  </si>
  <si>
    <t xml:space="preserve">оплата за виконані у 2012 році роботи по об'єктах реконструкції </t>
  </si>
  <si>
    <t>внески у статутні капітали комунальних  підприємств міста (придбання спеціальної техніки)</t>
  </si>
  <si>
    <t>внески у статутні капітали комунальних  підприємств міста (оплата за спеціальну техніку придбану у 2012 році)</t>
  </si>
  <si>
    <t>проведення капітального ремонту житлового фонду ОСББ</t>
  </si>
  <si>
    <t>оплата за виконані роботи у 2012 році з промивки систем центрального опалення будинків житлового фонду комунальної власності та придбання матеріалів для проведення робіт з підготовки житлового фонду комунальної власності до роботи в осінньо-зимовий період</t>
  </si>
  <si>
    <t>оплата за виконані роботи у 2012 році з технічної інвентаризації гуртожитків комунальної власності міста</t>
  </si>
  <si>
    <t>оплата за виконані роботи у 2012 році з обробки внутрішньоквартальних доріг та тротуарів антиожиледними матеріалами</t>
  </si>
  <si>
    <t>капітальний ремонт квартир</t>
  </si>
  <si>
    <t>встановлення малих архітектурних форм за рахунок  коштів депутатського фонду</t>
  </si>
  <si>
    <t>встановлення тіньового навісу з лавами за рахунок  коштів депутатського фонду</t>
  </si>
  <si>
    <t>догляд за зеленими насадженнями, в тому числі обрізка та ліквідація сухих, аварійно-небезпечних дерев</t>
  </si>
  <si>
    <t>Погашення заборгованості по заробітній платі з нарахуваннями працівникам підприємства</t>
  </si>
  <si>
    <t>кошти підприємств</t>
  </si>
  <si>
    <t>Інші кошти</t>
  </si>
  <si>
    <t>Підтримання комунального підприємства для утримання та експлуатації житлового фонду</t>
  </si>
  <si>
    <t>поточний ремонт об’єктів благоустрою за рахунок  коштів депутатського фонду</t>
  </si>
  <si>
    <t>капітальний ремонт об’єктів благоустрою за рахунок  коштів депутатського фонду</t>
  </si>
  <si>
    <t>забезпечення проектування,  будівництва та реконструкції об'єктів за рахунок  коштів депутатського фонду</t>
  </si>
  <si>
    <t>Надання допомоги у вирішені житлових питань</t>
  </si>
  <si>
    <t>Забезпечення житлом окремих категорій населення, в тому числі:</t>
  </si>
  <si>
    <t>придбання квартир для призерів Олімпійських та Параолімпійських Ігор у Лондоні</t>
  </si>
  <si>
    <t>дозволити Концерну «Міські теплові мережі» надати поворотну фінансову допомогу (позику) Запорізькому комунальному підприємству міського електротранспорту «Запоріжелектротранс» у розмірі 2400000,00 (два мільйони чотириста тисяч гривень 00 копійок) і укласти відповідний договір</t>
  </si>
  <si>
    <t>улаштування дитячих майданчиків на прибудинкових територіях житлових будинків</t>
  </si>
  <si>
    <t>капітальний ремонт нежитлового приміщення будівлі по вул. Чекістів, 34</t>
  </si>
  <si>
    <t>проведення технічної інвентаризації гуртожитків комунальної власності міста</t>
  </si>
  <si>
    <t>оплата за виконані роботи з капітального ремонту, заміни (модернізації) ліфтів у 2012 році</t>
  </si>
  <si>
    <t>Забезпечення населення питною водою належної якості, в тому числі:</t>
  </si>
  <si>
    <t>Поховання померлих безрідних і невідомих та почесних громадян міста</t>
  </si>
  <si>
    <t>поховання померлих почесних громадян міста</t>
  </si>
  <si>
    <t>капітальний ремонт нежитлового приміщення будівлі по вул. Артема, 50</t>
  </si>
  <si>
    <t>до Програми розвитку та утримання житлово-комунального господарства м. Запоріжжя на 2013-2015 роки</t>
  </si>
  <si>
    <t>департамент фінансової та бюджетної політики Запорізької міської ради</t>
  </si>
  <si>
    <t>співфінансування на виконання капітального ремонту систем централізованого водопостачання та водовідведення</t>
  </si>
  <si>
    <t>в тому числі субвенція обласному бюджету для виконання умов співфінансування відповідно до Порядку та умов надання у 2013 році субвенції з державного бюджету місцевим бюджетам на капітальний ремонт систем централізованого водопостачання та водовідведення, затвердженого постановою Кабінету Міністрів України від 11.02.2013 №109</t>
  </si>
  <si>
    <t>Капітальний ремонт систем централізованого водопостачання та водовідведення</t>
  </si>
  <si>
    <t>дозволити комунальному підприємству «Запорізьке міське інвестиційне агентство" на підставі рішення Запорізької міської ради від 24.12.2012 №79 "Про затвердження Положення про порядок плати за тимчасове користування місцем розміщення рекламних засобів, що перебуває в комунальній власності територіальної громади м. Запоріжжя", надати безповоротну фінансову допомогу комунальному підприємству «Експлуатаційне лінійне управління автомобільних шляхів» у розмірі 1200000,00 (один мільйон двісті тисяч гривень 00 копійок) і укласти відповідний договір</t>
  </si>
  <si>
    <t>дозволити комунальному підприємству «Виробниче ремонтно-експлуатаційне житлове об'єднання №8» надати безповоротну фінансову допомогу міському комунальному підприємству «Основаніє» у розмірі 375000,00 (триста сімдесят п'ять тисяч гривень 00 копійок) і укласти відповідний договір</t>
  </si>
  <si>
    <t>освітлення міста (в тому числі забезпечення оплати пені за несвоєчасну оплату за спожиту електричну енергію на зовнішнє освітлення міста)</t>
  </si>
  <si>
    <t xml:space="preserve">поточний ремонт нежитлового приміщення по пр. Леніна, 133 </t>
  </si>
  <si>
    <t>поточний ремонт зливової каналізації</t>
  </si>
  <si>
    <t>влаштування архітектурно-декоративного освітлення будинку комунального закладу "Обласний перинотальний центр Запорізької обласної ради" по вул. Південноукраїнська, 17а</t>
  </si>
  <si>
    <t>в тому числі субвенція обласному бюджету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</si>
  <si>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</si>
  <si>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</si>
  <si>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</si>
  <si>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</si>
  <si>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дозволити комунальному підприємству «Запорізьке міське інвестиційне агентство" на підставі рішення Запорізької міської ради від 24.12.2012 №79 "Про затвердження Положення про порядок плати за тимчасове користування місцем розміщення рекламних засобів, що перебуває в комунальній власності територіальної громади м. Запоріжжя", надати поворотну фінансову допомогу комунальному підприємству «Водоканал» у розмірі 1000000,00 (один мільйон гривень 00 копійок) і укласти відповідний договір</t>
  </si>
  <si>
    <t>Оплата податків та зборів</t>
  </si>
  <si>
    <t>20.08.2013 №11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</si>
</sst>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88" fontId="1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24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5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94"/>
  <sheetViews>
    <sheetView tabSelected="1" view="pageBreakPreview" zoomScale="90" zoomScaleNormal="75" zoomScaleSheetLayoutView="90" zoomScalePageLayoutView="0" workbookViewId="0" topLeftCell="A1">
      <selection activeCell="F4" sqref="F4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2.421875" style="2" customWidth="1"/>
    <col min="7" max="7" width="11.7109375" style="2" customWidth="1"/>
    <col min="8" max="8" width="12.28125" style="2" customWidth="1"/>
    <col min="9" max="16384" width="9.140625" style="1" customWidth="1"/>
  </cols>
  <sheetData>
    <row r="1" spans="3:8" s="16" customFormat="1" ht="20.25">
      <c r="C1" s="17"/>
      <c r="D1" s="17"/>
      <c r="E1" s="17"/>
      <c r="F1" s="42" t="s">
        <v>124</v>
      </c>
      <c r="G1" s="42"/>
      <c r="H1" s="42"/>
    </row>
    <row r="2" spans="3:8" s="16" customFormat="1" ht="20.25">
      <c r="C2" s="17"/>
      <c r="D2" s="17"/>
      <c r="E2" s="17"/>
      <c r="F2" s="42" t="s">
        <v>125</v>
      </c>
      <c r="G2" s="42"/>
      <c r="H2" s="42"/>
    </row>
    <row r="3" spans="3:8" s="16" customFormat="1" ht="20.25">
      <c r="C3" s="17"/>
      <c r="D3" s="17"/>
      <c r="E3" s="17"/>
      <c r="F3" s="59" t="s">
        <v>205</v>
      </c>
      <c r="G3" s="42"/>
      <c r="H3" s="42"/>
    </row>
    <row r="4" spans="3:8" s="16" customFormat="1" ht="20.25">
      <c r="C4" s="17"/>
      <c r="D4" s="17"/>
      <c r="E4" s="17"/>
      <c r="F4" s="23"/>
      <c r="G4" s="23"/>
      <c r="H4" s="23"/>
    </row>
    <row r="5" spans="3:8" s="16" customFormat="1" ht="20.25" customHeight="1">
      <c r="C5" s="17"/>
      <c r="D5" s="17"/>
      <c r="E5" s="17"/>
      <c r="F5" s="42" t="s">
        <v>7</v>
      </c>
      <c r="G5" s="42"/>
      <c r="H5" s="42"/>
    </row>
    <row r="6" spans="3:8" s="16" customFormat="1" ht="105.75" customHeight="1">
      <c r="C6" s="17"/>
      <c r="D6" s="17"/>
      <c r="E6" s="17"/>
      <c r="F6" s="42" t="s">
        <v>187</v>
      </c>
      <c r="G6" s="42"/>
      <c r="H6" s="42"/>
    </row>
    <row r="8" spans="1:8" s="16" customFormat="1" ht="20.25">
      <c r="A8" s="30" t="s">
        <v>6</v>
      </c>
      <c r="B8" s="30"/>
      <c r="C8" s="30"/>
      <c r="D8" s="30"/>
      <c r="E8" s="30"/>
      <c r="F8" s="30"/>
      <c r="G8" s="30"/>
      <c r="H8" s="30"/>
    </row>
    <row r="9" spans="1:8" s="16" customFormat="1" ht="20.25">
      <c r="A9" s="48" t="s">
        <v>52</v>
      </c>
      <c r="B9" s="48"/>
      <c r="C9" s="48"/>
      <c r="D9" s="48"/>
      <c r="E9" s="48"/>
      <c r="F9" s="48"/>
      <c r="G9" s="48"/>
      <c r="H9" s="48"/>
    </row>
    <row r="11" spans="1:8" s="4" customFormat="1" ht="23.25" customHeight="1">
      <c r="A11" s="41" t="s">
        <v>0</v>
      </c>
      <c r="B11" s="41" t="s">
        <v>1</v>
      </c>
      <c r="C11" s="41" t="s">
        <v>2</v>
      </c>
      <c r="D11" s="41" t="s">
        <v>3</v>
      </c>
      <c r="E11" s="41" t="s">
        <v>92</v>
      </c>
      <c r="F11" s="41"/>
      <c r="G11" s="41"/>
      <c r="H11" s="41"/>
    </row>
    <row r="12" spans="1:8" s="4" customFormat="1" ht="23.25" customHeight="1">
      <c r="A12" s="41"/>
      <c r="B12" s="41"/>
      <c r="C12" s="41"/>
      <c r="D12" s="41"/>
      <c r="E12" s="41" t="s">
        <v>4</v>
      </c>
      <c r="F12" s="41" t="s">
        <v>5</v>
      </c>
      <c r="G12" s="41"/>
      <c r="H12" s="41"/>
    </row>
    <row r="13" spans="1:8" s="4" customFormat="1" ht="12.75">
      <c r="A13" s="41"/>
      <c r="B13" s="41"/>
      <c r="C13" s="41"/>
      <c r="D13" s="41"/>
      <c r="E13" s="41"/>
      <c r="F13" s="3">
        <v>2013</v>
      </c>
      <c r="G13" s="3">
        <v>2014</v>
      </c>
      <c r="H13" s="3">
        <v>2015</v>
      </c>
    </row>
    <row r="14" spans="1:8" s="4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</row>
    <row r="15" spans="1:8" s="4" customFormat="1" ht="12.75">
      <c r="A15" s="47" t="s">
        <v>91</v>
      </c>
      <c r="B15" s="27"/>
      <c r="C15" s="27"/>
      <c r="D15" s="27"/>
      <c r="E15" s="27"/>
      <c r="F15" s="27"/>
      <c r="G15" s="27"/>
      <c r="H15" s="28"/>
    </row>
    <row r="16" spans="1:8" s="4" customFormat="1" ht="12.75">
      <c r="A16" s="49" t="s">
        <v>98</v>
      </c>
      <c r="B16" s="6"/>
      <c r="C16" s="38" t="s">
        <v>8</v>
      </c>
      <c r="D16" s="38" t="s">
        <v>9</v>
      </c>
      <c r="E16" s="7">
        <f aca="true" t="shared" si="0" ref="E16:E33">F16+G16+H16</f>
        <v>120386.44900000001</v>
      </c>
      <c r="F16" s="7">
        <f>SUM(F17:F33)</f>
        <v>54498.163</v>
      </c>
      <c r="G16" s="7">
        <f>SUM(G17:G33)</f>
        <v>32250.751</v>
      </c>
      <c r="H16" s="7">
        <f>SUM(H17:H33)</f>
        <v>33637.535</v>
      </c>
    </row>
    <row r="17" spans="1:8" s="4" customFormat="1" ht="25.5">
      <c r="A17" s="50"/>
      <c r="B17" s="19" t="s">
        <v>131</v>
      </c>
      <c r="C17" s="39"/>
      <c r="D17" s="39"/>
      <c r="E17" s="9">
        <f t="shared" si="0"/>
        <v>8319.408</v>
      </c>
      <c r="F17" s="21">
        <f>6743.827-2070.834+73.253</f>
        <v>4746.246</v>
      </c>
      <c r="G17" s="9">
        <v>1748.978</v>
      </c>
      <c r="H17" s="9">
        <v>1824.184</v>
      </c>
    </row>
    <row r="18" spans="1:8" s="4" customFormat="1" ht="25.5">
      <c r="A18" s="50"/>
      <c r="B18" s="19" t="s">
        <v>130</v>
      </c>
      <c r="C18" s="39"/>
      <c r="D18" s="39"/>
      <c r="E18" s="9">
        <f t="shared" si="0"/>
        <v>28111.357</v>
      </c>
      <c r="F18" s="21">
        <f>3795.633-900-300</f>
        <v>2595.633</v>
      </c>
      <c r="G18" s="9">
        <v>12489.341</v>
      </c>
      <c r="H18" s="9">
        <v>13026.383</v>
      </c>
    </row>
    <row r="19" spans="1:8" s="4" customFormat="1" ht="25.5">
      <c r="A19" s="50"/>
      <c r="B19" s="19" t="s">
        <v>132</v>
      </c>
      <c r="C19" s="39"/>
      <c r="D19" s="39"/>
      <c r="E19" s="9">
        <f t="shared" si="0"/>
        <v>6019.093</v>
      </c>
      <c r="F19" s="21">
        <v>3147.166</v>
      </c>
      <c r="G19" s="9">
        <v>1405.74</v>
      </c>
      <c r="H19" s="9">
        <v>1466.187</v>
      </c>
    </row>
    <row r="20" spans="1:8" s="4" customFormat="1" ht="12.75">
      <c r="A20" s="50"/>
      <c r="B20" s="19" t="s">
        <v>133</v>
      </c>
      <c r="C20" s="39"/>
      <c r="D20" s="39"/>
      <c r="E20" s="9">
        <f t="shared" si="0"/>
        <v>397.747</v>
      </c>
      <c r="F20" s="21">
        <v>397.747</v>
      </c>
      <c r="G20" s="9"/>
      <c r="H20" s="9"/>
    </row>
    <row r="21" spans="1:8" s="4" customFormat="1" ht="12.75">
      <c r="A21" s="50"/>
      <c r="B21" s="19" t="s">
        <v>134</v>
      </c>
      <c r="C21" s="39"/>
      <c r="D21" s="39"/>
      <c r="E21" s="9">
        <f t="shared" si="0"/>
        <v>63.328</v>
      </c>
      <c r="F21" s="21">
        <v>63.328</v>
      </c>
      <c r="G21" s="9"/>
      <c r="H21" s="9"/>
    </row>
    <row r="22" spans="1:8" s="4" customFormat="1" ht="38.25">
      <c r="A22" s="50"/>
      <c r="B22" s="19" t="s">
        <v>135</v>
      </c>
      <c r="C22" s="39"/>
      <c r="D22" s="39"/>
      <c r="E22" s="9">
        <f t="shared" si="0"/>
        <v>40028.834</v>
      </c>
      <c r="F22" s="21">
        <f>9989.47+9452.864+35-900</f>
        <v>18577.334</v>
      </c>
      <c r="G22" s="9">
        <v>10500</v>
      </c>
      <c r="H22" s="9">
        <v>10951.5</v>
      </c>
    </row>
    <row r="23" spans="1:8" s="4" customFormat="1" ht="12.75">
      <c r="A23" s="50"/>
      <c r="B23" s="19" t="s">
        <v>136</v>
      </c>
      <c r="C23" s="39"/>
      <c r="D23" s="39"/>
      <c r="E23" s="9">
        <f t="shared" si="0"/>
        <v>1523.7530000000002</v>
      </c>
      <c r="F23" s="21">
        <f>623.753+900</f>
        <v>1523.7530000000002</v>
      </c>
      <c r="G23" s="9"/>
      <c r="H23" s="9"/>
    </row>
    <row r="24" spans="1:8" s="4" customFormat="1" ht="12.75">
      <c r="A24" s="50"/>
      <c r="B24" s="19" t="s">
        <v>137</v>
      </c>
      <c r="C24" s="39"/>
      <c r="D24" s="39"/>
      <c r="E24" s="9">
        <f t="shared" si="0"/>
        <v>2289.616</v>
      </c>
      <c r="F24" s="21">
        <v>1163.627</v>
      </c>
      <c r="G24" s="9">
        <v>551.145</v>
      </c>
      <c r="H24" s="9">
        <v>574.844</v>
      </c>
    </row>
    <row r="25" spans="1:8" s="4" customFormat="1" ht="38.25">
      <c r="A25" s="50"/>
      <c r="B25" s="19" t="s">
        <v>179</v>
      </c>
      <c r="C25" s="39"/>
      <c r="D25" s="39"/>
      <c r="E25" s="9">
        <f t="shared" si="0"/>
        <v>6.93</v>
      </c>
      <c r="F25" s="21">
        <v>6.93</v>
      </c>
      <c r="G25" s="9"/>
      <c r="H25" s="9"/>
    </row>
    <row r="26" spans="1:8" s="4" customFormat="1" ht="38.25">
      <c r="A26" s="50"/>
      <c r="B26" s="19" t="s">
        <v>138</v>
      </c>
      <c r="C26" s="39"/>
      <c r="D26" s="39"/>
      <c r="E26" s="9">
        <f t="shared" si="0"/>
        <v>6680.058</v>
      </c>
      <c r="F26" s="21">
        <f>2502.01-483.781-80.5-467.396-152.155-73.253-35</f>
        <v>1209.9250000000004</v>
      </c>
      <c r="G26" s="9">
        <v>2677.5</v>
      </c>
      <c r="H26" s="9">
        <v>2792.633</v>
      </c>
    </row>
    <row r="27" spans="1:8" s="4" customFormat="1" ht="25.5">
      <c r="A27" s="50"/>
      <c r="B27" s="19" t="s">
        <v>160</v>
      </c>
      <c r="C27" s="39"/>
      <c r="D27" s="39"/>
      <c r="E27" s="9">
        <f t="shared" si="0"/>
        <v>951.177</v>
      </c>
      <c r="F27" s="21">
        <f>483.781+467.396</f>
        <v>951.177</v>
      </c>
      <c r="G27" s="9"/>
      <c r="H27" s="9"/>
    </row>
    <row r="28" spans="1:8" s="4" customFormat="1" ht="12.75">
      <c r="A28" s="50"/>
      <c r="B28" s="19" t="s">
        <v>164</v>
      </c>
      <c r="C28" s="39"/>
      <c r="D28" s="39"/>
      <c r="E28" s="9">
        <f t="shared" si="0"/>
        <v>80.5</v>
      </c>
      <c r="F28" s="21">
        <v>80.5</v>
      </c>
      <c r="G28" s="9"/>
      <c r="H28" s="9"/>
    </row>
    <row r="29" spans="1:8" s="4" customFormat="1" ht="38.25">
      <c r="A29" s="50"/>
      <c r="B29" s="19" t="s">
        <v>139</v>
      </c>
      <c r="C29" s="39"/>
      <c r="D29" s="39"/>
      <c r="E29" s="9">
        <f t="shared" si="0"/>
        <v>912.094</v>
      </c>
      <c r="F29" s="21">
        <v>290</v>
      </c>
      <c r="G29" s="9">
        <v>304.5</v>
      </c>
      <c r="H29" s="9">
        <v>317.594</v>
      </c>
    </row>
    <row r="30" spans="1:8" s="4" customFormat="1" ht="25.5">
      <c r="A30" s="50"/>
      <c r="B30" s="19" t="s">
        <v>140</v>
      </c>
      <c r="C30" s="39"/>
      <c r="D30" s="39"/>
      <c r="E30" s="9">
        <f t="shared" si="0"/>
        <v>7256.196</v>
      </c>
      <c r="F30" s="21">
        <v>1998.439</v>
      </c>
      <c r="G30" s="9">
        <v>2573.547</v>
      </c>
      <c r="H30" s="9">
        <v>2684.21</v>
      </c>
    </row>
    <row r="31" spans="1:8" s="4" customFormat="1" ht="38.25">
      <c r="A31" s="50"/>
      <c r="B31" s="8" t="s">
        <v>141</v>
      </c>
      <c r="C31" s="39"/>
      <c r="D31" s="39"/>
      <c r="E31" s="9">
        <f t="shared" si="0"/>
        <v>342.5</v>
      </c>
      <c r="F31" s="21">
        <f>228+49+20+7.5+38</f>
        <v>342.5</v>
      </c>
      <c r="G31" s="9"/>
      <c r="H31" s="9"/>
    </row>
    <row r="32" spans="1:8" s="4" customFormat="1" ht="38.25">
      <c r="A32" s="50"/>
      <c r="B32" s="19" t="s">
        <v>182</v>
      </c>
      <c r="C32" s="39"/>
      <c r="D32" s="39"/>
      <c r="E32" s="9">
        <f t="shared" si="0"/>
        <v>9994.025</v>
      </c>
      <c r="F32" s="21">
        <v>9994.025</v>
      </c>
      <c r="G32" s="9"/>
      <c r="H32" s="9"/>
    </row>
    <row r="33" spans="1:8" s="4" customFormat="1" ht="38.25">
      <c r="A33" s="51"/>
      <c r="B33" s="19" t="s">
        <v>142</v>
      </c>
      <c r="C33" s="40"/>
      <c r="D33" s="40"/>
      <c r="E33" s="9">
        <f t="shared" si="0"/>
        <v>7409.833</v>
      </c>
      <c r="F33" s="21">
        <f>7409.833</f>
        <v>7409.833</v>
      </c>
      <c r="G33" s="9"/>
      <c r="H33" s="9"/>
    </row>
    <row r="34" spans="1:8" s="4" customFormat="1" ht="12.75">
      <c r="A34" s="47" t="s">
        <v>93</v>
      </c>
      <c r="B34" s="27"/>
      <c r="C34" s="27"/>
      <c r="D34" s="27"/>
      <c r="E34" s="27"/>
      <c r="F34" s="27"/>
      <c r="G34" s="27"/>
      <c r="H34" s="28"/>
    </row>
    <row r="35" spans="1:8" s="4" customFormat="1" ht="12.75">
      <c r="A35" s="33" t="s">
        <v>99</v>
      </c>
      <c r="B35" s="6"/>
      <c r="C35" s="38" t="s">
        <v>8</v>
      </c>
      <c r="D35" s="38" t="s">
        <v>9</v>
      </c>
      <c r="E35" s="7">
        <f aca="true" t="shared" si="1" ref="E35:E51">F35+G35+H35</f>
        <v>12699.487999999998</v>
      </c>
      <c r="F35" s="7">
        <f>SUM(F36:F51)</f>
        <v>11895.495999999997</v>
      </c>
      <c r="G35" s="7">
        <f>SUM(G36:G51)</f>
        <v>393.535</v>
      </c>
      <c r="H35" s="7">
        <f>SUM(H36:H51)</f>
        <v>410.457</v>
      </c>
    </row>
    <row r="36" spans="1:8" s="4" customFormat="1" ht="51">
      <c r="A36" s="29"/>
      <c r="B36" s="8" t="s">
        <v>143</v>
      </c>
      <c r="C36" s="39"/>
      <c r="D36" s="39"/>
      <c r="E36" s="9">
        <f t="shared" si="1"/>
        <v>4000</v>
      </c>
      <c r="F36" s="9">
        <v>4000</v>
      </c>
      <c r="G36" s="9"/>
      <c r="H36" s="9"/>
    </row>
    <row r="37" spans="1:8" s="4" customFormat="1" ht="89.25">
      <c r="A37" s="29"/>
      <c r="B37" s="8" t="s">
        <v>144</v>
      </c>
      <c r="C37" s="39"/>
      <c r="D37" s="39"/>
      <c r="E37" s="9">
        <f t="shared" si="1"/>
        <v>1149.24</v>
      </c>
      <c r="F37" s="9">
        <v>345.248</v>
      </c>
      <c r="G37" s="9">
        <v>393.535</v>
      </c>
      <c r="H37" s="9">
        <v>410.457</v>
      </c>
    </row>
    <row r="38" spans="1:8" s="4" customFormat="1" ht="38.25">
      <c r="A38" s="29"/>
      <c r="B38" s="8" t="s">
        <v>181</v>
      </c>
      <c r="C38" s="39"/>
      <c r="D38" s="39"/>
      <c r="E38" s="9">
        <f t="shared" si="1"/>
        <v>29.547</v>
      </c>
      <c r="F38" s="9">
        <v>29.547</v>
      </c>
      <c r="G38" s="9"/>
      <c r="H38" s="9"/>
    </row>
    <row r="39" spans="1:8" s="4" customFormat="1" ht="25.5">
      <c r="A39" s="29"/>
      <c r="B39" s="8" t="s">
        <v>195</v>
      </c>
      <c r="C39" s="39"/>
      <c r="D39" s="39"/>
      <c r="E39" s="9">
        <f t="shared" si="1"/>
        <v>99</v>
      </c>
      <c r="F39" s="9">
        <v>99</v>
      </c>
      <c r="G39" s="9"/>
      <c r="H39" s="9"/>
    </row>
    <row r="40" spans="1:8" s="4" customFormat="1" ht="38.25">
      <c r="A40" s="29"/>
      <c r="B40" s="8" t="s">
        <v>145</v>
      </c>
      <c r="C40" s="39"/>
      <c r="D40" s="39"/>
      <c r="E40" s="9">
        <f t="shared" si="1"/>
        <v>1700</v>
      </c>
      <c r="F40" s="9">
        <v>1700</v>
      </c>
      <c r="G40" s="9"/>
      <c r="H40" s="9"/>
    </row>
    <row r="41" spans="1:8" s="4" customFormat="1" ht="38.25">
      <c r="A41" s="29"/>
      <c r="B41" s="8" t="s">
        <v>180</v>
      </c>
      <c r="C41" s="39"/>
      <c r="D41" s="39"/>
      <c r="E41" s="9">
        <f t="shared" si="1"/>
        <v>36.188</v>
      </c>
      <c r="F41" s="9">
        <v>36.188</v>
      </c>
      <c r="G41" s="9"/>
      <c r="H41" s="9"/>
    </row>
    <row r="42" spans="1:8" s="4" customFormat="1" ht="38.25">
      <c r="A42" s="29"/>
      <c r="B42" s="8" t="s">
        <v>186</v>
      </c>
      <c r="C42" s="39"/>
      <c r="D42" s="39"/>
      <c r="E42" s="9">
        <f t="shared" si="1"/>
        <v>992.329</v>
      </c>
      <c r="F42" s="9">
        <f>500+492.329</f>
        <v>992.329</v>
      </c>
      <c r="G42" s="9"/>
      <c r="H42" s="9"/>
    </row>
    <row r="43" spans="1:8" s="4" customFormat="1" ht="63.75">
      <c r="A43" s="29"/>
      <c r="B43" s="8" t="s">
        <v>146</v>
      </c>
      <c r="C43" s="39"/>
      <c r="D43" s="39"/>
      <c r="E43" s="9">
        <f t="shared" si="1"/>
        <v>288.5</v>
      </c>
      <c r="F43" s="9">
        <f>164.9+79.5+8+36.1</f>
        <v>288.5</v>
      </c>
      <c r="G43" s="9"/>
      <c r="H43" s="9"/>
    </row>
    <row r="44" spans="1:8" s="4" customFormat="1" ht="63.75">
      <c r="A44" s="29"/>
      <c r="B44" s="8" t="s">
        <v>147</v>
      </c>
      <c r="C44" s="39"/>
      <c r="D44" s="39"/>
      <c r="E44" s="9">
        <f t="shared" si="1"/>
        <v>727.521</v>
      </c>
      <c r="F44" s="9">
        <v>727.521</v>
      </c>
      <c r="G44" s="9"/>
      <c r="H44" s="9"/>
    </row>
    <row r="45" spans="1:8" s="4" customFormat="1" ht="63.75">
      <c r="A45" s="29"/>
      <c r="B45" s="8" t="s">
        <v>148</v>
      </c>
      <c r="C45" s="39"/>
      <c r="D45" s="39"/>
      <c r="E45" s="9">
        <f t="shared" si="1"/>
        <v>922.684</v>
      </c>
      <c r="F45" s="9">
        <v>922.684</v>
      </c>
      <c r="G45" s="9"/>
      <c r="H45" s="9"/>
    </row>
    <row r="46" spans="1:8" s="4" customFormat="1" ht="102">
      <c r="A46" s="29"/>
      <c r="B46" s="19" t="s">
        <v>149</v>
      </c>
      <c r="C46" s="39"/>
      <c r="D46" s="39"/>
      <c r="E46" s="9">
        <f t="shared" si="1"/>
        <v>79.165</v>
      </c>
      <c r="F46" s="21">
        <v>79.165</v>
      </c>
      <c r="G46" s="9"/>
      <c r="H46" s="9"/>
    </row>
    <row r="47" spans="1:8" s="4" customFormat="1" ht="102">
      <c r="A47" s="29"/>
      <c r="B47" s="19" t="s">
        <v>150</v>
      </c>
      <c r="C47" s="39"/>
      <c r="D47" s="39"/>
      <c r="E47" s="9">
        <f t="shared" si="1"/>
        <v>1701.739</v>
      </c>
      <c r="F47" s="21">
        <v>1701.739</v>
      </c>
      <c r="G47" s="9"/>
      <c r="H47" s="9"/>
    </row>
    <row r="48" spans="1:8" s="4" customFormat="1" ht="114.75">
      <c r="A48" s="29"/>
      <c r="B48" s="8" t="s">
        <v>161</v>
      </c>
      <c r="C48" s="39"/>
      <c r="D48" s="39"/>
      <c r="E48" s="9">
        <f t="shared" si="1"/>
        <v>915.401</v>
      </c>
      <c r="F48" s="21">
        <v>915.401</v>
      </c>
      <c r="G48" s="9"/>
      <c r="H48" s="9"/>
    </row>
    <row r="49" spans="1:8" s="4" customFormat="1" ht="51">
      <c r="A49" s="29"/>
      <c r="B49" s="8" t="s">
        <v>162</v>
      </c>
      <c r="C49" s="39"/>
      <c r="D49" s="39"/>
      <c r="E49" s="9">
        <f t="shared" si="1"/>
        <v>35.782</v>
      </c>
      <c r="F49" s="21">
        <v>35.782</v>
      </c>
      <c r="G49" s="9"/>
      <c r="H49" s="9"/>
    </row>
    <row r="50" spans="1:8" s="4" customFormat="1" ht="63.75">
      <c r="A50" s="29"/>
      <c r="B50" s="8" t="s">
        <v>163</v>
      </c>
      <c r="C50" s="39"/>
      <c r="D50" s="39"/>
      <c r="E50" s="9">
        <f t="shared" si="1"/>
        <v>8.76</v>
      </c>
      <c r="F50" s="21">
        <v>8.76</v>
      </c>
      <c r="G50" s="9"/>
      <c r="H50" s="9"/>
    </row>
    <row r="51" spans="1:8" s="4" customFormat="1" ht="63.75">
      <c r="A51" s="34"/>
      <c r="B51" s="8" t="s">
        <v>151</v>
      </c>
      <c r="C51" s="40"/>
      <c r="D51" s="40"/>
      <c r="E51" s="9">
        <f t="shared" si="1"/>
        <v>13.632</v>
      </c>
      <c r="F51" s="9">
        <v>13.632</v>
      </c>
      <c r="G51" s="9"/>
      <c r="H51" s="9"/>
    </row>
    <row r="52" spans="1:8" s="4" customFormat="1" ht="12.75">
      <c r="A52" s="47" t="s">
        <v>94</v>
      </c>
      <c r="B52" s="27"/>
      <c r="C52" s="27"/>
      <c r="D52" s="27"/>
      <c r="E52" s="27"/>
      <c r="F52" s="27"/>
      <c r="G52" s="27"/>
      <c r="H52" s="28"/>
    </row>
    <row r="53" spans="1:8" s="4" customFormat="1" ht="12.75" customHeight="1">
      <c r="A53" s="35" t="s">
        <v>100</v>
      </c>
      <c r="B53" s="6"/>
      <c r="C53" s="38" t="s">
        <v>8</v>
      </c>
      <c r="D53" s="38" t="s">
        <v>9</v>
      </c>
      <c r="E53" s="7">
        <f aca="true" t="shared" si="2" ref="E53:E65">F53+G53+H53</f>
        <v>174118.212</v>
      </c>
      <c r="F53" s="7">
        <f>SUM(F54:F65)</f>
        <v>50131.12</v>
      </c>
      <c r="G53" s="7">
        <f>SUM(G54:G64)</f>
        <v>102113.518</v>
      </c>
      <c r="H53" s="7">
        <f>SUM(H54:H64)</f>
        <v>21873.574</v>
      </c>
    </row>
    <row r="54" spans="1:8" s="4" customFormat="1" ht="25.5" customHeight="1">
      <c r="A54" s="36"/>
      <c r="B54" s="8" t="s">
        <v>152</v>
      </c>
      <c r="C54" s="39"/>
      <c r="D54" s="39"/>
      <c r="E54" s="9">
        <f t="shared" si="2"/>
        <v>15700.981</v>
      </c>
      <c r="F54" s="9">
        <v>13671.348</v>
      </c>
      <c r="G54" s="9">
        <v>2029.633</v>
      </c>
      <c r="H54" s="9"/>
    </row>
    <row r="55" spans="1:8" s="4" customFormat="1" ht="25.5">
      <c r="A55" s="36"/>
      <c r="B55" s="8" t="s">
        <v>153</v>
      </c>
      <c r="C55" s="39"/>
      <c r="D55" s="39"/>
      <c r="E55" s="9">
        <f t="shared" si="2"/>
        <v>128195.62699999998</v>
      </c>
      <c r="F55" s="9">
        <v>15815.017</v>
      </c>
      <c r="G55" s="9">
        <v>90507.036</v>
      </c>
      <c r="H55" s="9">
        <v>21873.574</v>
      </c>
    </row>
    <row r="56" spans="1:8" s="4" customFormat="1" ht="51">
      <c r="A56" s="36"/>
      <c r="B56" s="8" t="s">
        <v>174</v>
      </c>
      <c r="C56" s="39"/>
      <c r="D56" s="39"/>
      <c r="E56" s="9">
        <f t="shared" si="2"/>
        <v>25</v>
      </c>
      <c r="F56" s="9">
        <v>25</v>
      </c>
      <c r="G56" s="9"/>
      <c r="H56" s="9"/>
    </row>
    <row r="57" spans="1:8" s="4" customFormat="1" ht="38.25">
      <c r="A57" s="36"/>
      <c r="B57" s="8" t="s">
        <v>154</v>
      </c>
      <c r="C57" s="39"/>
      <c r="D57" s="39"/>
      <c r="E57" s="9">
        <f t="shared" si="2"/>
        <v>2156.121</v>
      </c>
      <c r="F57" s="9">
        <v>2156.121</v>
      </c>
      <c r="G57" s="9"/>
      <c r="H57" s="9"/>
    </row>
    <row r="58" spans="1:8" s="4" customFormat="1" ht="38.25">
      <c r="A58" s="36"/>
      <c r="B58" s="8" t="s">
        <v>158</v>
      </c>
      <c r="C58" s="39"/>
      <c r="D58" s="39"/>
      <c r="E58" s="9">
        <f t="shared" si="2"/>
        <v>8463.907</v>
      </c>
      <c r="F58" s="9">
        <f>6506.62+94.5+1532.52+250.267+80</f>
        <v>8463.907</v>
      </c>
      <c r="G58" s="9"/>
      <c r="H58" s="9"/>
    </row>
    <row r="59" spans="1:8" s="4" customFormat="1" ht="51">
      <c r="A59" s="36"/>
      <c r="B59" s="8" t="s">
        <v>159</v>
      </c>
      <c r="C59" s="40"/>
      <c r="D59" s="40"/>
      <c r="E59" s="9">
        <f t="shared" si="2"/>
        <v>5132.898</v>
      </c>
      <c r="F59" s="9">
        <f>5134.878-1.98</f>
        <v>5132.898</v>
      </c>
      <c r="G59" s="9"/>
      <c r="H59" s="9"/>
    </row>
    <row r="60" spans="1:8" s="4" customFormat="1" ht="38.25">
      <c r="A60" s="36"/>
      <c r="B60" s="8" t="s">
        <v>155</v>
      </c>
      <c r="C60" s="43" t="s">
        <v>95</v>
      </c>
      <c r="D60" s="43" t="s">
        <v>9</v>
      </c>
      <c r="E60" s="9">
        <f t="shared" si="2"/>
        <v>11279.927</v>
      </c>
      <c r="F60" s="9">
        <f>3736.132+66.946-2100</f>
        <v>1703.078</v>
      </c>
      <c r="G60" s="9">
        <v>9576.849</v>
      </c>
      <c r="H60" s="9"/>
    </row>
    <row r="61" spans="1:8" s="4" customFormat="1" ht="38.25">
      <c r="A61" s="36"/>
      <c r="B61" s="8" t="s">
        <v>154</v>
      </c>
      <c r="C61" s="44"/>
      <c r="D61" s="44"/>
      <c r="E61" s="9">
        <f t="shared" si="2"/>
        <v>1077.16</v>
      </c>
      <c r="F61" s="9">
        <v>1077.16</v>
      </c>
      <c r="G61" s="9"/>
      <c r="H61" s="9"/>
    </row>
    <row r="62" spans="1:8" s="4" customFormat="1" ht="25.5">
      <c r="A62" s="36"/>
      <c r="B62" s="8" t="s">
        <v>156</v>
      </c>
      <c r="C62" s="43" t="s">
        <v>96</v>
      </c>
      <c r="D62" s="43" t="s">
        <v>9</v>
      </c>
      <c r="E62" s="9">
        <f t="shared" si="2"/>
        <v>942.659</v>
      </c>
      <c r="F62" s="9">
        <f>997.536-1.536-53.341</f>
        <v>942.659</v>
      </c>
      <c r="G62" s="9"/>
      <c r="H62" s="9"/>
    </row>
    <row r="63" spans="1:8" s="4" customFormat="1" ht="25.5">
      <c r="A63" s="36"/>
      <c r="B63" s="8" t="s">
        <v>157</v>
      </c>
      <c r="C63" s="44"/>
      <c r="D63" s="44"/>
      <c r="E63" s="9">
        <f t="shared" si="2"/>
        <v>4.228</v>
      </c>
      <c r="F63" s="9">
        <f>2.692+1.536</f>
        <v>4.228</v>
      </c>
      <c r="G63" s="9"/>
      <c r="H63" s="9"/>
    </row>
    <row r="64" spans="1:8" s="4" customFormat="1" ht="25.5">
      <c r="A64" s="36"/>
      <c r="B64" s="8" t="s">
        <v>156</v>
      </c>
      <c r="C64" s="43" t="s">
        <v>97</v>
      </c>
      <c r="D64" s="43" t="s">
        <v>9</v>
      </c>
      <c r="E64" s="9">
        <f t="shared" si="2"/>
        <v>1117.97</v>
      </c>
      <c r="F64" s="9">
        <f>1123.839-5.869</f>
        <v>1117.97</v>
      </c>
      <c r="G64" s="9"/>
      <c r="H64" s="9"/>
    </row>
    <row r="65" spans="1:8" s="4" customFormat="1" ht="25.5">
      <c r="A65" s="37"/>
      <c r="B65" s="8" t="s">
        <v>157</v>
      </c>
      <c r="C65" s="44"/>
      <c r="D65" s="44"/>
      <c r="E65" s="9">
        <f t="shared" si="2"/>
        <v>21.734</v>
      </c>
      <c r="F65" s="9">
        <v>21.734</v>
      </c>
      <c r="G65" s="9"/>
      <c r="H65" s="9"/>
    </row>
    <row r="66" spans="1:8" s="4" customFormat="1" ht="12.75">
      <c r="A66" s="47" t="s">
        <v>191</v>
      </c>
      <c r="B66" s="27"/>
      <c r="C66" s="27"/>
      <c r="D66" s="27"/>
      <c r="E66" s="27"/>
      <c r="F66" s="27"/>
      <c r="G66" s="27"/>
      <c r="H66" s="28"/>
    </row>
    <row r="67" spans="1:8" s="4" customFormat="1" ht="12.75" customHeight="1">
      <c r="A67" s="52" t="s">
        <v>183</v>
      </c>
      <c r="B67" s="22"/>
      <c r="C67" s="43" t="s">
        <v>188</v>
      </c>
      <c r="D67" s="43" t="s">
        <v>9</v>
      </c>
      <c r="E67" s="7">
        <f>F67+G67+H67</f>
        <v>620.407</v>
      </c>
      <c r="F67" s="7">
        <f>SUM(F68:F68)</f>
        <v>620.407</v>
      </c>
      <c r="G67" s="7">
        <f>SUM(G68:G68)</f>
        <v>0</v>
      </c>
      <c r="H67" s="7">
        <f>SUM(H68:H68)</f>
        <v>0</v>
      </c>
    </row>
    <row r="68" spans="1:8" s="4" customFormat="1" ht="63.75">
      <c r="A68" s="53"/>
      <c r="B68" s="22" t="s">
        <v>189</v>
      </c>
      <c r="C68" s="55"/>
      <c r="D68" s="55"/>
      <c r="E68" s="9">
        <f>F68+G68+H68</f>
        <v>620.407</v>
      </c>
      <c r="F68" s="9">
        <v>620.407</v>
      </c>
      <c r="G68" s="9"/>
      <c r="H68" s="9"/>
    </row>
    <row r="69" spans="1:8" s="18" customFormat="1" ht="178.5">
      <c r="A69" s="54"/>
      <c r="B69" s="12" t="s">
        <v>190</v>
      </c>
      <c r="C69" s="44"/>
      <c r="D69" s="44"/>
      <c r="E69" s="13">
        <f>F69+G69+H69</f>
        <v>620.407</v>
      </c>
      <c r="F69" s="13">
        <v>620.407</v>
      </c>
      <c r="G69" s="13"/>
      <c r="H69" s="13"/>
    </row>
    <row r="70" spans="1:8" s="4" customFormat="1" ht="12.75">
      <c r="A70" s="47" t="s">
        <v>175</v>
      </c>
      <c r="B70" s="27"/>
      <c r="C70" s="27"/>
      <c r="D70" s="27"/>
      <c r="E70" s="27"/>
      <c r="F70" s="27"/>
      <c r="G70" s="27"/>
      <c r="H70" s="28"/>
    </row>
    <row r="71" spans="1:8" s="4" customFormat="1" ht="12.75">
      <c r="A71" s="35" t="s">
        <v>176</v>
      </c>
      <c r="B71" s="8"/>
      <c r="C71" s="43" t="s">
        <v>8</v>
      </c>
      <c r="D71" s="43" t="s">
        <v>9</v>
      </c>
      <c r="E71" s="7">
        <f>F71+G71+H71</f>
        <v>1292.78</v>
      </c>
      <c r="F71" s="7">
        <f>SUM(F72:F72)</f>
        <v>1292.78</v>
      </c>
      <c r="G71" s="7">
        <f>SUM(G72:G72)</f>
        <v>0</v>
      </c>
      <c r="H71" s="7">
        <f>SUM(H72:H72)</f>
        <v>0</v>
      </c>
    </row>
    <row r="72" spans="1:8" s="4" customFormat="1" ht="38.25">
      <c r="A72" s="37"/>
      <c r="B72" s="8" t="s">
        <v>177</v>
      </c>
      <c r="C72" s="44"/>
      <c r="D72" s="44"/>
      <c r="E72" s="9">
        <f>F72+G72+H72</f>
        <v>1292.78</v>
      </c>
      <c r="F72" s="9">
        <v>1292.78</v>
      </c>
      <c r="G72" s="9"/>
      <c r="H72" s="9"/>
    </row>
    <row r="73" spans="1:8" s="2" customFormat="1" ht="12.75">
      <c r="A73" s="45" t="s">
        <v>107</v>
      </c>
      <c r="B73" s="45"/>
      <c r="C73" s="45"/>
      <c r="D73" s="45"/>
      <c r="E73" s="45"/>
      <c r="F73" s="45"/>
      <c r="G73" s="45"/>
      <c r="H73" s="45"/>
    </row>
    <row r="74" spans="1:8" s="2" customFormat="1" ht="12.75">
      <c r="A74" s="32" t="s">
        <v>62</v>
      </c>
      <c r="B74" s="6"/>
      <c r="C74" s="31" t="s">
        <v>8</v>
      </c>
      <c r="D74" s="31" t="s">
        <v>9</v>
      </c>
      <c r="E74" s="7">
        <f aca="true" t="shared" si="3" ref="E74:E97">F74+G74+H74</f>
        <v>156088.495</v>
      </c>
      <c r="F74" s="7">
        <f>SUM(F75:F85)-F76-F77</f>
        <v>47873.278999999995</v>
      </c>
      <c r="G74" s="7">
        <f>SUM(G75:G85)-G76</f>
        <v>52968.779</v>
      </c>
      <c r="H74" s="7">
        <f>SUM(H75:H85)-H76</f>
        <v>55246.43699999999</v>
      </c>
    </row>
    <row r="75" spans="1:8" ht="12.75" customHeight="1">
      <c r="A75" s="32"/>
      <c r="B75" s="8" t="s">
        <v>57</v>
      </c>
      <c r="C75" s="31"/>
      <c r="D75" s="31"/>
      <c r="E75" s="9">
        <f t="shared" si="3"/>
        <v>101105.88699999999</v>
      </c>
      <c r="F75" s="9">
        <f>30000.036+3000-3100-1700+2115.823</f>
        <v>30315.859</v>
      </c>
      <c r="G75" s="9">
        <v>34650.038</v>
      </c>
      <c r="H75" s="9">
        <v>36139.99</v>
      </c>
    </row>
    <row r="76" spans="1:8" s="14" customFormat="1" ht="42.75" customHeight="1">
      <c r="A76" s="32"/>
      <c r="B76" s="12" t="s">
        <v>104</v>
      </c>
      <c r="C76" s="31"/>
      <c r="D76" s="31"/>
      <c r="E76" s="13">
        <f t="shared" si="3"/>
        <v>9435.45</v>
      </c>
      <c r="F76" s="13">
        <v>3000</v>
      </c>
      <c r="G76" s="13">
        <v>3150</v>
      </c>
      <c r="H76" s="13">
        <v>3285.45</v>
      </c>
    </row>
    <row r="77" spans="1:8" s="14" customFormat="1" ht="102">
      <c r="A77" s="32"/>
      <c r="B77" s="12" t="s">
        <v>117</v>
      </c>
      <c r="C77" s="31"/>
      <c r="D77" s="31"/>
      <c r="E77" s="13">
        <f t="shared" si="3"/>
        <v>2115.823</v>
      </c>
      <c r="F77" s="13">
        <v>2115.823</v>
      </c>
      <c r="G77" s="13"/>
      <c r="H77" s="13"/>
    </row>
    <row r="78" spans="1:8" ht="25.5">
      <c r="A78" s="32"/>
      <c r="B78" s="10" t="s">
        <v>58</v>
      </c>
      <c r="C78" s="31"/>
      <c r="D78" s="31"/>
      <c r="E78" s="9">
        <f t="shared" si="3"/>
        <v>29249.895</v>
      </c>
      <c r="F78" s="9">
        <v>9300</v>
      </c>
      <c r="G78" s="9">
        <v>9765</v>
      </c>
      <c r="H78" s="9">
        <v>10184.895</v>
      </c>
    </row>
    <row r="79" spans="1:8" ht="12.75">
      <c r="A79" s="32"/>
      <c r="B79" s="10" t="s">
        <v>59</v>
      </c>
      <c r="C79" s="31"/>
      <c r="D79" s="31"/>
      <c r="E79" s="9">
        <f t="shared" si="3"/>
        <v>3302.408</v>
      </c>
      <c r="F79" s="9">
        <v>1050</v>
      </c>
      <c r="G79" s="9">
        <v>1102.5</v>
      </c>
      <c r="H79" s="9">
        <v>1149.908</v>
      </c>
    </row>
    <row r="80" spans="1:8" ht="25.5">
      <c r="A80" s="32"/>
      <c r="B80" s="10" t="s">
        <v>14</v>
      </c>
      <c r="C80" s="31"/>
      <c r="D80" s="31"/>
      <c r="E80" s="9">
        <f t="shared" si="3"/>
        <v>12580.6</v>
      </c>
      <c r="F80" s="9">
        <v>4000</v>
      </c>
      <c r="G80" s="9">
        <v>4200</v>
      </c>
      <c r="H80" s="9">
        <v>4380.6</v>
      </c>
    </row>
    <row r="81" spans="1:8" ht="25.5">
      <c r="A81" s="32"/>
      <c r="B81" s="10" t="s">
        <v>129</v>
      </c>
      <c r="C81" s="31"/>
      <c r="D81" s="31"/>
      <c r="E81" s="9">
        <f t="shared" si="3"/>
        <v>99</v>
      </c>
      <c r="F81" s="9">
        <v>99</v>
      </c>
      <c r="G81" s="9"/>
      <c r="H81" s="9"/>
    </row>
    <row r="82" spans="1:8" ht="12.75">
      <c r="A82" s="32"/>
      <c r="B82" s="10" t="s">
        <v>60</v>
      </c>
      <c r="C82" s="31"/>
      <c r="D82" s="31"/>
      <c r="E82" s="9">
        <f t="shared" si="3"/>
        <v>1390.971</v>
      </c>
      <c r="F82" s="9">
        <f>407.5+34.759</f>
        <v>442.259</v>
      </c>
      <c r="G82" s="9">
        <v>464.372</v>
      </c>
      <c r="H82" s="9">
        <v>484.34</v>
      </c>
    </row>
    <row r="83" spans="1:8" ht="12.75">
      <c r="A83" s="32"/>
      <c r="B83" s="10" t="s">
        <v>15</v>
      </c>
      <c r="C83" s="31"/>
      <c r="D83" s="31"/>
      <c r="E83" s="9">
        <f t="shared" si="3"/>
        <v>1572.575</v>
      </c>
      <c r="F83" s="9">
        <v>500</v>
      </c>
      <c r="G83" s="9">
        <v>525</v>
      </c>
      <c r="H83" s="9">
        <v>547.575</v>
      </c>
    </row>
    <row r="84" spans="1:8" ht="38.25">
      <c r="A84" s="32"/>
      <c r="B84" s="10" t="s">
        <v>61</v>
      </c>
      <c r="C84" s="31"/>
      <c r="D84" s="31"/>
      <c r="E84" s="9">
        <f t="shared" si="3"/>
        <v>496.859</v>
      </c>
      <c r="F84" s="9">
        <f>92.401-50+61.76+13+49</f>
        <v>166.161</v>
      </c>
      <c r="G84" s="9">
        <v>161.869</v>
      </c>
      <c r="H84" s="9">
        <v>168.829</v>
      </c>
    </row>
    <row r="85" spans="1:8" ht="25.5">
      <c r="A85" s="32"/>
      <c r="B85" s="10" t="s">
        <v>77</v>
      </c>
      <c r="C85" s="31"/>
      <c r="D85" s="31"/>
      <c r="E85" s="9">
        <f t="shared" si="3"/>
        <v>6290.3</v>
      </c>
      <c r="F85" s="9">
        <v>2000</v>
      </c>
      <c r="G85" s="9">
        <v>2100</v>
      </c>
      <c r="H85" s="9">
        <v>2190.3</v>
      </c>
    </row>
    <row r="86" spans="1:8" ht="12.75" customHeight="1">
      <c r="A86" s="35" t="s">
        <v>63</v>
      </c>
      <c r="B86" s="10"/>
      <c r="C86" s="38" t="s">
        <v>8</v>
      </c>
      <c r="D86" s="38" t="s">
        <v>9</v>
      </c>
      <c r="E86" s="7">
        <f t="shared" si="3"/>
        <v>26230.901</v>
      </c>
      <c r="F86" s="7">
        <f>SUM(F87:F92)</f>
        <v>8187.880000000001</v>
      </c>
      <c r="G86" s="7">
        <f>SUM(G87:G92)</f>
        <v>8831.630000000001</v>
      </c>
      <c r="H86" s="7">
        <f>SUM(H87:H92)</f>
        <v>9211.391</v>
      </c>
    </row>
    <row r="87" spans="1:8" ht="63.75">
      <c r="A87" s="36"/>
      <c r="B87" s="10" t="s">
        <v>194</v>
      </c>
      <c r="C87" s="39"/>
      <c r="D87" s="39"/>
      <c r="E87" s="9">
        <f t="shared" si="3"/>
        <v>20443.475</v>
      </c>
      <c r="F87" s="9">
        <f>6500</f>
        <v>6500</v>
      </c>
      <c r="G87" s="9">
        <v>6825</v>
      </c>
      <c r="H87" s="9">
        <v>7118.475</v>
      </c>
    </row>
    <row r="88" spans="1:8" ht="25.5">
      <c r="A88" s="36"/>
      <c r="B88" s="8" t="s">
        <v>13</v>
      </c>
      <c r="C88" s="39"/>
      <c r="D88" s="39"/>
      <c r="E88" s="9">
        <f t="shared" si="3"/>
        <v>2679.407</v>
      </c>
      <c r="F88" s="9">
        <v>851.917</v>
      </c>
      <c r="G88" s="9">
        <v>894.513</v>
      </c>
      <c r="H88" s="9">
        <v>932.977</v>
      </c>
    </row>
    <row r="89" spans="1:8" ht="12.75">
      <c r="A89" s="36"/>
      <c r="B89" s="10" t="s">
        <v>64</v>
      </c>
      <c r="C89" s="39"/>
      <c r="D89" s="39"/>
      <c r="E89" s="9">
        <f t="shared" si="3"/>
        <v>194.90300000000002</v>
      </c>
      <c r="F89" s="9">
        <f>24.07+7.27</f>
        <v>31.34</v>
      </c>
      <c r="G89" s="9">
        <v>80.06</v>
      </c>
      <c r="H89" s="9">
        <v>83.503</v>
      </c>
    </row>
    <row r="90" spans="1:8" ht="12.75">
      <c r="A90" s="36"/>
      <c r="B90" s="10" t="s">
        <v>65</v>
      </c>
      <c r="C90" s="39"/>
      <c r="D90" s="39"/>
      <c r="E90" s="9">
        <f t="shared" si="3"/>
        <v>98.612</v>
      </c>
      <c r="F90" s="9">
        <v>77.71</v>
      </c>
      <c r="G90" s="9">
        <v>10.231</v>
      </c>
      <c r="H90" s="9">
        <v>10.671</v>
      </c>
    </row>
    <row r="91" spans="1:8" ht="12.75">
      <c r="A91" s="36"/>
      <c r="B91" s="10" t="s">
        <v>66</v>
      </c>
      <c r="C91" s="39"/>
      <c r="D91" s="39"/>
      <c r="E91" s="9">
        <f t="shared" si="3"/>
        <v>2801.9310000000005</v>
      </c>
      <c r="F91" s="9">
        <f>857.34-143</f>
        <v>714.34</v>
      </c>
      <c r="G91" s="9">
        <v>1021.826</v>
      </c>
      <c r="H91" s="9">
        <v>1065.765</v>
      </c>
    </row>
    <row r="92" spans="1:8" ht="25.5">
      <c r="A92" s="37"/>
      <c r="B92" s="8" t="s">
        <v>106</v>
      </c>
      <c r="C92" s="40"/>
      <c r="D92" s="40"/>
      <c r="E92" s="9">
        <f>F92+G92+H92</f>
        <v>12.573</v>
      </c>
      <c r="F92" s="9">
        <v>12.573</v>
      </c>
      <c r="G92" s="13"/>
      <c r="H92" s="13"/>
    </row>
    <row r="93" spans="1:8" ht="12.75">
      <c r="A93" s="32" t="s">
        <v>67</v>
      </c>
      <c r="B93" s="10"/>
      <c r="C93" s="31" t="s">
        <v>8</v>
      </c>
      <c r="D93" s="38" t="s">
        <v>9</v>
      </c>
      <c r="E93" s="7">
        <f t="shared" si="3"/>
        <v>339.259</v>
      </c>
      <c r="F93" s="7">
        <f>SUM(F94:F97)</f>
        <v>99</v>
      </c>
      <c r="G93" s="7">
        <f>SUM(G94:G97)</f>
        <v>117.601</v>
      </c>
      <c r="H93" s="7">
        <f>SUM(H94:H97)</f>
        <v>122.658</v>
      </c>
    </row>
    <row r="94" spans="1:8" ht="25.5">
      <c r="A94" s="32"/>
      <c r="B94" s="10" t="s">
        <v>68</v>
      </c>
      <c r="C94" s="31"/>
      <c r="D94" s="39"/>
      <c r="E94" s="9">
        <f t="shared" si="3"/>
        <v>19.284</v>
      </c>
      <c r="F94" s="9">
        <v>6.131</v>
      </c>
      <c r="G94" s="9">
        <v>6.438</v>
      </c>
      <c r="H94" s="9">
        <v>6.715</v>
      </c>
    </row>
    <row r="95" spans="1:8" ht="25.5">
      <c r="A95" s="32"/>
      <c r="B95" s="10" t="s">
        <v>69</v>
      </c>
      <c r="C95" s="31"/>
      <c r="D95" s="39"/>
      <c r="E95" s="9">
        <f t="shared" si="3"/>
        <v>70.92699999999999</v>
      </c>
      <c r="F95" s="9">
        <v>22.551</v>
      </c>
      <c r="G95" s="9">
        <v>23.679</v>
      </c>
      <c r="H95" s="9">
        <v>24.697</v>
      </c>
    </row>
    <row r="96" spans="1:8" ht="25.5">
      <c r="A96" s="32"/>
      <c r="B96" s="10" t="s">
        <v>70</v>
      </c>
      <c r="C96" s="31"/>
      <c r="D96" s="39"/>
      <c r="E96" s="9">
        <f t="shared" si="3"/>
        <v>216.168</v>
      </c>
      <c r="F96" s="9">
        <v>59.864</v>
      </c>
      <c r="G96" s="9">
        <v>76.507</v>
      </c>
      <c r="H96" s="9">
        <v>79.797</v>
      </c>
    </row>
    <row r="97" spans="1:8" ht="38.25">
      <c r="A97" s="32"/>
      <c r="B97" s="10" t="s">
        <v>71</v>
      </c>
      <c r="C97" s="31"/>
      <c r="D97" s="40"/>
      <c r="E97" s="9">
        <f t="shared" si="3"/>
        <v>32.88</v>
      </c>
      <c r="F97" s="9">
        <v>10.454</v>
      </c>
      <c r="G97" s="9">
        <v>10.977</v>
      </c>
      <c r="H97" s="9">
        <v>11.449</v>
      </c>
    </row>
    <row r="98" spans="1:8" ht="12.75" customHeight="1">
      <c r="A98" s="35" t="s">
        <v>72</v>
      </c>
      <c r="B98" s="10"/>
      <c r="C98" s="38" t="s">
        <v>8</v>
      </c>
      <c r="D98" s="38" t="s">
        <v>9</v>
      </c>
      <c r="E98" s="7">
        <f aca="true" t="shared" si="4" ref="E98:E113">F98+G98+H98</f>
        <v>121020.68399999998</v>
      </c>
      <c r="F98" s="7">
        <f>SUM(F99:F115)-F100-F101-F105-F115</f>
        <v>40743.837999999996</v>
      </c>
      <c r="G98" s="7">
        <f>SUM(G99:G115)-G100-G101-G105-G115</f>
        <v>39293.60999999999</v>
      </c>
      <c r="H98" s="7">
        <f>SUM(H99:H115)-H100-H101-H105-H115</f>
        <v>40983.23599999999</v>
      </c>
    </row>
    <row r="99" spans="1:8" ht="25.5">
      <c r="A99" s="36"/>
      <c r="B99" s="10" t="s">
        <v>11</v>
      </c>
      <c r="C99" s="39"/>
      <c r="D99" s="39"/>
      <c r="E99" s="9">
        <f t="shared" si="4"/>
        <v>40841.102</v>
      </c>
      <c r="F99" s="9">
        <f>3000+9854.1+2115.823+317.749-2115.823+95.28</f>
        <v>13267.129</v>
      </c>
      <c r="G99" s="9">
        <v>13496.805</v>
      </c>
      <c r="H99" s="9">
        <v>14077.168</v>
      </c>
    </row>
    <row r="100" spans="1:8" s="14" customFormat="1" ht="89.25">
      <c r="A100" s="36"/>
      <c r="B100" s="12" t="s">
        <v>105</v>
      </c>
      <c r="C100" s="39"/>
      <c r="D100" s="39"/>
      <c r="E100" s="13">
        <f t="shared" si="4"/>
        <v>30992.623</v>
      </c>
      <c r="F100" s="13">
        <f>9854.112-0.012</f>
        <v>9854.099999999999</v>
      </c>
      <c r="G100" s="13">
        <v>10346.805</v>
      </c>
      <c r="H100" s="13">
        <v>10791.718</v>
      </c>
    </row>
    <row r="101" spans="1:8" s="14" customFormat="1" ht="38.25">
      <c r="A101" s="36"/>
      <c r="B101" s="12" t="s">
        <v>104</v>
      </c>
      <c r="C101" s="39"/>
      <c r="D101" s="39"/>
      <c r="E101" s="13">
        <f t="shared" si="4"/>
        <v>317.749</v>
      </c>
      <c r="F101" s="13">
        <v>317.749</v>
      </c>
      <c r="G101" s="13"/>
      <c r="H101" s="13"/>
    </row>
    <row r="102" spans="1:8" ht="25.5">
      <c r="A102" s="36"/>
      <c r="B102" s="8" t="s">
        <v>196</v>
      </c>
      <c r="C102" s="39"/>
      <c r="D102" s="39"/>
      <c r="E102" s="9">
        <f t="shared" si="4"/>
        <v>197.82</v>
      </c>
      <c r="F102" s="9">
        <v>197.82</v>
      </c>
      <c r="G102" s="9"/>
      <c r="H102" s="9"/>
    </row>
    <row r="103" spans="1:8" ht="38.25">
      <c r="A103" s="36"/>
      <c r="B103" s="10" t="s">
        <v>51</v>
      </c>
      <c r="C103" s="39"/>
      <c r="D103" s="39"/>
      <c r="E103" s="9">
        <f t="shared" si="4"/>
        <v>16260.712999999998</v>
      </c>
      <c r="F103" s="9">
        <f>4595.557+574.534</f>
        <v>5170.090999999999</v>
      </c>
      <c r="G103" s="9">
        <v>5428.596</v>
      </c>
      <c r="H103" s="9">
        <v>5662.026</v>
      </c>
    </row>
    <row r="104" spans="1:8" ht="12.75">
      <c r="A104" s="36"/>
      <c r="B104" s="10" t="s">
        <v>10</v>
      </c>
      <c r="C104" s="39"/>
      <c r="D104" s="39"/>
      <c r="E104" s="9">
        <f t="shared" si="4"/>
        <v>4385.942999999999</v>
      </c>
      <c r="F104" s="9">
        <f>1101.34+420-108.9-290</f>
        <v>1122.4399999999998</v>
      </c>
      <c r="G104" s="9">
        <v>1597.407</v>
      </c>
      <c r="H104" s="9">
        <v>1666.096</v>
      </c>
    </row>
    <row r="105" spans="1:8" s="14" customFormat="1" ht="42.75" customHeight="1">
      <c r="A105" s="36"/>
      <c r="B105" s="12" t="s">
        <v>104</v>
      </c>
      <c r="C105" s="39"/>
      <c r="D105" s="39"/>
      <c r="E105" s="13">
        <f t="shared" si="4"/>
        <v>1320.963</v>
      </c>
      <c r="F105" s="13">
        <f>420</f>
        <v>420</v>
      </c>
      <c r="G105" s="13">
        <v>441</v>
      </c>
      <c r="H105" s="13">
        <v>459.963</v>
      </c>
    </row>
    <row r="106" spans="1:8" ht="25.5">
      <c r="A106" s="36"/>
      <c r="B106" s="10" t="s">
        <v>73</v>
      </c>
      <c r="C106" s="39"/>
      <c r="D106" s="39"/>
      <c r="E106" s="9">
        <f t="shared" si="4"/>
        <v>4261.09</v>
      </c>
      <c r="F106" s="9">
        <f>1300+172.395</f>
        <v>1472.395</v>
      </c>
      <c r="G106" s="9">
        <v>1365</v>
      </c>
      <c r="H106" s="9">
        <v>1423.695</v>
      </c>
    </row>
    <row r="107" spans="1:8" ht="38.25">
      <c r="A107" s="36"/>
      <c r="B107" s="10" t="s">
        <v>78</v>
      </c>
      <c r="C107" s="39"/>
      <c r="D107" s="39"/>
      <c r="E107" s="9">
        <f>F107+G107+H107</f>
        <v>179.768</v>
      </c>
      <c r="F107" s="9">
        <f>53.342+12</f>
        <v>65.342</v>
      </c>
      <c r="G107" s="9">
        <v>56.009</v>
      </c>
      <c r="H107" s="9">
        <v>58.417</v>
      </c>
    </row>
    <row r="108" spans="1:8" ht="25.5">
      <c r="A108" s="36"/>
      <c r="B108" s="10" t="s">
        <v>47</v>
      </c>
      <c r="C108" s="39"/>
      <c r="D108" s="39"/>
      <c r="E108" s="9">
        <f>F108+G108+H108</f>
        <v>42100.585</v>
      </c>
      <c r="F108" s="9">
        <f>13000+385.875</f>
        <v>13385.875</v>
      </c>
      <c r="G108" s="9">
        <v>14055.169</v>
      </c>
      <c r="H108" s="9">
        <v>14659.541</v>
      </c>
    </row>
    <row r="109" spans="1:8" ht="38.25">
      <c r="A109" s="36"/>
      <c r="B109" s="10" t="s">
        <v>74</v>
      </c>
      <c r="C109" s="39"/>
      <c r="D109" s="39"/>
      <c r="E109" s="9">
        <f t="shared" si="4"/>
        <v>131.63899999999998</v>
      </c>
      <c r="F109" s="9">
        <f>39.137+8.547</f>
        <v>47.684</v>
      </c>
      <c r="G109" s="9">
        <v>41.094</v>
      </c>
      <c r="H109" s="9">
        <v>42.861</v>
      </c>
    </row>
    <row r="110" spans="1:8" ht="25.5">
      <c r="A110" s="36"/>
      <c r="B110" s="10" t="s">
        <v>75</v>
      </c>
      <c r="C110" s="39"/>
      <c r="D110" s="39"/>
      <c r="E110" s="9">
        <f t="shared" si="4"/>
        <v>4816.725</v>
      </c>
      <c r="F110" s="9">
        <f>1500+99</f>
        <v>1599</v>
      </c>
      <c r="G110" s="9">
        <v>1575</v>
      </c>
      <c r="H110" s="9">
        <v>1642.725</v>
      </c>
    </row>
    <row r="111" spans="1:8" ht="25.5">
      <c r="A111" s="36"/>
      <c r="B111" s="10" t="s">
        <v>76</v>
      </c>
      <c r="C111" s="39"/>
      <c r="D111" s="39"/>
      <c r="E111" s="9">
        <f t="shared" si="4"/>
        <v>310.11199999999997</v>
      </c>
      <c r="F111" s="9">
        <f>98.6</f>
        <v>98.6</v>
      </c>
      <c r="G111" s="9">
        <v>103.53</v>
      </c>
      <c r="H111" s="9">
        <v>107.982</v>
      </c>
    </row>
    <row r="112" spans="1:8" ht="25.5">
      <c r="A112" s="36"/>
      <c r="B112" s="8" t="s">
        <v>53</v>
      </c>
      <c r="C112" s="39"/>
      <c r="D112" s="39"/>
      <c r="E112" s="9">
        <f t="shared" si="4"/>
        <v>4717.725</v>
      </c>
      <c r="F112" s="9">
        <f>1500</f>
        <v>1500</v>
      </c>
      <c r="G112" s="9">
        <v>1575</v>
      </c>
      <c r="H112" s="9">
        <v>1642.725</v>
      </c>
    </row>
    <row r="113" spans="1:8" ht="38.25">
      <c r="A113" s="36"/>
      <c r="B113" s="8" t="s">
        <v>172</v>
      </c>
      <c r="C113" s="39"/>
      <c r="D113" s="39"/>
      <c r="E113" s="9">
        <f t="shared" si="4"/>
        <v>29</v>
      </c>
      <c r="F113" s="9">
        <f>10+19</f>
        <v>29</v>
      </c>
      <c r="G113" s="9"/>
      <c r="H113" s="9"/>
    </row>
    <row r="114" spans="1:8" ht="25.5">
      <c r="A114" s="36"/>
      <c r="B114" s="8" t="s">
        <v>116</v>
      </c>
      <c r="C114" s="40"/>
      <c r="D114" s="40"/>
      <c r="E114" s="9">
        <f>F114+G114+H114</f>
        <v>2788.462</v>
      </c>
      <c r="F114" s="9">
        <f>1749.328+1039.134</f>
        <v>2788.462</v>
      </c>
      <c r="G114" s="13"/>
      <c r="H114" s="13"/>
    </row>
    <row r="115" spans="1:8" s="14" customFormat="1" ht="102">
      <c r="A115" s="37"/>
      <c r="B115" s="12" t="s">
        <v>117</v>
      </c>
      <c r="C115" s="20"/>
      <c r="D115" s="20"/>
      <c r="E115" s="13">
        <f>F115+G115+H115</f>
        <v>1039.134</v>
      </c>
      <c r="F115" s="13">
        <v>1039.134</v>
      </c>
      <c r="G115" s="13"/>
      <c r="H115" s="13"/>
    </row>
    <row r="116" spans="1:8" ht="12.75" customHeight="1">
      <c r="A116" s="35" t="s">
        <v>79</v>
      </c>
      <c r="B116" s="8"/>
      <c r="C116" s="38" t="s">
        <v>8</v>
      </c>
      <c r="D116" s="38" t="s">
        <v>9</v>
      </c>
      <c r="E116" s="7">
        <f aca="true" t="shared" si="5" ref="E116:E140">F116+G116+H116</f>
        <v>86253.73600000002</v>
      </c>
      <c r="F116" s="7">
        <f>SUM(F117:F133)-F118-F123-F125-F127-F129-F132-F133</f>
        <v>30823.06200000001</v>
      </c>
      <c r="G116" s="7">
        <f>SUM(G117:G133)-G118-G123-G125-G127-G129-G132-G133</f>
        <v>27131.999000000003</v>
      </c>
      <c r="H116" s="7">
        <f>SUM(H117:H133)-H118-H123-H125-H127-H129-H132-H133</f>
        <v>28298.675000000003</v>
      </c>
    </row>
    <row r="117" spans="1:8" ht="25.5">
      <c r="A117" s="36"/>
      <c r="B117" s="10" t="s">
        <v>54</v>
      </c>
      <c r="C117" s="39"/>
      <c r="D117" s="39"/>
      <c r="E117" s="9">
        <f t="shared" si="5"/>
        <v>43105.607</v>
      </c>
      <c r="F117" s="9">
        <f>2500-547.012+5877.295+110</f>
        <v>7940.283</v>
      </c>
      <c r="G117" s="9">
        <f>16267.553+945.038</f>
        <v>17212.591</v>
      </c>
      <c r="H117" s="9">
        <f>16967.058+985.675</f>
        <v>17952.733</v>
      </c>
    </row>
    <row r="118" spans="1:8" ht="102">
      <c r="A118" s="36"/>
      <c r="B118" s="12" t="s">
        <v>117</v>
      </c>
      <c r="C118" s="39"/>
      <c r="D118" s="39"/>
      <c r="E118" s="13">
        <f t="shared" si="5"/>
        <v>5877.295</v>
      </c>
      <c r="F118" s="13">
        <v>5877.295</v>
      </c>
      <c r="G118" s="13"/>
      <c r="H118" s="13"/>
    </row>
    <row r="119" spans="1:8" ht="12.75">
      <c r="A119" s="36"/>
      <c r="B119" s="10" t="s">
        <v>12</v>
      </c>
      <c r="C119" s="39"/>
      <c r="D119" s="39"/>
      <c r="E119" s="9">
        <f t="shared" si="5"/>
        <v>314.515</v>
      </c>
      <c r="F119" s="9">
        <v>100</v>
      </c>
      <c r="G119" s="9">
        <v>105</v>
      </c>
      <c r="H119" s="9">
        <v>109.515</v>
      </c>
    </row>
    <row r="120" spans="1:8" ht="25.5">
      <c r="A120" s="36"/>
      <c r="B120" s="10" t="s">
        <v>37</v>
      </c>
      <c r="C120" s="39"/>
      <c r="D120" s="39"/>
      <c r="E120" s="9">
        <f t="shared" si="5"/>
        <v>52.805</v>
      </c>
      <c r="F120" s="9">
        <v>52.805</v>
      </c>
      <c r="G120" s="9"/>
      <c r="H120" s="9"/>
    </row>
    <row r="121" spans="1:8" ht="25.5">
      <c r="A121" s="36"/>
      <c r="B121" s="10" t="s">
        <v>128</v>
      </c>
      <c r="C121" s="39"/>
      <c r="D121" s="39"/>
      <c r="E121" s="9">
        <f t="shared" si="5"/>
        <v>708.121</v>
      </c>
      <c r="F121" s="9">
        <v>708.121</v>
      </c>
      <c r="G121" s="9"/>
      <c r="H121" s="9"/>
    </row>
    <row r="122" spans="1:8" ht="51">
      <c r="A122" s="36"/>
      <c r="B122" s="10" t="s">
        <v>118</v>
      </c>
      <c r="C122" s="39"/>
      <c r="D122" s="39"/>
      <c r="E122" s="9">
        <f t="shared" si="5"/>
        <v>123.027</v>
      </c>
      <c r="F122" s="9">
        <v>123.027</v>
      </c>
      <c r="G122" s="9"/>
      <c r="H122" s="9"/>
    </row>
    <row r="123" spans="1:8" s="14" customFormat="1" ht="38.25">
      <c r="A123" s="36"/>
      <c r="B123" s="12" t="s">
        <v>104</v>
      </c>
      <c r="C123" s="39"/>
      <c r="D123" s="39"/>
      <c r="E123" s="13">
        <f t="shared" si="5"/>
        <v>123.027</v>
      </c>
      <c r="F123" s="13">
        <v>123.027</v>
      </c>
      <c r="G123" s="13"/>
      <c r="H123" s="13"/>
    </row>
    <row r="124" spans="1:8" ht="25.5">
      <c r="A124" s="36"/>
      <c r="B124" s="8" t="s">
        <v>55</v>
      </c>
      <c r="C124" s="39"/>
      <c r="D124" s="39"/>
      <c r="E124" s="9">
        <f t="shared" si="5"/>
        <v>35357.463</v>
      </c>
      <c r="F124" s="9">
        <v>19155.985</v>
      </c>
      <c r="G124" s="9">
        <v>7930.239</v>
      </c>
      <c r="H124" s="9">
        <v>8271.239</v>
      </c>
    </row>
    <row r="125" spans="1:8" ht="89.25">
      <c r="A125" s="36"/>
      <c r="B125" s="12" t="s">
        <v>105</v>
      </c>
      <c r="C125" s="39"/>
      <c r="D125" s="39"/>
      <c r="E125" s="13">
        <f aca="true" t="shared" si="6" ref="E125:E136">F125+G125+H125</f>
        <v>35357.463</v>
      </c>
      <c r="F125" s="13">
        <v>19155.985</v>
      </c>
      <c r="G125" s="13">
        <v>7930.239</v>
      </c>
      <c r="H125" s="13">
        <v>8271.239</v>
      </c>
    </row>
    <row r="126" spans="1:8" ht="25.5">
      <c r="A126" s="36"/>
      <c r="B126" s="8" t="s">
        <v>56</v>
      </c>
      <c r="C126" s="39"/>
      <c r="D126" s="39"/>
      <c r="E126" s="9">
        <f t="shared" si="6"/>
        <v>5633.372</v>
      </c>
      <c r="F126" s="9">
        <f>(1794.447-10.432)</f>
        <v>1784.0149999999999</v>
      </c>
      <c r="G126" s="9">
        <v>1884.169</v>
      </c>
      <c r="H126" s="9">
        <v>1965.188</v>
      </c>
    </row>
    <row r="127" spans="1:8" ht="89.25">
      <c r="A127" s="36"/>
      <c r="B127" s="12" t="s">
        <v>105</v>
      </c>
      <c r="C127" s="39"/>
      <c r="D127" s="39"/>
      <c r="E127" s="13">
        <f t="shared" si="6"/>
        <v>5633.372</v>
      </c>
      <c r="F127" s="13">
        <f>1794.447-10.432</f>
        <v>1784.0149999999999</v>
      </c>
      <c r="G127" s="13">
        <v>1884.169</v>
      </c>
      <c r="H127" s="13">
        <v>1965.188</v>
      </c>
    </row>
    <row r="128" spans="1:8" ht="25.5">
      <c r="A128" s="36"/>
      <c r="B128" s="8" t="s">
        <v>119</v>
      </c>
      <c r="C128" s="39"/>
      <c r="D128" s="39"/>
      <c r="E128" s="9">
        <f t="shared" si="6"/>
        <v>171.764</v>
      </c>
      <c r="F128" s="9">
        <v>171.764</v>
      </c>
      <c r="G128" s="9"/>
      <c r="H128" s="9"/>
    </row>
    <row r="129" spans="1:8" ht="38.25">
      <c r="A129" s="36"/>
      <c r="B129" s="12" t="s">
        <v>104</v>
      </c>
      <c r="C129" s="39"/>
      <c r="D129" s="39"/>
      <c r="E129" s="13">
        <f t="shared" si="6"/>
        <v>171.764</v>
      </c>
      <c r="F129" s="13">
        <v>171.764</v>
      </c>
      <c r="G129" s="13"/>
      <c r="H129" s="13"/>
    </row>
    <row r="130" spans="1:8" ht="38.25">
      <c r="A130" s="36"/>
      <c r="B130" s="8" t="s">
        <v>173</v>
      </c>
      <c r="C130" s="39"/>
      <c r="D130" s="39"/>
      <c r="E130" s="9">
        <f t="shared" si="6"/>
        <v>71.7</v>
      </c>
      <c r="F130" s="9">
        <f>41.7+10+20</f>
        <v>71.7</v>
      </c>
      <c r="G130" s="9"/>
      <c r="H130" s="9"/>
    </row>
    <row r="131" spans="1:8" ht="25.5">
      <c r="A131" s="36"/>
      <c r="B131" s="8" t="s">
        <v>106</v>
      </c>
      <c r="C131" s="39"/>
      <c r="D131" s="39"/>
      <c r="E131" s="9">
        <f t="shared" si="6"/>
        <v>715.362</v>
      </c>
      <c r="F131" s="9">
        <f>319.273+338.135+57.954</f>
        <v>715.362</v>
      </c>
      <c r="G131" s="13"/>
      <c r="H131" s="13"/>
    </row>
    <row r="132" spans="1:8" ht="102">
      <c r="A132" s="36"/>
      <c r="B132" s="12" t="s">
        <v>117</v>
      </c>
      <c r="C132" s="39"/>
      <c r="D132" s="39"/>
      <c r="E132" s="13">
        <f t="shared" si="6"/>
        <v>57.954</v>
      </c>
      <c r="F132" s="13">
        <v>57.954</v>
      </c>
      <c r="G132" s="13"/>
      <c r="H132" s="13"/>
    </row>
    <row r="133" spans="1:8" s="14" customFormat="1" ht="42.75" customHeight="1">
      <c r="A133" s="37"/>
      <c r="B133" s="12" t="s">
        <v>104</v>
      </c>
      <c r="C133" s="40"/>
      <c r="D133" s="40"/>
      <c r="E133" s="13">
        <f t="shared" si="6"/>
        <v>338.135</v>
      </c>
      <c r="F133" s="13">
        <v>338.135</v>
      </c>
      <c r="G133" s="13"/>
      <c r="H133" s="13"/>
    </row>
    <row r="134" spans="1:8" s="14" customFormat="1" ht="12.75">
      <c r="A134" s="35" t="s">
        <v>79</v>
      </c>
      <c r="B134" s="12"/>
      <c r="C134" s="43" t="s">
        <v>188</v>
      </c>
      <c r="D134" s="43" t="s">
        <v>9</v>
      </c>
      <c r="E134" s="7">
        <f t="shared" si="6"/>
        <v>140</v>
      </c>
      <c r="F134" s="7">
        <f>SUM(F135)</f>
        <v>140</v>
      </c>
      <c r="G134" s="7">
        <f>SUM(G135)</f>
        <v>0</v>
      </c>
      <c r="H134" s="7">
        <f>SUM(H135)</f>
        <v>0</v>
      </c>
    </row>
    <row r="135" spans="1:8" ht="76.5">
      <c r="A135" s="36"/>
      <c r="B135" s="8" t="s">
        <v>197</v>
      </c>
      <c r="C135" s="44"/>
      <c r="D135" s="44"/>
      <c r="E135" s="9">
        <f t="shared" si="6"/>
        <v>140</v>
      </c>
      <c r="F135" s="9">
        <v>140</v>
      </c>
      <c r="G135" s="9"/>
      <c r="H135" s="9"/>
    </row>
    <row r="136" spans="1:8" ht="25.5">
      <c r="A136" s="37"/>
      <c r="B136" s="12" t="s">
        <v>198</v>
      </c>
      <c r="C136" s="24"/>
      <c r="D136" s="24"/>
      <c r="E136" s="13">
        <f t="shared" si="6"/>
        <v>140</v>
      </c>
      <c r="F136" s="13">
        <v>140</v>
      </c>
      <c r="G136" s="13"/>
      <c r="H136" s="13"/>
    </row>
    <row r="137" spans="1:8" ht="12.75" customHeight="1">
      <c r="A137" s="35" t="s">
        <v>62</v>
      </c>
      <c r="B137" s="8"/>
      <c r="C137" s="38" t="s">
        <v>17</v>
      </c>
      <c r="D137" s="38" t="s">
        <v>9</v>
      </c>
      <c r="E137" s="7">
        <f t="shared" si="5"/>
        <v>547.383</v>
      </c>
      <c r="F137" s="7">
        <f>SUM(F138:F140)</f>
        <v>335.01300000000003</v>
      </c>
      <c r="G137" s="7">
        <f>SUM(G138:G140)</f>
        <v>103.95</v>
      </c>
      <c r="H137" s="7">
        <f>SUM(H138:H140)</f>
        <v>108.42</v>
      </c>
    </row>
    <row r="138" spans="1:8" ht="25.5">
      <c r="A138" s="36"/>
      <c r="B138" s="10" t="s">
        <v>47</v>
      </c>
      <c r="C138" s="39"/>
      <c r="D138" s="39"/>
      <c r="E138" s="9">
        <f t="shared" si="5"/>
        <v>311.37</v>
      </c>
      <c r="F138" s="9">
        <v>99</v>
      </c>
      <c r="G138" s="9">
        <v>103.95</v>
      </c>
      <c r="H138" s="9">
        <v>108.42</v>
      </c>
    </row>
    <row r="139" spans="1:8" ht="12.75">
      <c r="A139" s="36"/>
      <c r="B139" s="10" t="s">
        <v>83</v>
      </c>
      <c r="C139" s="39"/>
      <c r="D139" s="39"/>
      <c r="E139" s="9">
        <f t="shared" si="5"/>
        <v>233.1</v>
      </c>
      <c r="F139" s="9">
        <f>99.9+133.2</f>
        <v>233.1</v>
      </c>
      <c r="G139" s="9"/>
      <c r="H139" s="9"/>
    </row>
    <row r="140" spans="1:8" ht="25.5">
      <c r="A140" s="37"/>
      <c r="B140" s="10" t="s">
        <v>200</v>
      </c>
      <c r="C140" s="40"/>
      <c r="D140" s="40"/>
      <c r="E140" s="9">
        <f t="shared" si="5"/>
        <v>2.913</v>
      </c>
      <c r="F140" s="9">
        <v>2.913</v>
      </c>
      <c r="G140" s="9"/>
      <c r="H140" s="9"/>
    </row>
    <row r="141" spans="1:8" ht="25.5" customHeight="1">
      <c r="A141" s="35" t="s">
        <v>199</v>
      </c>
      <c r="B141" s="10"/>
      <c r="C141" s="31" t="s">
        <v>17</v>
      </c>
      <c r="D141" s="31" t="s">
        <v>9</v>
      </c>
      <c r="E141" s="7">
        <f>F141+G141+H141</f>
        <v>21.351</v>
      </c>
      <c r="F141" s="7">
        <f>SUM(F142:F142)</f>
        <v>21.351</v>
      </c>
      <c r="G141" s="7">
        <f>SUM(G142:G142)</f>
        <v>0</v>
      </c>
      <c r="H141" s="7">
        <f>SUM(H142:H142)</f>
        <v>0</v>
      </c>
    </row>
    <row r="142" spans="1:8" ht="25.5">
      <c r="A142" s="37"/>
      <c r="B142" s="10" t="s">
        <v>202</v>
      </c>
      <c r="C142" s="31"/>
      <c r="D142" s="31"/>
      <c r="E142" s="9">
        <f>F142+G142+H142</f>
        <v>21.351</v>
      </c>
      <c r="F142" s="9">
        <v>21.351</v>
      </c>
      <c r="G142" s="9"/>
      <c r="H142" s="9"/>
    </row>
    <row r="143" spans="1:8" ht="12.75" customHeight="1">
      <c r="A143" s="35" t="s">
        <v>72</v>
      </c>
      <c r="B143" s="8"/>
      <c r="C143" s="38" t="s">
        <v>17</v>
      </c>
      <c r="D143" s="38" t="s">
        <v>9</v>
      </c>
      <c r="E143" s="7">
        <f>F143+G143+H143</f>
        <v>686.796</v>
      </c>
      <c r="F143" s="7">
        <f>SUM(F144:F147)</f>
        <v>300.696</v>
      </c>
      <c r="G143" s="7">
        <f>SUM(G144:G147)</f>
        <v>188.987</v>
      </c>
      <c r="H143" s="7">
        <f>SUM(H144:H147)</f>
        <v>197.113</v>
      </c>
    </row>
    <row r="144" spans="1:8" ht="25.5" customHeight="1">
      <c r="A144" s="36"/>
      <c r="B144" s="10" t="s">
        <v>11</v>
      </c>
      <c r="C144" s="39"/>
      <c r="D144" s="39"/>
      <c r="E144" s="9">
        <f aca="true" t="shared" si="7" ref="E144:E152">F144+G144+H144</f>
        <v>157.236</v>
      </c>
      <c r="F144" s="9">
        <f>29.97+20.023</f>
        <v>49.992999999999995</v>
      </c>
      <c r="G144" s="9">
        <v>52.493</v>
      </c>
      <c r="H144" s="9">
        <v>54.75</v>
      </c>
    </row>
    <row r="145" spans="1:8" ht="25.5">
      <c r="A145" s="36"/>
      <c r="B145" s="10" t="s">
        <v>18</v>
      </c>
      <c r="C145" s="39"/>
      <c r="D145" s="39"/>
      <c r="E145" s="9">
        <f t="shared" si="7"/>
        <v>187.139</v>
      </c>
      <c r="F145" s="9">
        <f>49.994+29.9</f>
        <v>79.894</v>
      </c>
      <c r="G145" s="9">
        <v>52.494</v>
      </c>
      <c r="H145" s="9">
        <v>54.751</v>
      </c>
    </row>
    <row r="146" spans="1:8" ht="25.5">
      <c r="A146" s="36"/>
      <c r="B146" s="10" t="s">
        <v>19</v>
      </c>
      <c r="C146" s="39"/>
      <c r="D146" s="39"/>
      <c r="E146" s="9">
        <f>F146+G146+H146</f>
        <v>251.612</v>
      </c>
      <c r="F146" s="9">
        <v>80</v>
      </c>
      <c r="G146" s="9">
        <v>84</v>
      </c>
      <c r="H146" s="9">
        <v>87.612</v>
      </c>
    </row>
    <row r="147" spans="1:8" ht="25.5">
      <c r="A147" s="37"/>
      <c r="B147" s="10" t="s">
        <v>120</v>
      </c>
      <c r="C147" s="40"/>
      <c r="D147" s="40"/>
      <c r="E147" s="9">
        <f>F147+G147+H147</f>
        <v>90.809</v>
      </c>
      <c r="F147" s="9">
        <v>90.809</v>
      </c>
      <c r="G147" s="9"/>
      <c r="H147" s="9"/>
    </row>
    <row r="148" spans="1:8" ht="12.75" customHeight="1">
      <c r="A148" s="32" t="s">
        <v>81</v>
      </c>
      <c r="B148" s="10"/>
      <c r="C148" s="31" t="s">
        <v>17</v>
      </c>
      <c r="D148" s="31" t="s">
        <v>9</v>
      </c>
      <c r="E148" s="7">
        <f>F148+G148+H148</f>
        <v>332.15999999999997</v>
      </c>
      <c r="F148" s="7">
        <f>SUM(F149:F150)</f>
        <v>105.61</v>
      </c>
      <c r="G148" s="7">
        <f>SUM(G149:G150)</f>
        <v>110.891</v>
      </c>
      <c r="H148" s="7">
        <f>SUM(H149:H150)</f>
        <v>115.65899999999999</v>
      </c>
    </row>
    <row r="149" spans="1:8" ht="25.5">
      <c r="A149" s="32"/>
      <c r="B149" s="10" t="s">
        <v>20</v>
      </c>
      <c r="C149" s="31"/>
      <c r="D149" s="31"/>
      <c r="E149" s="9">
        <f t="shared" si="7"/>
        <v>31.238</v>
      </c>
      <c r="F149" s="9">
        <v>9.932</v>
      </c>
      <c r="G149" s="9">
        <v>10.429</v>
      </c>
      <c r="H149" s="9">
        <v>10.877</v>
      </c>
    </row>
    <row r="150" spans="1:8" ht="12.75">
      <c r="A150" s="32"/>
      <c r="B150" s="10" t="s">
        <v>21</v>
      </c>
      <c r="C150" s="31"/>
      <c r="D150" s="31"/>
      <c r="E150" s="9">
        <f t="shared" si="7"/>
        <v>300.92199999999997</v>
      </c>
      <c r="F150" s="9">
        <v>95.678</v>
      </c>
      <c r="G150" s="9">
        <v>100.462</v>
      </c>
      <c r="H150" s="9">
        <v>104.782</v>
      </c>
    </row>
    <row r="151" spans="1:8" ht="39.75" customHeight="1">
      <c r="A151" s="32" t="s">
        <v>80</v>
      </c>
      <c r="B151" s="10"/>
      <c r="C151" s="31" t="s">
        <v>17</v>
      </c>
      <c r="D151" s="31" t="s">
        <v>9</v>
      </c>
      <c r="E151" s="7">
        <f t="shared" si="7"/>
        <v>268.605</v>
      </c>
      <c r="F151" s="7">
        <f>SUM(F152)</f>
        <v>85.403</v>
      </c>
      <c r="G151" s="7">
        <f>SUM(G152)</f>
        <v>89.673</v>
      </c>
      <c r="H151" s="7">
        <f>SUM(H152)</f>
        <v>93.529</v>
      </c>
    </row>
    <row r="152" spans="1:8" ht="12.75">
      <c r="A152" s="32"/>
      <c r="B152" s="10" t="s">
        <v>22</v>
      </c>
      <c r="C152" s="31"/>
      <c r="D152" s="31"/>
      <c r="E152" s="9">
        <f t="shared" si="7"/>
        <v>268.605</v>
      </c>
      <c r="F152" s="9">
        <v>85.403</v>
      </c>
      <c r="G152" s="9">
        <v>89.673</v>
      </c>
      <c r="H152" s="9">
        <v>93.529</v>
      </c>
    </row>
    <row r="153" spans="1:8" ht="12.75">
      <c r="A153" s="33" t="s">
        <v>121</v>
      </c>
      <c r="B153" s="10"/>
      <c r="C153" s="31" t="s">
        <v>17</v>
      </c>
      <c r="D153" s="6"/>
      <c r="E153" s="7">
        <f>E154</f>
        <v>43.781</v>
      </c>
      <c r="F153" s="7">
        <f>F154</f>
        <v>43.781</v>
      </c>
      <c r="G153" s="7">
        <f>G154</f>
        <v>0</v>
      </c>
      <c r="H153" s="7">
        <f>H154</f>
        <v>0</v>
      </c>
    </row>
    <row r="154" spans="1:8" ht="25.5" customHeight="1">
      <c r="A154" s="34"/>
      <c r="B154" s="8" t="s">
        <v>106</v>
      </c>
      <c r="C154" s="31"/>
      <c r="D154" s="6" t="s">
        <v>9</v>
      </c>
      <c r="E154" s="9">
        <f>F154+G154+H154</f>
        <v>43.781</v>
      </c>
      <c r="F154" s="9">
        <v>43.781</v>
      </c>
      <c r="G154" s="9"/>
      <c r="H154" s="9"/>
    </row>
    <row r="155" spans="1:8" ht="12.75" customHeight="1">
      <c r="A155" s="32" t="s">
        <v>62</v>
      </c>
      <c r="B155" s="10"/>
      <c r="C155" s="31" t="s">
        <v>23</v>
      </c>
      <c r="D155" s="31" t="s">
        <v>9</v>
      </c>
      <c r="E155" s="7">
        <f aca="true" t="shared" si="8" ref="E155:E169">F155+G155+H155</f>
        <v>1069.043</v>
      </c>
      <c r="F155" s="7">
        <f>SUM(F156:F158)</f>
        <v>521.5999999999999</v>
      </c>
      <c r="G155" s="7">
        <f>SUM(G156:G158)</f>
        <v>267.96</v>
      </c>
      <c r="H155" s="7">
        <f>SUM(H156:H158)</f>
        <v>279.483</v>
      </c>
    </row>
    <row r="156" spans="1:8" ht="25.5">
      <c r="A156" s="32"/>
      <c r="B156" s="10" t="s">
        <v>24</v>
      </c>
      <c r="C156" s="31"/>
      <c r="D156" s="31"/>
      <c r="E156" s="9">
        <f t="shared" si="8"/>
        <v>267.967</v>
      </c>
      <c r="F156" s="9">
        <v>85.2</v>
      </c>
      <c r="G156" s="9">
        <v>89.46</v>
      </c>
      <c r="H156" s="9">
        <v>93.307</v>
      </c>
    </row>
    <row r="157" spans="1:8" ht="51">
      <c r="A157" s="32"/>
      <c r="B157" s="10" t="s">
        <v>167</v>
      </c>
      <c r="C157" s="31"/>
      <c r="D157" s="31"/>
      <c r="E157" s="9">
        <f>F157+G157+H157</f>
        <v>534.6759999999999</v>
      </c>
      <c r="F157" s="9">
        <f>120+50</f>
        <v>170</v>
      </c>
      <c r="G157" s="9">
        <v>178.5</v>
      </c>
      <c r="H157" s="9">
        <v>186.176</v>
      </c>
    </row>
    <row r="158" spans="1:8" ht="12.75">
      <c r="A158" s="32"/>
      <c r="B158" s="10" t="s">
        <v>83</v>
      </c>
      <c r="C158" s="31"/>
      <c r="D158" s="31"/>
      <c r="E158" s="9">
        <f>F158+G158+H158</f>
        <v>266.4</v>
      </c>
      <c r="F158" s="9">
        <f>99.9+166.5</f>
        <v>266.4</v>
      </c>
      <c r="G158" s="9"/>
      <c r="H158" s="9"/>
    </row>
    <row r="159" spans="1:8" ht="25.5" customHeight="1">
      <c r="A159" s="35" t="s">
        <v>72</v>
      </c>
      <c r="B159" s="10"/>
      <c r="C159" s="38" t="s">
        <v>23</v>
      </c>
      <c r="D159" s="38" t="s">
        <v>9</v>
      </c>
      <c r="E159" s="7">
        <f t="shared" si="8"/>
        <v>1083.287</v>
      </c>
      <c r="F159" s="7">
        <f>SUM(F160:F165)</f>
        <v>405.165</v>
      </c>
      <c r="G159" s="7">
        <f>SUM(G160:G165)</f>
        <v>331.974</v>
      </c>
      <c r="H159" s="7">
        <f>SUM(H160:H165)</f>
        <v>346.14799999999997</v>
      </c>
    </row>
    <row r="160" spans="1:8" ht="25.5">
      <c r="A160" s="36"/>
      <c r="B160" s="10" t="s">
        <v>11</v>
      </c>
      <c r="C160" s="39"/>
      <c r="D160" s="39"/>
      <c r="E160" s="9">
        <f t="shared" si="8"/>
        <v>209.859</v>
      </c>
      <c r="F160" s="9">
        <f>52.83+43.7</f>
        <v>96.53</v>
      </c>
      <c r="G160" s="9">
        <v>55.472</v>
      </c>
      <c r="H160" s="9">
        <v>57.857</v>
      </c>
    </row>
    <row r="161" spans="1:8" ht="25.5">
      <c r="A161" s="36"/>
      <c r="B161" s="10" t="s">
        <v>25</v>
      </c>
      <c r="C161" s="39"/>
      <c r="D161" s="39"/>
      <c r="E161" s="9">
        <f t="shared" si="8"/>
        <v>78.529</v>
      </c>
      <c r="F161" s="9">
        <v>25</v>
      </c>
      <c r="G161" s="9">
        <v>26.25</v>
      </c>
      <c r="H161" s="9">
        <v>27.279</v>
      </c>
    </row>
    <row r="162" spans="1:8" ht="25.5">
      <c r="A162" s="36"/>
      <c r="B162" s="10" t="s">
        <v>26</v>
      </c>
      <c r="C162" s="39"/>
      <c r="D162" s="39"/>
      <c r="E162" s="9">
        <f t="shared" si="8"/>
        <v>50.321999999999996</v>
      </c>
      <c r="F162" s="9">
        <v>16</v>
      </c>
      <c r="G162" s="9">
        <v>16.8</v>
      </c>
      <c r="H162" s="9">
        <v>17.522</v>
      </c>
    </row>
    <row r="163" spans="1:8" ht="12.75">
      <c r="A163" s="36"/>
      <c r="B163" s="10" t="s">
        <v>27</v>
      </c>
      <c r="C163" s="39"/>
      <c r="D163" s="39"/>
      <c r="E163" s="9">
        <f t="shared" si="8"/>
        <v>141.903</v>
      </c>
      <c r="F163" s="9">
        <f>20+79</f>
        <v>99</v>
      </c>
      <c r="G163" s="9">
        <v>21</v>
      </c>
      <c r="H163" s="9">
        <v>21.903</v>
      </c>
    </row>
    <row r="164" spans="1:8" ht="25.5">
      <c r="A164" s="36"/>
      <c r="B164" s="10" t="s">
        <v>29</v>
      </c>
      <c r="C164" s="39"/>
      <c r="D164" s="39"/>
      <c r="E164" s="9">
        <f>F164+G164+H164</f>
        <v>527.309</v>
      </c>
      <c r="F164" s="9">
        <f>41.49+51.78+109.065-33.7-75.365</f>
        <v>93.27</v>
      </c>
      <c r="G164" s="9">
        <v>212.452</v>
      </c>
      <c r="H164" s="9">
        <v>221.587</v>
      </c>
    </row>
    <row r="165" spans="1:8" ht="25.5">
      <c r="A165" s="37"/>
      <c r="B165" s="10" t="s">
        <v>37</v>
      </c>
      <c r="C165" s="40"/>
      <c r="D165" s="40"/>
      <c r="E165" s="9">
        <f>F165+G165+H165</f>
        <v>75.365</v>
      </c>
      <c r="F165" s="9">
        <v>75.365</v>
      </c>
      <c r="G165" s="9"/>
      <c r="H165" s="9"/>
    </row>
    <row r="166" spans="1:8" ht="12.75">
      <c r="A166" s="32" t="s">
        <v>81</v>
      </c>
      <c r="B166" s="8"/>
      <c r="C166" s="31" t="s">
        <v>23</v>
      </c>
      <c r="D166" s="31" t="s">
        <v>9</v>
      </c>
      <c r="E166" s="7">
        <f t="shared" si="8"/>
        <v>672.451</v>
      </c>
      <c r="F166" s="7">
        <f>SUM(F167:F169)</f>
        <v>184</v>
      </c>
      <c r="G166" s="7">
        <f>SUM(G167:G169)</f>
        <v>239.085</v>
      </c>
      <c r="H166" s="7">
        <f>SUM(H167:H169)</f>
        <v>249.36599999999999</v>
      </c>
    </row>
    <row r="167" spans="1:8" ht="25.5">
      <c r="A167" s="32"/>
      <c r="B167" s="10" t="s">
        <v>20</v>
      </c>
      <c r="C167" s="31"/>
      <c r="D167" s="31"/>
      <c r="E167" s="9">
        <f t="shared" si="8"/>
        <v>24.218</v>
      </c>
      <c r="F167" s="9">
        <v>7.7</v>
      </c>
      <c r="G167" s="9">
        <v>8.085</v>
      </c>
      <c r="H167" s="9">
        <v>8.433</v>
      </c>
    </row>
    <row r="168" spans="1:8" ht="12.75">
      <c r="A168" s="32"/>
      <c r="B168" s="10" t="s">
        <v>122</v>
      </c>
      <c r="C168" s="31"/>
      <c r="D168" s="31"/>
      <c r="E168" s="9">
        <f t="shared" si="8"/>
        <v>228.00900000000001</v>
      </c>
      <c r="F168" s="9">
        <f>143-43.7</f>
        <v>99.3</v>
      </c>
      <c r="G168" s="9">
        <v>63</v>
      </c>
      <c r="H168" s="9">
        <v>65.709</v>
      </c>
    </row>
    <row r="169" spans="1:8" ht="25.5">
      <c r="A169" s="32"/>
      <c r="B169" s="10" t="s">
        <v>123</v>
      </c>
      <c r="C169" s="31"/>
      <c r="D169" s="31"/>
      <c r="E169" s="9">
        <f t="shared" si="8"/>
        <v>420.224</v>
      </c>
      <c r="F169" s="9">
        <v>77</v>
      </c>
      <c r="G169" s="9">
        <v>168</v>
      </c>
      <c r="H169" s="9">
        <v>175.224</v>
      </c>
    </row>
    <row r="170" spans="1:8" ht="12.75">
      <c r="A170" s="33" t="s">
        <v>112</v>
      </c>
      <c r="B170" s="10"/>
      <c r="C170" s="6"/>
      <c r="D170" s="6"/>
      <c r="E170" s="7">
        <f>E171</f>
        <v>117.316</v>
      </c>
      <c r="F170" s="7">
        <f>SUM(F171)</f>
        <v>117.316</v>
      </c>
      <c r="G170" s="7">
        <f>SUM(G171)</f>
        <v>0</v>
      </c>
      <c r="H170" s="7">
        <f>SUM(H171)</f>
        <v>0</v>
      </c>
    </row>
    <row r="171" spans="1:8" ht="51">
      <c r="A171" s="34"/>
      <c r="B171" s="8" t="s">
        <v>106</v>
      </c>
      <c r="C171" s="6" t="s">
        <v>23</v>
      </c>
      <c r="D171" s="6" t="s">
        <v>9</v>
      </c>
      <c r="E171" s="9">
        <f aca="true" t="shared" si="9" ref="E171:E193">F171+G171+H171</f>
        <v>117.316</v>
      </c>
      <c r="F171" s="9">
        <f>38.907+44.709+33.7</f>
        <v>117.316</v>
      </c>
      <c r="G171" s="9"/>
      <c r="H171" s="9"/>
    </row>
    <row r="172" spans="1:8" ht="12.75" customHeight="1">
      <c r="A172" s="35" t="s">
        <v>62</v>
      </c>
      <c r="B172" s="10"/>
      <c r="C172" s="38" t="s">
        <v>30</v>
      </c>
      <c r="D172" s="38" t="s">
        <v>9</v>
      </c>
      <c r="E172" s="7">
        <f t="shared" si="9"/>
        <v>871.848</v>
      </c>
      <c r="F172" s="7">
        <f>SUM(F173:F177)</f>
        <v>438.178</v>
      </c>
      <c r="G172" s="7">
        <f>SUM(G173:G177)</f>
        <v>212.271</v>
      </c>
      <c r="H172" s="7">
        <f>SUM(H173:H177)</f>
        <v>221.399</v>
      </c>
    </row>
    <row r="173" spans="1:8" ht="25.5" customHeight="1">
      <c r="A173" s="36"/>
      <c r="B173" s="10" t="s">
        <v>24</v>
      </c>
      <c r="C173" s="39"/>
      <c r="D173" s="39"/>
      <c r="E173" s="9">
        <f t="shared" si="9"/>
        <v>313.415</v>
      </c>
      <c r="F173" s="9">
        <v>99.65</v>
      </c>
      <c r="G173" s="9">
        <v>104.633</v>
      </c>
      <c r="H173" s="9">
        <v>109.132</v>
      </c>
    </row>
    <row r="174" spans="1:8" ht="51">
      <c r="A174" s="36"/>
      <c r="B174" s="10" t="s">
        <v>167</v>
      </c>
      <c r="C174" s="39"/>
      <c r="D174" s="39"/>
      <c r="E174" s="9">
        <f aca="true" t="shared" si="10" ref="E174:E181">F174+G174+H174</f>
        <v>309.207</v>
      </c>
      <c r="F174" s="9">
        <f>33.04+65.272</f>
        <v>98.31200000000001</v>
      </c>
      <c r="G174" s="9">
        <v>103.228</v>
      </c>
      <c r="H174" s="9">
        <v>107.667</v>
      </c>
    </row>
    <row r="175" spans="1:8" ht="25.5">
      <c r="A175" s="36"/>
      <c r="B175" s="10" t="s">
        <v>108</v>
      </c>
      <c r="C175" s="39"/>
      <c r="D175" s="39"/>
      <c r="E175" s="9">
        <f t="shared" si="10"/>
        <v>13.209999999999999</v>
      </c>
      <c r="F175" s="9">
        <v>4.2</v>
      </c>
      <c r="G175" s="9">
        <v>4.41</v>
      </c>
      <c r="H175" s="9">
        <v>4.6</v>
      </c>
    </row>
    <row r="176" spans="1:8" ht="12.75">
      <c r="A176" s="36"/>
      <c r="B176" s="10" t="s">
        <v>83</v>
      </c>
      <c r="C176" s="39"/>
      <c r="D176" s="39"/>
      <c r="E176" s="9">
        <f t="shared" si="10"/>
        <v>233.1</v>
      </c>
      <c r="F176" s="9">
        <f>99.9+133.2</f>
        <v>233.1</v>
      </c>
      <c r="G176" s="9"/>
      <c r="H176" s="9"/>
    </row>
    <row r="177" spans="1:8" ht="25.5">
      <c r="A177" s="37"/>
      <c r="B177" s="10" t="s">
        <v>200</v>
      </c>
      <c r="C177" s="40"/>
      <c r="D177" s="40"/>
      <c r="E177" s="9">
        <f t="shared" si="10"/>
        <v>2.916</v>
      </c>
      <c r="F177" s="9">
        <v>2.916</v>
      </c>
      <c r="G177" s="9"/>
      <c r="H177" s="9"/>
    </row>
    <row r="178" spans="1:8" ht="12.75">
      <c r="A178" s="32" t="s">
        <v>63</v>
      </c>
      <c r="B178" s="10"/>
      <c r="C178" s="31" t="s">
        <v>30</v>
      </c>
      <c r="D178" s="31" t="s">
        <v>9</v>
      </c>
      <c r="E178" s="7">
        <f t="shared" si="10"/>
        <v>13.751000000000001</v>
      </c>
      <c r="F178" s="7">
        <f>SUM(F179)</f>
        <v>4.372</v>
      </c>
      <c r="G178" s="7">
        <f>SUM(G179)</f>
        <v>4.591</v>
      </c>
      <c r="H178" s="7">
        <f>SUM(H179)</f>
        <v>4.788</v>
      </c>
    </row>
    <row r="179" spans="1:8" ht="25.5" customHeight="1">
      <c r="A179" s="32"/>
      <c r="B179" s="10" t="s">
        <v>109</v>
      </c>
      <c r="C179" s="31"/>
      <c r="D179" s="31"/>
      <c r="E179" s="9">
        <f t="shared" si="10"/>
        <v>13.751000000000001</v>
      </c>
      <c r="F179" s="9">
        <v>4.372</v>
      </c>
      <c r="G179" s="9">
        <v>4.591</v>
      </c>
      <c r="H179" s="9">
        <v>4.788</v>
      </c>
    </row>
    <row r="180" spans="1:8" ht="12.75" customHeight="1">
      <c r="A180" s="35" t="s">
        <v>199</v>
      </c>
      <c r="B180" s="10"/>
      <c r="C180" s="31" t="s">
        <v>30</v>
      </c>
      <c r="D180" s="31" t="s">
        <v>9</v>
      </c>
      <c r="E180" s="7">
        <f t="shared" si="10"/>
        <v>18.934</v>
      </c>
      <c r="F180" s="7">
        <f>SUM(F181)</f>
        <v>18.934</v>
      </c>
      <c r="G180" s="7">
        <f>SUM(G181)</f>
        <v>0</v>
      </c>
      <c r="H180" s="7">
        <f>SUM(H181)</f>
        <v>0</v>
      </c>
    </row>
    <row r="181" spans="1:8" ht="25.5" customHeight="1">
      <c r="A181" s="37"/>
      <c r="B181" s="10" t="s">
        <v>201</v>
      </c>
      <c r="C181" s="31"/>
      <c r="D181" s="31"/>
      <c r="E181" s="9">
        <f t="shared" si="10"/>
        <v>18.934</v>
      </c>
      <c r="F181" s="9">
        <v>18.934</v>
      </c>
      <c r="G181" s="9"/>
      <c r="H181" s="9"/>
    </row>
    <row r="182" spans="1:8" ht="12.75">
      <c r="A182" s="32" t="s">
        <v>72</v>
      </c>
      <c r="B182" s="10"/>
      <c r="C182" s="31" t="s">
        <v>30</v>
      </c>
      <c r="D182" s="31" t="s">
        <v>9</v>
      </c>
      <c r="E182" s="7">
        <f t="shared" si="9"/>
        <v>480.99</v>
      </c>
      <c r="F182" s="7">
        <f>SUM(F183:F188)</f>
        <v>207.49400000000003</v>
      </c>
      <c r="G182" s="7">
        <f>SUM(G183:G188)</f>
        <v>133.86999999999998</v>
      </c>
      <c r="H182" s="7">
        <f>SUM(H183:H188)</f>
        <v>139.626</v>
      </c>
    </row>
    <row r="183" spans="1:8" ht="25.5">
      <c r="A183" s="32"/>
      <c r="B183" s="10" t="s">
        <v>31</v>
      </c>
      <c r="C183" s="31"/>
      <c r="D183" s="31"/>
      <c r="E183" s="9">
        <f t="shared" si="9"/>
        <v>14.707</v>
      </c>
      <c r="F183" s="9">
        <v>4.676</v>
      </c>
      <c r="G183" s="9">
        <v>4.91</v>
      </c>
      <c r="H183" s="9">
        <v>5.121</v>
      </c>
    </row>
    <row r="184" spans="1:8" ht="25.5">
      <c r="A184" s="32"/>
      <c r="B184" s="10" t="s">
        <v>32</v>
      </c>
      <c r="C184" s="31"/>
      <c r="D184" s="31"/>
      <c r="E184" s="9">
        <f t="shared" si="9"/>
        <v>130.95100000000002</v>
      </c>
      <c r="F184" s="9">
        <f>16.2+80</f>
        <v>96.2</v>
      </c>
      <c r="G184" s="9">
        <v>17.01</v>
      </c>
      <c r="H184" s="9">
        <v>17.741</v>
      </c>
    </row>
    <row r="185" spans="1:8" ht="25.5">
      <c r="A185" s="32"/>
      <c r="B185" s="10" t="s">
        <v>29</v>
      </c>
      <c r="C185" s="31"/>
      <c r="D185" s="31"/>
      <c r="E185" s="9">
        <f t="shared" si="9"/>
        <v>172.701</v>
      </c>
      <c r="F185" s="9">
        <f>45.58+9.33</f>
        <v>54.91</v>
      </c>
      <c r="G185" s="9">
        <v>57.656</v>
      </c>
      <c r="H185" s="9">
        <v>60.135</v>
      </c>
    </row>
    <row r="186" spans="1:8" ht="25.5">
      <c r="A186" s="32"/>
      <c r="B186" s="10" t="s">
        <v>33</v>
      </c>
      <c r="C186" s="31"/>
      <c r="D186" s="31"/>
      <c r="E186" s="9">
        <f t="shared" si="9"/>
        <v>125.986</v>
      </c>
      <c r="F186" s="9">
        <v>40.057</v>
      </c>
      <c r="G186" s="9">
        <v>42.06</v>
      </c>
      <c r="H186" s="9">
        <v>43.869</v>
      </c>
    </row>
    <row r="187" spans="1:8" ht="25.5">
      <c r="A187" s="32"/>
      <c r="B187" s="10" t="s">
        <v>110</v>
      </c>
      <c r="C187" s="31"/>
      <c r="D187" s="31"/>
      <c r="E187" s="9">
        <f t="shared" si="9"/>
        <v>24.403</v>
      </c>
      <c r="F187" s="9">
        <v>7.759</v>
      </c>
      <c r="G187" s="9">
        <v>8.147</v>
      </c>
      <c r="H187" s="9">
        <v>8.497</v>
      </c>
    </row>
    <row r="188" spans="1:8" ht="12.75">
      <c r="A188" s="32"/>
      <c r="B188" s="10" t="s">
        <v>34</v>
      </c>
      <c r="C188" s="31"/>
      <c r="D188" s="31"/>
      <c r="E188" s="9">
        <f t="shared" si="9"/>
        <v>12.241999999999999</v>
      </c>
      <c r="F188" s="9">
        <v>3.892</v>
      </c>
      <c r="G188" s="9">
        <v>4.087</v>
      </c>
      <c r="H188" s="9">
        <v>4.263</v>
      </c>
    </row>
    <row r="189" spans="1:8" ht="12.75">
      <c r="A189" s="32" t="s">
        <v>81</v>
      </c>
      <c r="B189" s="10"/>
      <c r="C189" s="31" t="s">
        <v>30</v>
      </c>
      <c r="D189" s="31" t="s">
        <v>9</v>
      </c>
      <c r="E189" s="7">
        <f t="shared" si="9"/>
        <v>333.682</v>
      </c>
      <c r="F189" s="7">
        <f>SUM(F190:F191)</f>
        <v>106.094</v>
      </c>
      <c r="G189" s="7">
        <f>SUM(G190:G191)</f>
        <v>111.399</v>
      </c>
      <c r="H189" s="7">
        <f>SUM(H190:H191)</f>
        <v>116.18900000000001</v>
      </c>
    </row>
    <row r="190" spans="1:8" ht="29.25" customHeight="1">
      <c r="A190" s="32"/>
      <c r="B190" s="10" t="s">
        <v>20</v>
      </c>
      <c r="C190" s="31"/>
      <c r="D190" s="31"/>
      <c r="E190" s="9">
        <f t="shared" si="9"/>
        <v>20.302</v>
      </c>
      <c r="F190" s="9">
        <v>6.455</v>
      </c>
      <c r="G190" s="9">
        <v>6.778</v>
      </c>
      <c r="H190" s="9">
        <v>7.069</v>
      </c>
    </row>
    <row r="191" spans="1:8" ht="12.75">
      <c r="A191" s="32"/>
      <c r="B191" s="10" t="s">
        <v>21</v>
      </c>
      <c r="C191" s="31"/>
      <c r="D191" s="31"/>
      <c r="E191" s="9">
        <f t="shared" si="9"/>
        <v>313.38</v>
      </c>
      <c r="F191" s="9">
        <v>99.639</v>
      </c>
      <c r="G191" s="9">
        <v>104.621</v>
      </c>
      <c r="H191" s="9">
        <v>109.12</v>
      </c>
    </row>
    <row r="192" spans="1:8" ht="30.75" customHeight="1">
      <c r="A192" s="32" t="s">
        <v>80</v>
      </c>
      <c r="B192" s="8"/>
      <c r="C192" s="31" t="s">
        <v>30</v>
      </c>
      <c r="D192" s="31" t="s">
        <v>9</v>
      </c>
      <c r="E192" s="7">
        <f t="shared" si="9"/>
        <v>60.411</v>
      </c>
      <c r="F192" s="7">
        <f>SUM(F193)</f>
        <v>19.208</v>
      </c>
      <c r="G192" s="7">
        <f>SUM(G193)</f>
        <v>20.168</v>
      </c>
      <c r="H192" s="7">
        <f>SUM(H193)</f>
        <v>21.035</v>
      </c>
    </row>
    <row r="193" spans="1:8" ht="18.75" customHeight="1">
      <c r="A193" s="32"/>
      <c r="B193" s="10" t="s">
        <v>35</v>
      </c>
      <c r="C193" s="31"/>
      <c r="D193" s="31"/>
      <c r="E193" s="9">
        <f t="shared" si="9"/>
        <v>60.411</v>
      </c>
      <c r="F193" s="9">
        <v>19.208</v>
      </c>
      <c r="G193" s="9">
        <v>20.168</v>
      </c>
      <c r="H193" s="9">
        <v>21.035</v>
      </c>
    </row>
    <row r="194" spans="1:8" ht="18.75" customHeight="1">
      <c r="A194" s="33" t="s">
        <v>112</v>
      </c>
      <c r="B194" s="10"/>
      <c r="C194" s="31" t="s">
        <v>30</v>
      </c>
      <c r="D194" s="31" t="s">
        <v>9</v>
      </c>
      <c r="E194" s="7">
        <f>F194+G194+H194</f>
        <v>32.173</v>
      </c>
      <c r="F194" s="7">
        <f>SUM(F195)</f>
        <v>32.173</v>
      </c>
      <c r="G194" s="9"/>
      <c r="H194" s="9"/>
    </row>
    <row r="195" spans="1:8" ht="25.5">
      <c r="A195" s="34"/>
      <c r="B195" s="8" t="s">
        <v>106</v>
      </c>
      <c r="C195" s="31"/>
      <c r="D195" s="31"/>
      <c r="E195" s="9">
        <f>F195+G195+H195</f>
        <v>32.173</v>
      </c>
      <c r="F195" s="9">
        <v>32.173</v>
      </c>
      <c r="G195" s="9"/>
      <c r="H195" s="9"/>
    </row>
    <row r="196" spans="1:8" ht="12.75" customHeight="1">
      <c r="A196" s="35" t="s">
        <v>62</v>
      </c>
      <c r="B196" s="10"/>
      <c r="C196" s="38" t="s">
        <v>36</v>
      </c>
      <c r="D196" s="38" t="s">
        <v>9</v>
      </c>
      <c r="E196" s="7">
        <f aca="true" t="shared" si="11" ref="E196:E221">F196+G196+H196</f>
        <v>1419.55</v>
      </c>
      <c r="F196" s="7">
        <f>SUM(F197:F201)</f>
        <v>633.044</v>
      </c>
      <c r="G196" s="7">
        <f>SUM(G197:G201)</f>
        <v>384.976</v>
      </c>
      <c r="H196" s="7">
        <f>SUM(H197:H201)</f>
        <v>401.53000000000003</v>
      </c>
    </row>
    <row r="197" spans="1:8" ht="25.5" customHeight="1">
      <c r="A197" s="36"/>
      <c r="B197" s="8" t="s">
        <v>24</v>
      </c>
      <c r="C197" s="39"/>
      <c r="D197" s="39"/>
      <c r="E197" s="9">
        <f t="shared" si="11"/>
        <v>311.37</v>
      </c>
      <c r="F197" s="9">
        <v>99</v>
      </c>
      <c r="G197" s="9">
        <v>103.95</v>
      </c>
      <c r="H197" s="9">
        <v>108.42</v>
      </c>
    </row>
    <row r="198" spans="1:8" ht="51">
      <c r="A198" s="36"/>
      <c r="B198" s="10" t="s">
        <v>167</v>
      </c>
      <c r="C198" s="39"/>
      <c r="D198" s="39"/>
      <c r="E198" s="9">
        <f t="shared" si="11"/>
        <v>313.395</v>
      </c>
      <c r="F198" s="9">
        <f>70.33+29.314</f>
        <v>99.644</v>
      </c>
      <c r="G198" s="9">
        <v>104.626</v>
      </c>
      <c r="H198" s="9">
        <v>109.125</v>
      </c>
    </row>
    <row r="199" spans="1:8" ht="12.75">
      <c r="A199" s="36"/>
      <c r="B199" s="10" t="s">
        <v>28</v>
      </c>
      <c r="C199" s="39"/>
      <c r="D199" s="39"/>
      <c r="E199" s="9">
        <f t="shared" si="11"/>
        <v>311.37</v>
      </c>
      <c r="F199" s="9">
        <v>99</v>
      </c>
      <c r="G199" s="9">
        <v>103.95</v>
      </c>
      <c r="H199" s="9">
        <v>108.42</v>
      </c>
    </row>
    <row r="200" spans="1:8" ht="25.5" customHeight="1">
      <c r="A200" s="36"/>
      <c r="B200" s="10" t="s">
        <v>111</v>
      </c>
      <c r="C200" s="39"/>
      <c r="D200" s="39"/>
      <c r="E200" s="9">
        <f t="shared" si="11"/>
        <v>217.015</v>
      </c>
      <c r="F200" s="9">
        <v>69</v>
      </c>
      <c r="G200" s="9">
        <v>72.45</v>
      </c>
      <c r="H200" s="9">
        <v>75.565</v>
      </c>
    </row>
    <row r="201" spans="1:8" ht="12.75">
      <c r="A201" s="37"/>
      <c r="B201" s="10" t="s">
        <v>83</v>
      </c>
      <c r="C201" s="40"/>
      <c r="D201" s="40"/>
      <c r="E201" s="9">
        <f t="shared" si="11"/>
        <v>266.4</v>
      </c>
      <c r="F201" s="9">
        <f>99.9+166.5</f>
        <v>266.4</v>
      </c>
      <c r="G201" s="9"/>
      <c r="H201" s="9"/>
    </row>
    <row r="202" spans="1:8" ht="12.75">
      <c r="A202" s="32" t="s">
        <v>72</v>
      </c>
      <c r="B202" s="8"/>
      <c r="C202" s="31" t="s">
        <v>36</v>
      </c>
      <c r="D202" s="31" t="s">
        <v>9</v>
      </c>
      <c r="E202" s="7">
        <f t="shared" si="11"/>
        <v>441.00699999999995</v>
      </c>
      <c r="F202" s="7">
        <f>SUM(F203:F206)</f>
        <v>167.5</v>
      </c>
      <c r="G202" s="7">
        <f>SUM(G203:G206)</f>
        <v>133.875</v>
      </c>
      <c r="H202" s="7">
        <f>SUM(H203:H206)</f>
        <v>139.63199999999998</v>
      </c>
    </row>
    <row r="203" spans="1:8" ht="25.5">
      <c r="A203" s="32"/>
      <c r="B203" s="10" t="s">
        <v>26</v>
      </c>
      <c r="C203" s="31"/>
      <c r="D203" s="31"/>
      <c r="E203" s="9">
        <f t="shared" si="11"/>
        <v>130.524</v>
      </c>
      <c r="F203" s="9">
        <v>41.5</v>
      </c>
      <c r="G203" s="9">
        <v>43.575</v>
      </c>
      <c r="H203" s="9">
        <v>45.449</v>
      </c>
    </row>
    <row r="204" spans="1:8" ht="12.75">
      <c r="A204" s="32"/>
      <c r="B204" s="10" t="s">
        <v>27</v>
      </c>
      <c r="C204" s="31"/>
      <c r="D204" s="31"/>
      <c r="E204" s="9">
        <f t="shared" si="11"/>
        <v>222.419</v>
      </c>
      <c r="F204" s="9">
        <f>58+40</f>
        <v>98</v>
      </c>
      <c r="G204" s="9">
        <v>60.9</v>
      </c>
      <c r="H204" s="9">
        <v>63.519</v>
      </c>
    </row>
    <row r="205" spans="1:8" ht="25.5">
      <c r="A205" s="32"/>
      <c r="B205" s="10" t="s">
        <v>37</v>
      </c>
      <c r="C205" s="31"/>
      <c r="D205" s="31"/>
      <c r="E205" s="9">
        <f t="shared" si="11"/>
        <v>50.321999999999996</v>
      </c>
      <c r="F205" s="9">
        <v>16</v>
      </c>
      <c r="G205" s="9">
        <v>16.8</v>
      </c>
      <c r="H205" s="9">
        <v>17.522</v>
      </c>
    </row>
    <row r="206" spans="1:8" ht="25.5">
      <c r="A206" s="32"/>
      <c r="B206" s="10" t="s">
        <v>29</v>
      </c>
      <c r="C206" s="31"/>
      <c r="D206" s="31"/>
      <c r="E206" s="9">
        <f t="shared" si="11"/>
        <v>37.742000000000004</v>
      </c>
      <c r="F206" s="9">
        <v>12</v>
      </c>
      <c r="G206" s="9">
        <v>12.6</v>
      </c>
      <c r="H206" s="9">
        <v>13.142</v>
      </c>
    </row>
    <row r="207" spans="1:8" ht="12.75">
      <c r="A207" s="35" t="s">
        <v>127</v>
      </c>
      <c r="B207" s="10"/>
      <c r="C207" s="38" t="s">
        <v>36</v>
      </c>
      <c r="D207" s="38" t="s">
        <v>9</v>
      </c>
      <c r="E207" s="7">
        <f t="shared" si="11"/>
        <v>5.2</v>
      </c>
      <c r="F207" s="7">
        <f>SUM(F208)</f>
        <v>5.2</v>
      </c>
      <c r="G207" s="7">
        <f>SUM(G208)</f>
        <v>0</v>
      </c>
      <c r="H207" s="7">
        <f>SUM(H208)</f>
        <v>0</v>
      </c>
    </row>
    <row r="208" spans="1:8" ht="38.25">
      <c r="A208" s="37"/>
      <c r="B208" s="10" t="s">
        <v>165</v>
      </c>
      <c r="C208" s="40"/>
      <c r="D208" s="40"/>
      <c r="E208" s="9">
        <f t="shared" si="11"/>
        <v>5.2</v>
      </c>
      <c r="F208" s="9">
        <v>5.2</v>
      </c>
      <c r="G208" s="9"/>
      <c r="H208" s="9"/>
    </row>
    <row r="209" spans="1:8" ht="12.75">
      <c r="A209" s="32" t="s">
        <v>81</v>
      </c>
      <c r="B209" s="8"/>
      <c r="C209" s="31" t="s">
        <v>36</v>
      </c>
      <c r="D209" s="31" t="s">
        <v>9</v>
      </c>
      <c r="E209" s="7">
        <f t="shared" si="11"/>
        <v>574.462</v>
      </c>
      <c r="F209" s="7">
        <f>SUM(F210:F212)</f>
        <v>182.65</v>
      </c>
      <c r="G209" s="7">
        <f>SUM(G210:G212)</f>
        <v>191.78199999999998</v>
      </c>
      <c r="H209" s="7">
        <f>SUM(H210:H212)</f>
        <v>200.03</v>
      </c>
    </row>
    <row r="210" spans="1:8" ht="25.5">
      <c r="A210" s="32"/>
      <c r="B210" s="10" t="s">
        <v>20</v>
      </c>
      <c r="C210" s="31"/>
      <c r="D210" s="31"/>
      <c r="E210" s="9">
        <f t="shared" si="11"/>
        <v>110.08</v>
      </c>
      <c r="F210" s="9">
        <v>35</v>
      </c>
      <c r="G210" s="9">
        <v>36.75</v>
      </c>
      <c r="H210" s="9">
        <v>38.33</v>
      </c>
    </row>
    <row r="211" spans="1:8" ht="38.25">
      <c r="A211" s="32"/>
      <c r="B211" s="10" t="s">
        <v>126</v>
      </c>
      <c r="C211" s="31"/>
      <c r="D211" s="31"/>
      <c r="E211" s="9">
        <f t="shared" si="11"/>
        <v>213.833</v>
      </c>
      <c r="F211" s="9">
        <v>67.988</v>
      </c>
      <c r="G211" s="9">
        <v>71.387</v>
      </c>
      <c r="H211" s="9">
        <v>74.458</v>
      </c>
    </row>
    <row r="212" spans="1:8" ht="25.5">
      <c r="A212" s="32"/>
      <c r="B212" s="10" t="s">
        <v>123</v>
      </c>
      <c r="C212" s="31"/>
      <c r="D212" s="31"/>
      <c r="E212" s="9">
        <f t="shared" si="11"/>
        <v>250.54900000000004</v>
      </c>
      <c r="F212" s="9">
        <v>79.662</v>
      </c>
      <c r="G212" s="9">
        <v>83.645</v>
      </c>
      <c r="H212" s="9">
        <v>87.242</v>
      </c>
    </row>
    <row r="213" spans="1:8" ht="24" customHeight="1">
      <c r="A213" s="32" t="s">
        <v>80</v>
      </c>
      <c r="B213" s="10"/>
      <c r="C213" s="31" t="s">
        <v>36</v>
      </c>
      <c r="D213" s="31" t="s">
        <v>9</v>
      </c>
      <c r="E213" s="7">
        <f t="shared" si="11"/>
        <v>235.886</v>
      </c>
      <c r="F213" s="7">
        <f>SUM(F214)</f>
        <v>75</v>
      </c>
      <c r="G213" s="7">
        <f>SUM(G214)</f>
        <v>78.75</v>
      </c>
      <c r="H213" s="7">
        <f>SUM(H214)</f>
        <v>82.136</v>
      </c>
    </row>
    <row r="214" spans="1:8" ht="25.5">
      <c r="A214" s="32"/>
      <c r="B214" s="10" t="s">
        <v>82</v>
      </c>
      <c r="C214" s="31"/>
      <c r="D214" s="31"/>
      <c r="E214" s="9">
        <f t="shared" si="11"/>
        <v>235.886</v>
      </c>
      <c r="F214" s="9">
        <f>25+25+25</f>
        <v>75</v>
      </c>
      <c r="G214" s="9">
        <v>78.75</v>
      </c>
      <c r="H214" s="9">
        <v>82.136</v>
      </c>
    </row>
    <row r="215" spans="1:8" ht="12.75">
      <c r="A215" s="33" t="s">
        <v>112</v>
      </c>
      <c r="B215" s="10"/>
      <c r="C215" s="31" t="s">
        <v>36</v>
      </c>
      <c r="D215" s="31" t="s">
        <v>9</v>
      </c>
      <c r="E215" s="7">
        <f>F215+G215+H215</f>
        <v>66.655</v>
      </c>
      <c r="F215" s="7">
        <f>SUM(F216)</f>
        <v>66.655</v>
      </c>
      <c r="G215" s="9"/>
      <c r="H215" s="9"/>
    </row>
    <row r="216" spans="1:8" ht="25.5">
      <c r="A216" s="34"/>
      <c r="B216" s="8" t="s">
        <v>106</v>
      </c>
      <c r="C216" s="31"/>
      <c r="D216" s="31"/>
      <c r="E216" s="9">
        <f>F216+G216+H216</f>
        <v>66.655</v>
      </c>
      <c r="F216" s="9">
        <v>66.655</v>
      </c>
      <c r="G216" s="9"/>
      <c r="H216" s="9"/>
    </row>
    <row r="217" spans="1:8" ht="12.75" customHeight="1">
      <c r="A217" s="35" t="s">
        <v>62</v>
      </c>
      <c r="B217" s="8"/>
      <c r="C217" s="38" t="s">
        <v>38</v>
      </c>
      <c r="D217" s="38" t="s">
        <v>9</v>
      </c>
      <c r="E217" s="7">
        <f t="shared" si="11"/>
        <v>1028.5810000000001</v>
      </c>
      <c r="F217" s="7">
        <f>SUM(F218:F221)</f>
        <v>445.1</v>
      </c>
      <c r="G217" s="7">
        <f>SUM(G218:G221)</f>
        <v>285.6</v>
      </c>
      <c r="H217" s="7">
        <f>SUM(H218:H221)</f>
        <v>297.88100000000003</v>
      </c>
    </row>
    <row r="218" spans="1:8" ht="25.5">
      <c r="A218" s="36"/>
      <c r="B218" s="10" t="s">
        <v>24</v>
      </c>
      <c r="C218" s="39"/>
      <c r="D218" s="39"/>
      <c r="E218" s="9">
        <f t="shared" si="11"/>
        <v>251.37</v>
      </c>
      <c r="F218" s="9">
        <v>39</v>
      </c>
      <c r="G218" s="9">
        <v>103.95</v>
      </c>
      <c r="H218" s="9">
        <v>108.42</v>
      </c>
    </row>
    <row r="219" spans="1:8" ht="51">
      <c r="A219" s="36"/>
      <c r="B219" s="10" t="s">
        <v>167</v>
      </c>
      <c r="C219" s="39"/>
      <c r="D219" s="39"/>
      <c r="E219" s="9">
        <f t="shared" si="11"/>
        <v>232.74099999999999</v>
      </c>
      <c r="F219" s="9">
        <f>30+44</f>
        <v>74</v>
      </c>
      <c r="G219" s="9">
        <v>77.7</v>
      </c>
      <c r="H219" s="9">
        <v>81.041</v>
      </c>
    </row>
    <row r="220" spans="1:8" ht="12.75">
      <c r="A220" s="36"/>
      <c r="B220" s="10" t="s">
        <v>28</v>
      </c>
      <c r="C220" s="39"/>
      <c r="D220" s="39"/>
      <c r="E220" s="9">
        <f t="shared" si="11"/>
        <v>311.37</v>
      </c>
      <c r="F220" s="9">
        <v>99</v>
      </c>
      <c r="G220" s="9">
        <v>103.95</v>
      </c>
      <c r="H220" s="9">
        <v>108.42</v>
      </c>
    </row>
    <row r="221" spans="1:8" ht="12.75">
      <c r="A221" s="37"/>
      <c r="B221" s="10" t="s">
        <v>83</v>
      </c>
      <c r="C221" s="40"/>
      <c r="D221" s="40"/>
      <c r="E221" s="9">
        <f t="shared" si="11"/>
        <v>233.1</v>
      </c>
      <c r="F221" s="9">
        <f>99.9+133.2</f>
        <v>233.1</v>
      </c>
      <c r="G221" s="9"/>
      <c r="H221" s="9"/>
    </row>
    <row r="222" spans="1:8" ht="12.75">
      <c r="A222" s="32" t="s">
        <v>72</v>
      </c>
      <c r="B222" s="10"/>
      <c r="C222" s="31" t="s">
        <v>38</v>
      </c>
      <c r="D222" s="31" t="s">
        <v>9</v>
      </c>
      <c r="E222" s="7">
        <f aca="true" t="shared" si="12" ref="E222:E230">F222+G222+H222</f>
        <v>390.483</v>
      </c>
      <c r="F222" s="7">
        <f>SUM(F223:F225)</f>
        <v>206</v>
      </c>
      <c r="G222" s="7">
        <f>SUM(G223:G225)</f>
        <v>90.3</v>
      </c>
      <c r="H222" s="7">
        <f>SUM(H223:H225)</f>
        <v>94.18299999999999</v>
      </c>
    </row>
    <row r="223" spans="1:8" ht="25.5">
      <c r="A223" s="32"/>
      <c r="B223" s="10" t="s">
        <v>11</v>
      </c>
      <c r="C223" s="31"/>
      <c r="D223" s="31"/>
      <c r="E223" s="9">
        <f t="shared" si="12"/>
        <v>60</v>
      </c>
      <c r="F223" s="9">
        <v>60</v>
      </c>
      <c r="G223" s="9"/>
      <c r="H223" s="9"/>
    </row>
    <row r="224" spans="1:8" ht="12.75">
      <c r="A224" s="32"/>
      <c r="B224" s="10" t="s">
        <v>39</v>
      </c>
      <c r="C224" s="31"/>
      <c r="D224" s="31"/>
      <c r="E224" s="9">
        <f t="shared" si="12"/>
        <v>173.22500000000002</v>
      </c>
      <c r="F224" s="9">
        <f>36+60</f>
        <v>96</v>
      </c>
      <c r="G224" s="9">
        <v>37.8</v>
      </c>
      <c r="H224" s="9">
        <v>39.425</v>
      </c>
    </row>
    <row r="225" spans="1:8" ht="25.5">
      <c r="A225" s="32"/>
      <c r="B225" s="10" t="s">
        <v>19</v>
      </c>
      <c r="C225" s="31"/>
      <c r="D225" s="31"/>
      <c r="E225" s="9">
        <f t="shared" si="12"/>
        <v>157.258</v>
      </c>
      <c r="F225" s="9">
        <v>50</v>
      </c>
      <c r="G225" s="9">
        <v>52.5</v>
      </c>
      <c r="H225" s="9">
        <v>54.758</v>
      </c>
    </row>
    <row r="226" spans="1:8" ht="12.75">
      <c r="A226" s="32" t="s">
        <v>81</v>
      </c>
      <c r="B226" s="10"/>
      <c r="C226" s="31" t="s">
        <v>38</v>
      </c>
      <c r="D226" s="31" t="s">
        <v>9</v>
      </c>
      <c r="E226" s="7">
        <f t="shared" si="12"/>
        <v>371.127</v>
      </c>
      <c r="F226" s="7">
        <f>SUM(F227:F228)</f>
        <v>118</v>
      </c>
      <c r="G226" s="7">
        <f>SUM(G227:G228)</f>
        <v>123.9</v>
      </c>
      <c r="H226" s="7">
        <f>SUM(H227:H228)</f>
        <v>129.227</v>
      </c>
    </row>
    <row r="227" spans="1:8" ht="25.5">
      <c r="A227" s="32"/>
      <c r="B227" s="10" t="s">
        <v>20</v>
      </c>
      <c r="C227" s="31"/>
      <c r="D227" s="31"/>
      <c r="E227" s="9">
        <f t="shared" si="12"/>
        <v>72.338</v>
      </c>
      <c r="F227" s="9">
        <v>23</v>
      </c>
      <c r="G227" s="9">
        <v>24.15</v>
      </c>
      <c r="H227" s="9">
        <v>25.188</v>
      </c>
    </row>
    <row r="228" spans="1:8" ht="12.75">
      <c r="A228" s="32"/>
      <c r="B228" s="10" t="s">
        <v>21</v>
      </c>
      <c r="C228" s="31"/>
      <c r="D228" s="31"/>
      <c r="E228" s="9">
        <f t="shared" si="12"/>
        <v>298.789</v>
      </c>
      <c r="F228" s="9">
        <v>95</v>
      </c>
      <c r="G228" s="9">
        <v>99.75</v>
      </c>
      <c r="H228" s="9">
        <v>104.039</v>
      </c>
    </row>
    <row r="229" spans="1:8" ht="12.75">
      <c r="A229" s="32" t="s">
        <v>80</v>
      </c>
      <c r="B229" s="10"/>
      <c r="C229" s="31" t="s">
        <v>38</v>
      </c>
      <c r="D229" s="31" t="s">
        <v>9</v>
      </c>
      <c r="E229" s="7">
        <f t="shared" si="12"/>
        <v>160.403</v>
      </c>
      <c r="F229" s="7">
        <f>SUM(F230)</f>
        <v>51</v>
      </c>
      <c r="G229" s="7">
        <f>SUM(G230)</f>
        <v>53.55</v>
      </c>
      <c r="H229" s="7">
        <f>SUM(H230)</f>
        <v>55.853</v>
      </c>
    </row>
    <row r="230" spans="1:8" ht="38.25" customHeight="1">
      <c r="A230" s="32"/>
      <c r="B230" s="10" t="s">
        <v>40</v>
      </c>
      <c r="C230" s="31"/>
      <c r="D230" s="31"/>
      <c r="E230" s="9">
        <f t="shared" si="12"/>
        <v>160.403</v>
      </c>
      <c r="F230" s="9">
        <v>51</v>
      </c>
      <c r="G230" s="9">
        <v>53.55</v>
      </c>
      <c r="H230" s="9">
        <v>55.853</v>
      </c>
    </row>
    <row r="231" spans="1:8" ht="12.75">
      <c r="A231" s="33" t="s">
        <v>112</v>
      </c>
      <c r="B231" s="10"/>
      <c r="C231" s="31" t="s">
        <v>38</v>
      </c>
      <c r="D231" s="31" t="s">
        <v>9</v>
      </c>
      <c r="E231" s="7">
        <f>F231+G231+H231</f>
        <v>59.283</v>
      </c>
      <c r="F231" s="7">
        <f>SUM(F232)</f>
        <v>59.283</v>
      </c>
      <c r="G231" s="9"/>
      <c r="H231" s="9"/>
    </row>
    <row r="232" spans="1:8" ht="25.5">
      <c r="A232" s="34"/>
      <c r="B232" s="8" t="s">
        <v>106</v>
      </c>
      <c r="C232" s="31"/>
      <c r="D232" s="31"/>
      <c r="E232" s="9">
        <f>F232+G232+H232</f>
        <v>59.283</v>
      </c>
      <c r="F232" s="9">
        <v>59.283</v>
      </c>
      <c r="G232" s="9"/>
      <c r="H232" s="9"/>
    </row>
    <row r="233" spans="1:8" ht="12.75" customHeight="1">
      <c r="A233" s="35" t="s">
        <v>62</v>
      </c>
      <c r="B233" s="10"/>
      <c r="C233" s="38" t="s">
        <v>41</v>
      </c>
      <c r="D233" s="38" t="s">
        <v>9</v>
      </c>
      <c r="E233" s="7">
        <f aca="true" t="shared" si="13" ref="E233:E246">F233+G233+H233</f>
        <v>754.052</v>
      </c>
      <c r="F233" s="7">
        <f>SUM(F234:F236)</f>
        <v>402.34999999999997</v>
      </c>
      <c r="G233" s="7">
        <f>SUM(G234:G236)</f>
        <v>172.15</v>
      </c>
      <c r="H233" s="7">
        <f>SUM(H234:H236)</f>
        <v>179.552</v>
      </c>
    </row>
    <row r="234" spans="1:8" ht="25.5">
      <c r="A234" s="36"/>
      <c r="B234" s="10" t="s">
        <v>24</v>
      </c>
      <c r="C234" s="39"/>
      <c r="D234" s="39"/>
      <c r="E234" s="9">
        <f t="shared" si="13"/>
        <v>273.938</v>
      </c>
      <c r="F234" s="9">
        <v>68</v>
      </c>
      <c r="G234" s="9">
        <v>100.802</v>
      </c>
      <c r="H234" s="9">
        <v>105.136</v>
      </c>
    </row>
    <row r="235" spans="1:8" ht="25.5">
      <c r="A235" s="36"/>
      <c r="B235" s="10" t="s">
        <v>47</v>
      </c>
      <c r="C235" s="39"/>
      <c r="D235" s="39"/>
      <c r="E235" s="9">
        <f>F235+G235+H235</f>
        <v>213.714</v>
      </c>
      <c r="F235" s="9">
        <v>67.95</v>
      </c>
      <c r="G235" s="9">
        <v>71.348</v>
      </c>
      <c r="H235" s="9">
        <v>74.416</v>
      </c>
    </row>
    <row r="236" spans="1:8" ht="12.75">
      <c r="A236" s="37"/>
      <c r="B236" s="10" t="s">
        <v>83</v>
      </c>
      <c r="C236" s="40"/>
      <c r="D236" s="40"/>
      <c r="E236" s="9">
        <f>F236+G236+H236</f>
        <v>266.4</v>
      </c>
      <c r="F236" s="9">
        <f>99.9+166.5</f>
        <v>266.4</v>
      </c>
      <c r="G236" s="9"/>
      <c r="H236" s="9"/>
    </row>
    <row r="237" spans="1:8" ht="12.75">
      <c r="A237" s="32" t="s">
        <v>72</v>
      </c>
      <c r="B237" s="8"/>
      <c r="C237" s="31" t="s">
        <v>41</v>
      </c>
      <c r="D237" s="31" t="s">
        <v>9</v>
      </c>
      <c r="E237" s="7">
        <f t="shared" si="13"/>
        <v>673.375</v>
      </c>
      <c r="F237" s="7">
        <f>SUM(F238:F241)</f>
        <v>261.775</v>
      </c>
      <c r="G237" s="7">
        <f>SUM(G238:G241)</f>
        <v>201.469</v>
      </c>
      <c r="H237" s="7">
        <f>SUM(H238:H241)</f>
        <v>210.131</v>
      </c>
    </row>
    <row r="238" spans="1:8" ht="25.5">
      <c r="A238" s="32"/>
      <c r="B238" s="10" t="s">
        <v>42</v>
      </c>
      <c r="C238" s="31"/>
      <c r="D238" s="31"/>
      <c r="E238" s="9">
        <f t="shared" si="13"/>
        <v>237.291</v>
      </c>
      <c r="F238" s="9">
        <v>75.447</v>
      </c>
      <c r="G238" s="9">
        <v>79.219</v>
      </c>
      <c r="H238" s="9">
        <v>82.625</v>
      </c>
    </row>
    <row r="239" spans="1:8" ht="25.5">
      <c r="A239" s="32"/>
      <c r="B239" s="10" t="s">
        <v>43</v>
      </c>
      <c r="C239" s="31"/>
      <c r="D239" s="31"/>
      <c r="E239" s="9">
        <f t="shared" si="13"/>
        <v>7.3919999999999995</v>
      </c>
      <c r="F239" s="9">
        <v>2.35</v>
      </c>
      <c r="G239" s="9">
        <v>2.468</v>
      </c>
      <c r="H239" s="9">
        <v>2.574</v>
      </c>
    </row>
    <row r="240" spans="1:8" ht="12.75">
      <c r="A240" s="32"/>
      <c r="B240" s="10" t="s">
        <v>27</v>
      </c>
      <c r="C240" s="31"/>
      <c r="D240" s="31"/>
      <c r="E240" s="9">
        <f t="shared" si="13"/>
        <v>139.816</v>
      </c>
      <c r="F240" s="9">
        <f>22.198+70</f>
        <v>92.19800000000001</v>
      </c>
      <c r="G240" s="9">
        <v>23.308</v>
      </c>
      <c r="H240" s="9">
        <v>24.31</v>
      </c>
    </row>
    <row r="241" spans="1:8" ht="38.25">
      <c r="A241" s="32"/>
      <c r="B241" s="10" t="s">
        <v>44</v>
      </c>
      <c r="C241" s="31"/>
      <c r="D241" s="31"/>
      <c r="E241" s="9">
        <f t="shared" si="13"/>
        <v>288.87600000000003</v>
      </c>
      <c r="F241" s="9">
        <f>86.979+4.901-0.1</f>
        <v>91.78</v>
      </c>
      <c r="G241" s="9">
        <v>96.474</v>
      </c>
      <c r="H241" s="9">
        <v>100.622</v>
      </c>
    </row>
    <row r="242" spans="1:8" ht="12.75">
      <c r="A242" s="35" t="s">
        <v>127</v>
      </c>
      <c r="B242" s="10"/>
      <c r="C242" s="38" t="s">
        <v>41</v>
      </c>
      <c r="D242" s="38" t="s">
        <v>9</v>
      </c>
      <c r="E242" s="7">
        <f t="shared" si="13"/>
        <v>11</v>
      </c>
      <c r="F242" s="7">
        <f>SUM(F243)</f>
        <v>11</v>
      </c>
      <c r="G242" s="7">
        <f>SUM(G243)</f>
        <v>0</v>
      </c>
      <c r="H242" s="7">
        <f>SUM(H243)</f>
        <v>0</v>
      </c>
    </row>
    <row r="243" spans="1:8" ht="38.25">
      <c r="A243" s="37"/>
      <c r="B243" s="10" t="s">
        <v>166</v>
      </c>
      <c r="C243" s="40"/>
      <c r="D243" s="40"/>
      <c r="E243" s="9">
        <f t="shared" si="13"/>
        <v>11</v>
      </c>
      <c r="F243" s="9">
        <v>11</v>
      </c>
      <c r="G243" s="9"/>
      <c r="H243" s="9"/>
    </row>
    <row r="244" spans="1:8" ht="12.75">
      <c r="A244" s="32" t="s">
        <v>81</v>
      </c>
      <c r="B244" s="8"/>
      <c r="C244" s="31" t="s">
        <v>41</v>
      </c>
      <c r="D244" s="31" t="s">
        <v>9</v>
      </c>
      <c r="E244" s="7">
        <f t="shared" si="13"/>
        <v>221.041</v>
      </c>
      <c r="F244" s="7">
        <f>SUM(F245:F246)</f>
        <v>70.28</v>
      </c>
      <c r="G244" s="7">
        <f>SUM(G245:G246)</f>
        <v>73.79400000000001</v>
      </c>
      <c r="H244" s="7">
        <f>SUM(H245:H246)</f>
        <v>76.967</v>
      </c>
    </row>
    <row r="245" spans="1:8" ht="25.5">
      <c r="A245" s="32"/>
      <c r="B245" s="10" t="s">
        <v>20</v>
      </c>
      <c r="C245" s="31"/>
      <c r="D245" s="31"/>
      <c r="E245" s="9">
        <f t="shared" si="13"/>
        <v>25.179</v>
      </c>
      <c r="F245" s="9">
        <v>8.006</v>
      </c>
      <c r="G245" s="9">
        <v>8.406</v>
      </c>
      <c r="H245" s="9">
        <v>8.767</v>
      </c>
    </row>
    <row r="246" spans="1:8" ht="12.75">
      <c r="A246" s="32"/>
      <c r="B246" s="10" t="s">
        <v>21</v>
      </c>
      <c r="C246" s="31"/>
      <c r="D246" s="31"/>
      <c r="E246" s="9">
        <f t="shared" si="13"/>
        <v>195.86200000000002</v>
      </c>
      <c r="F246" s="9">
        <v>62.274</v>
      </c>
      <c r="G246" s="9">
        <v>65.388</v>
      </c>
      <c r="H246" s="9">
        <v>68.2</v>
      </c>
    </row>
    <row r="247" spans="1:8" ht="21.75" customHeight="1">
      <c r="A247" s="32" t="s">
        <v>80</v>
      </c>
      <c r="B247" s="10"/>
      <c r="C247" s="31" t="s">
        <v>41</v>
      </c>
      <c r="D247" s="31" t="s">
        <v>9</v>
      </c>
      <c r="E247" s="7">
        <f aca="true" t="shared" si="14" ref="E247:E254">F247+G247+H247</f>
        <v>28.102</v>
      </c>
      <c r="F247" s="7">
        <f>SUM(F248)</f>
        <v>28.102</v>
      </c>
      <c r="G247" s="9"/>
      <c r="H247" s="9"/>
    </row>
    <row r="248" spans="1:8" ht="33.75" customHeight="1">
      <c r="A248" s="32"/>
      <c r="B248" s="10" t="s">
        <v>40</v>
      </c>
      <c r="C248" s="31"/>
      <c r="D248" s="31"/>
      <c r="E248" s="9">
        <f t="shared" si="14"/>
        <v>28.102</v>
      </c>
      <c r="F248" s="9">
        <v>28.102</v>
      </c>
      <c r="G248" s="9"/>
      <c r="H248" s="9"/>
    </row>
    <row r="249" spans="1:8" ht="12.75">
      <c r="A249" s="33" t="s">
        <v>112</v>
      </c>
      <c r="B249" s="10"/>
      <c r="C249" s="31" t="s">
        <v>41</v>
      </c>
      <c r="D249" s="31" t="s">
        <v>9</v>
      </c>
      <c r="E249" s="7">
        <f t="shared" si="14"/>
        <v>82.205</v>
      </c>
      <c r="F249" s="7">
        <f>SUM(F250)</f>
        <v>82.205</v>
      </c>
      <c r="G249" s="9"/>
      <c r="H249" s="9"/>
    </row>
    <row r="250" spans="1:8" ht="25.5">
      <c r="A250" s="34"/>
      <c r="B250" s="8" t="s">
        <v>106</v>
      </c>
      <c r="C250" s="31"/>
      <c r="D250" s="31"/>
      <c r="E250" s="9">
        <f t="shared" si="14"/>
        <v>82.205</v>
      </c>
      <c r="F250" s="9">
        <v>82.205</v>
      </c>
      <c r="G250" s="9"/>
      <c r="H250" s="9"/>
    </row>
    <row r="251" spans="1:8" ht="12.75" customHeight="1">
      <c r="A251" s="35" t="s">
        <v>62</v>
      </c>
      <c r="B251" s="10"/>
      <c r="C251" s="38" t="s">
        <v>45</v>
      </c>
      <c r="D251" s="38" t="s">
        <v>9</v>
      </c>
      <c r="E251" s="7">
        <f t="shared" si="14"/>
        <v>1015.203</v>
      </c>
      <c r="F251" s="7">
        <f>SUM(F252:F254)</f>
        <v>504.48199999999997</v>
      </c>
      <c r="G251" s="7">
        <f>SUM(G252:G254)</f>
        <v>249.986</v>
      </c>
      <c r="H251" s="7">
        <f>SUM(H252:H254)</f>
        <v>260.735</v>
      </c>
    </row>
    <row r="252" spans="1:8" ht="51">
      <c r="A252" s="36"/>
      <c r="B252" s="10" t="s">
        <v>167</v>
      </c>
      <c r="C252" s="39"/>
      <c r="D252" s="39"/>
      <c r="E252" s="9">
        <f t="shared" si="14"/>
        <v>609.952</v>
      </c>
      <c r="F252" s="9">
        <f>99.113+59.929+34.892</f>
        <v>193.934</v>
      </c>
      <c r="G252" s="9">
        <v>203.631</v>
      </c>
      <c r="H252" s="9">
        <v>212.387</v>
      </c>
    </row>
    <row r="253" spans="1:8" ht="25.5" customHeight="1">
      <c r="A253" s="36"/>
      <c r="B253" s="8" t="s">
        <v>16</v>
      </c>
      <c r="C253" s="39"/>
      <c r="D253" s="39"/>
      <c r="E253" s="9">
        <f t="shared" si="14"/>
        <v>138.851</v>
      </c>
      <c r="F253" s="9">
        <v>44.148</v>
      </c>
      <c r="G253" s="9">
        <v>46.355</v>
      </c>
      <c r="H253" s="9">
        <v>48.348</v>
      </c>
    </row>
    <row r="254" spans="1:8" ht="12.75">
      <c r="A254" s="37"/>
      <c r="B254" s="10" t="s">
        <v>83</v>
      </c>
      <c r="C254" s="40"/>
      <c r="D254" s="40"/>
      <c r="E254" s="9">
        <f t="shared" si="14"/>
        <v>266.4</v>
      </c>
      <c r="F254" s="9">
        <f>99.9+166.5</f>
        <v>266.4</v>
      </c>
      <c r="G254" s="9"/>
      <c r="H254" s="9"/>
    </row>
    <row r="255" spans="1:8" ht="12.75">
      <c r="A255" s="32" t="s">
        <v>72</v>
      </c>
      <c r="B255" s="10"/>
      <c r="C255" s="31" t="s">
        <v>45</v>
      </c>
      <c r="D255" s="31" t="s">
        <v>9</v>
      </c>
      <c r="E255" s="7">
        <f aca="true" t="shared" si="15" ref="E255:E270">F255+G255+H255</f>
        <v>754.63</v>
      </c>
      <c r="F255" s="7">
        <f>SUM(F256:F260)</f>
        <v>267.216</v>
      </c>
      <c r="G255" s="7">
        <f>SUM(G256:G260)</f>
        <v>238.577</v>
      </c>
      <c r="H255" s="7">
        <f>SUM(H256:H260)</f>
        <v>248.837</v>
      </c>
    </row>
    <row r="256" spans="1:8" ht="25.5">
      <c r="A256" s="32"/>
      <c r="B256" s="10" t="s">
        <v>42</v>
      </c>
      <c r="C256" s="31"/>
      <c r="D256" s="31"/>
      <c r="E256" s="9">
        <f t="shared" si="15"/>
        <v>297.87300000000005</v>
      </c>
      <c r="F256" s="9">
        <f>58.756+35.953</f>
        <v>94.709</v>
      </c>
      <c r="G256" s="9">
        <v>99.444</v>
      </c>
      <c r="H256" s="9">
        <v>103.72</v>
      </c>
    </row>
    <row r="257" spans="1:8" ht="38.25">
      <c r="A257" s="32"/>
      <c r="B257" s="10" t="s">
        <v>46</v>
      </c>
      <c r="C257" s="31"/>
      <c r="D257" s="31"/>
      <c r="E257" s="9">
        <f t="shared" si="15"/>
        <v>45.26</v>
      </c>
      <c r="F257" s="9">
        <v>14.39</v>
      </c>
      <c r="G257" s="9">
        <v>15.11</v>
      </c>
      <c r="H257" s="9">
        <v>15.76</v>
      </c>
    </row>
    <row r="258" spans="1:8" ht="25.5">
      <c r="A258" s="32"/>
      <c r="B258" s="10" t="s">
        <v>18</v>
      </c>
      <c r="C258" s="31"/>
      <c r="D258" s="31"/>
      <c r="E258" s="9">
        <f t="shared" si="15"/>
        <v>100.042</v>
      </c>
      <c r="F258" s="9">
        <f>19.09+40</f>
        <v>59.09</v>
      </c>
      <c r="G258" s="9">
        <v>20.045</v>
      </c>
      <c r="H258" s="9">
        <v>20.907</v>
      </c>
    </row>
    <row r="259" spans="1:8" ht="25.5" customHeight="1">
      <c r="A259" s="32"/>
      <c r="B259" s="10" t="s">
        <v>19</v>
      </c>
      <c r="C259" s="31"/>
      <c r="D259" s="31"/>
      <c r="E259" s="9">
        <f t="shared" si="15"/>
        <v>166.942</v>
      </c>
      <c r="F259" s="9">
        <v>53.079</v>
      </c>
      <c r="G259" s="9">
        <v>55.733</v>
      </c>
      <c r="H259" s="9">
        <v>58.13</v>
      </c>
    </row>
    <row r="260" spans="1:8" ht="25.5">
      <c r="A260" s="32"/>
      <c r="B260" s="10" t="s">
        <v>37</v>
      </c>
      <c r="C260" s="31"/>
      <c r="D260" s="31"/>
      <c r="E260" s="9">
        <f t="shared" si="15"/>
        <v>144.513</v>
      </c>
      <c r="F260" s="9">
        <v>45.948</v>
      </c>
      <c r="G260" s="9">
        <v>48.245</v>
      </c>
      <c r="H260" s="9">
        <v>50.32</v>
      </c>
    </row>
    <row r="261" spans="1:8" ht="12.75">
      <c r="A261" s="32" t="s">
        <v>81</v>
      </c>
      <c r="B261" s="8"/>
      <c r="C261" s="31" t="s">
        <v>45</v>
      </c>
      <c r="D261" s="31" t="s">
        <v>9</v>
      </c>
      <c r="E261" s="7">
        <f t="shared" si="15"/>
        <v>320.13</v>
      </c>
      <c r="F261" s="7">
        <f>SUM(F262:F264)</f>
        <v>101.785</v>
      </c>
      <c r="G261" s="7">
        <f>SUM(G262:G264)</f>
        <v>106.875</v>
      </c>
      <c r="H261" s="7">
        <f>SUM(H262:H264)</f>
        <v>111.47</v>
      </c>
    </row>
    <row r="262" spans="1:8" ht="25.5">
      <c r="A262" s="32"/>
      <c r="B262" s="10" t="s">
        <v>48</v>
      </c>
      <c r="C262" s="31"/>
      <c r="D262" s="31"/>
      <c r="E262" s="9">
        <f t="shared" si="15"/>
        <v>5.954000000000001</v>
      </c>
      <c r="F262" s="9">
        <v>1.893</v>
      </c>
      <c r="G262" s="9">
        <v>1.988</v>
      </c>
      <c r="H262" s="9">
        <v>2.073</v>
      </c>
    </row>
    <row r="263" spans="1:8" ht="25.5">
      <c r="A263" s="32"/>
      <c r="B263" s="10" t="s">
        <v>20</v>
      </c>
      <c r="C263" s="31"/>
      <c r="D263" s="31"/>
      <c r="E263" s="9">
        <f t="shared" si="15"/>
        <v>19.371</v>
      </c>
      <c r="F263" s="9">
        <v>6.159</v>
      </c>
      <c r="G263" s="9">
        <v>6.467</v>
      </c>
      <c r="H263" s="9">
        <v>6.745</v>
      </c>
    </row>
    <row r="264" spans="1:8" ht="12.75">
      <c r="A264" s="32"/>
      <c r="B264" s="10" t="s">
        <v>21</v>
      </c>
      <c r="C264" s="31"/>
      <c r="D264" s="31"/>
      <c r="E264" s="9">
        <f t="shared" si="15"/>
        <v>294.805</v>
      </c>
      <c r="F264" s="9">
        <v>93.733</v>
      </c>
      <c r="G264" s="9">
        <v>98.42</v>
      </c>
      <c r="H264" s="9">
        <v>102.652</v>
      </c>
    </row>
    <row r="265" spans="1:8" ht="12.75">
      <c r="A265" s="32" t="s">
        <v>67</v>
      </c>
      <c r="B265" s="8"/>
      <c r="C265" s="31" t="s">
        <v>45</v>
      </c>
      <c r="D265" s="31" t="s">
        <v>9</v>
      </c>
      <c r="E265" s="7">
        <f t="shared" si="15"/>
        <v>2.1229999999999998</v>
      </c>
      <c r="F265" s="7">
        <f>SUM(F266)</f>
        <v>0.675</v>
      </c>
      <c r="G265" s="7">
        <f>SUM(G266)</f>
        <v>0.709</v>
      </c>
      <c r="H265" s="7">
        <f>SUM(H266)</f>
        <v>0.739</v>
      </c>
    </row>
    <row r="266" spans="1:8" ht="38.25">
      <c r="A266" s="32"/>
      <c r="B266" s="8" t="s">
        <v>49</v>
      </c>
      <c r="C266" s="31"/>
      <c r="D266" s="31"/>
      <c r="E266" s="9">
        <f t="shared" si="15"/>
        <v>2.1229999999999998</v>
      </c>
      <c r="F266" s="9">
        <v>0.675</v>
      </c>
      <c r="G266" s="9">
        <v>0.709</v>
      </c>
      <c r="H266" s="9">
        <v>0.739</v>
      </c>
    </row>
    <row r="267" spans="1:8" ht="27" customHeight="1">
      <c r="A267" s="32" t="s">
        <v>80</v>
      </c>
      <c r="B267" s="8"/>
      <c r="C267" s="31" t="s">
        <v>45</v>
      </c>
      <c r="D267" s="31" t="s">
        <v>9</v>
      </c>
      <c r="E267" s="7">
        <f t="shared" si="15"/>
        <v>227.212</v>
      </c>
      <c r="F267" s="7">
        <f>SUM(F268)</f>
        <v>72.242</v>
      </c>
      <c r="G267" s="7">
        <f>SUM(G268)</f>
        <v>75.854</v>
      </c>
      <c r="H267" s="7">
        <f>SUM(H268)</f>
        <v>79.116</v>
      </c>
    </row>
    <row r="268" spans="1:8" ht="24.75" customHeight="1">
      <c r="A268" s="32"/>
      <c r="B268" s="10" t="s">
        <v>50</v>
      </c>
      <c r="C268" s="31"/>
      <c r="D268" s="31"/>
      <c r="E268" s="9">
        <f t="shared" si="15"/>
        <v>227.212</v>
      </c>
      <c r="F268" s="9">
        <v>72.242</v>
      </c>
      <c r="G268" s="9">
        <v>75.854</v>
      </c>
      <c r="H268" s="9">
        <v>79.116</v>
      </c>
    </row>
    <row r="269" spans="1:8" ht="24.75" customHeight="1">
      <c r="A269" s="33" t="s">
        <v>112</v>
      </c>
      <c r="B269" s="10"/>
      <c r="C269" s="31" t="s">
        <v>45</v>
      </c>
      <c r="D269" s="31" t="s">
        <v>9</v>
      </c>
      <c r="E269" s="7">
        <f>F269+G269+H269</f>
        <v>93.893</v>
      </c>
      <c r="F269" s="7">
        <f>SUM(F270)</f>
        <v>93.893</v>
      </c>
      <c r="G269" s="7">
        <f>SUM(G270)</f>
        <v>0</v>
      </c>
      <c r="H269" s="7">
        <f>SUM(H270)</f>
        <v>0</v>
      </c>
    </row>
    <row r="270" spans="1:8" ht="25.5">
      <c r="A270" s="34"/>
      <c r="B270" s="8" t="s">
        <v>106</v>
      </c>
      <c r="C270" s="31"/>
      <c r="D270" s="31"/>
      <c r="E270" s="9">
        <f t="shared" si="15"/>
        <v>93.893</v>
      </c>
      <c r="F270" s="9">
        <f>20+73.893</f>
        <v>93.893</v>
      </c>
      <c r="G270" s="9"/>
      <c r="H270" s="9"/>
    </row>
    <row r="271" spans="1:8" ht="12.75">
      <c r="A271" s="45" t="s">
        <v>86</v>
      </c>
      <c r="B271" s="45"/>
      <c r="C271" s="45"/>
      <c r="D271" s="45"/>
      <c r="E271" s="45"/>
      <c r="F271" s="45"/>
      <c r="G271" s="45"/>
      <c r="H271" s="45"/>
    </row>
    <row r="272" spans="1:8" ht="12.75" customHeight="1">
      <c r="A272" s="33" t="s">
        <v>87</v>
      </c>
      <c r="B272" s="5"/>
      <c r="C272" s="38" t="s">
        <v>8</v>
      </c>
      <c r="D272" s="38" t="s">
        <v>9</v>
      </c>
      <c r="E272" s="7">
        <f>F272+G272+H272</f>
        <v>680.498</v>
      </c>
      <c r="F272" s="7">
        <f>F273+F274</f>
        <v>331.597</v>
      </c>
      <c r="G272" s="7">
        <f>G273+G274</f>
        <v>170.73</v>
      </c>
      <c r="H272" s="7">
        <f>H273+H274</f>
        <v>178.171</v>
      </c>
    </row>
    <row r="273" spans="1:8" ht="67.5" customHeight="1">
      <c r="A273" s="29"/>
      <c r="B273" s="8" t="s">
        <v>88</v>
      </c>
      <c r="C273" s="39"/>
      <c r="D273" s="39"/>
      <c r="E273" s="9">
        <f>F273+G273+H273</f>
        <v>544.501</v>
      </c>
      <c r="F273" s="9">
        <f>162.6+33</f>
        <v>195.6</v>
      </c>
      <c r="G273" s="9">
        <v>170.73</v>
      </c>
      <c r="H273" s="9">
        <v>178.171</v>
      </c>
    </row>
    <row r="274" spans="1:8" ht="25.5">
      <c r="A274" s="34"/>
      <c r="B274" s="8" t="s">
        <v>106</v>
      </c>
      <c r="C274" s="40"/>
      <c r="D274" s="40"/>
      <c r="E274" s="9">
        <f>F274+G274+H274</f>
        <v>135.997</v>
      </c>
      <c r="F274" s="9">
        <v>135.997</v>
      </c>
      <c r="G274" s="9"/>
      <c r="H274" s="9"/>
    </row>
    <row r="275" spans="1:8" ht="12.75" customHeight="1">
      <c r="A275" s="47" t="s">
        <v>89</v>
      </c>
      <c r="B275" s="27"/>
      <c r="C275" s="27"/>
      <c r="D275" s="27"/>
      <c r="E275" s="27"/>
      <c r="F275" s="27"/>
      <c r="G275" s="27"/>
      <c r="H275" s="28"/>
    </row>
    <row r="276" spans="1:8" ht="12.75" customHeight="1">
      <c r="A276" s="35" t="s">
        <v>90</v>
      </c>
      <c r="B276" s="5"/>
      <c r="C276" s="38" t="s">
        <v>8</v>
      </c>
      <c r="D276" s="38" t="s">
        <v>9</v>
      </c>
      <c r="E276" s="7">
        <f>F276+G276+H276</f>
        <v>10047.898000000001</v>
      </c>
      <c r="F276" s="7">
        <f>F277+F278+F279</f>
        <v>10047.898000000001</v>
      </c>
      <c r="G276" s="7">
        <f>G277+G278+G279</f>
        <v>0</v>
      </c>
      <c r="H276" s="7">
        <f>H277+H278+H279</f>
        <v>0</v>
      </c>
    </row>
    <row r="277" spans="1:8" ht="51">
      <c r="A277" s="36"/>
      <c r="B277" s="8" t="s">
        <v>113</v>
      </c>
      <c r="C277" s="39"/>
      <c r="D277" s="39"/>
      <c r="E277" s="9">
        <f>F277+G277+H277</f>
        <v>45.761</v>
      </c>
      <c r="F277" s="9">
        <v>45.761</v>
      </c>
      <c r="G277" s="9"/>
      <c r="H277" s="9"/>
    </row>
    <row r="278" spans="1:8" ht="51">
      <c r="A278" s="36"/>
      <c r="B278" s="8" t="s">
        <v>115</v>
      </c>
      <c r="C278" s="39"/>
      <c r="D278" s="39"/>
      <c r="E278" s="9">
        <f>F278+G278+H278</f>
        <v>8741.82</v>
      </c>
      <c r="F278" s="9">
        <f>1449.3+3000+992.52+1600+1700</f>
        <v>8741.82</v>
      </c>
      <c r="G278" s="9"/>
      <c r="H278" s="9"/>
    </row>
    <row r="279" spans="1:8" ht="63.75">
      <c r="A279" s="36"/>
      <c r="B279" s="8" t="s">
        <v>114</v>
      </c>
      <c r="C279" s="39"/>
      <c r="D279" s="39"/>
      <c r="E279" s="9">
        <f>F279+G279+H279</f>
        <v>1260.317</v>
      </c>
      <c r="F279" s="9">
        <f>64.15+399.814-399.814+50.176+50.01+696.167+399.814</f>
        <v>1260.317</v>
      </c>
      <c r="G279" s="9"/>
      <c r="H279" s="9"/>
    </row>
    <row r="280" spans="1:8" s="2" customFormat="1" ht="12.75">
      <c r="A280" s="45" t="s">
        <v>184</v>
      </c>
      <c r="B280" s="45"/>
      <c r="C280" s="45"/>
      <c r="D280" s="45"/>
      <c r="E280" s="45"/>
      <c r="F280" s="45"/>
      <c r="G280" s="45"/>
      <c r="H280" s="45"/>
    </row>
    <row r="281" spans="1:8" s="2" customFormat="1" ht="12.75" customHeight="1">
      <c r="A281" s="33" t="s">
        <v>85</v>
      </c>
      <c r="B281" s="5"/>
      <c r="C281" s="38" t="s">
        <v>8</v>
      </c>
      <c r="D281" s="38" t="s">
        <v>9</v>
      </c>
      <c r="E281" s="7">
        <f>F281+G281+H281</f>
        <v>324.172</v>
      </c>
      <c r="F281" s="7">
        <f>F282+F283+F284</f>
        <v>113.947</v>
      </c>
      <c r="G281" s="7">
        <f>G282+G283+G284</f>
        <v>102.9</v>
      </c>
      <c r="H281" s="7">
        <f>H282+H283+H284</f>
        <v>107.325</v>
      </c>
    </row>
    <row r="282" spans="1:8" s="2" customFormat="1" ht="76.5">
      <c r="A282" s="29"/>
      <c r="B282" s="8" t="s">
        <v>84</v>
      </c>
      <c r="C282" s="39"/>
      <c r="D282" s="39"/>
      <c r="E282" s="9">
        <f>F282+G282+H282</f>
        <v>300.462</v>
      </c>
      <c r="F282" s="9">
        <f>98-7.763</f>
        <v>90.237</v>
      </c>
      <c r="G282" s="9">
        <v>102.9</v>
      </c>
      <c r="H282" s="9">
        <v>107.325</v>
      </c>
    </row>
    <row r="283" spans="1:8" s="2" customFormat="1" ht="25.5">
      <c r="A283" s="29"/>
      <c r="B283" s="8" t="s">
        <v>185</v>
      </c>
      <c r="C283" s="39"/>
      <c r="D283" s="39"/>
      <c r="E283" s="9">
        <f>F283+G283+H283</f>
        <v>7.763</v>
      </c>
      <c r="F283" s="9">
        <v>7.763</v>
      </c>
      <c r="G283" s="9"/>
      <c r="H283" s="9"/>
    </row>
    <row r="284" spans="1:8" s="2" customFormat="1" ht="25.5">
      <c r="A284" s="34"/>
      <c r="B284" s="8" t="s">
        <v>106</v>
      </c>
      <c r="C284" s="40"/>
      <c r="D284" s="40"/>
      <c r="E284" s="9">
        <f>F284+G284+H284</f>
        <v>15.947</v>
      </c>
      <c r="F284" s="9">
        <v>15.947</v>
      </c>
      <c r="G284" s="9"/>
      <c r="H284" s="9"/>
    </row>
    <row r="285" spans="1:8" ht="12.75">
      <c r="A285" s="11" t="s">
        <v>101</v>
      </c>
      <c r="B285" s="11"/>
      <c r="C285" s="5"/>
      <c r="D285" s="5"/>
      <c r="E285" s="7">
        <f>F285+G285+H285</f>
        <v>725832.544</v>
      </c>
      <c r="F285" s="7">
        <f>F16+F35+F53+F67+F71+F74+F86+F93+F98+F116+F134+F137+F141+F143+F148+F151+F153+F155+F159+F166+F170+F172+F178+F180+F182+F189+F192+F194+F196+F202+F207+F209+F213+F215+F217+F222+F226+F229+F231+F233+F237+F242+F244+F247+F249+F251+F255+F261+F265+F267+F269+F272+F276+F281</f>
        <v>263650.292</v>
      </c>
      <c r="G285" s="7">
        <f>G16+G35+G53+G67+G71+G74+G86+G93+G98+G116+G134+G137+G141+G143+G148+G151+G153+G155+G159+G166+G170+G172+G178+G180+G182+G189+G192+G194+G196+G202+G207+G209+G213+G215+G217+G222+G226+G229+G231+G233+G237+G242+G244+G247+G249+G251+G255+G261+G265+G267+G269+G272+G276+G281</f>
        <v>267652.01900000003</v>
      </c>
      <c r="H285" s="7">
        <f>H16+H35+H53+H67+H71+H74+H86+H93+H98+H116+H134+H137+H141+H143+H148+H151+H153+H155+H159+H166+H170+H172+H178+H180+H182+H189+H192+H194+H196+H202+H207+H209+H213+H215+H217+H222+H226+H229+H231+H233+H237+H242+H244+H247+H249+H251+H255+H261+H265+H267+H269+H272+H276+H281</f>
        <v>194530.23300000007</v>
      </c>
    </row>
    <row r="286" spans="1:8" ht="12.75">
      <c r="A286" s="47" t="s">
        <v>170</v>
      </c>
      <c r="B286" s="27"/>
      <c r="C286" s="27"/>
      <c r="D286" s="27"/>
      <c r="E286" s="27"/>
      <c r="F286" s="27"/>
      <c r="G286" s="27"/>
      <c r="H286" s="28"/>
    </row>
    <row r="287" spans="1:8" ht="12.75">
      <c r="A287" s="5"/>
      <c r="B287" s="5"/>
      <c r="C287" s="56"/>
      <c r="D287" s="38" t="s">
        <v>169</v>
      </c>
      <c r="E287" s="7">
        <f>F287+G287+H287</f>
        <v>4975</v>
      </c>
      <c r="F287" s="7">
        <f>F288+F289+F290+F291</f>
        <v>4975</v>
      </c>
      <c r="G287" s="7">
        <f>G288+G289+G290+G291</f>
        <v>0</v>
      </c>
      <c r="H287" s="7">
        <f>H288+H289+H290+H291</f>
        <v>0</v>
      </c>
    </row>
    <row r="288" spans="1:8" ht="120">
      <c r="A288" s="35" t="s">
        <v>168</v>
      </c>
      <c r="B288" s="25" t="s">
        <v>178</v>
      </c>
      <c r="C288" s="57"/>
      <c r="D288" s="39"/>
      <c r="E288" s="9">
        <f>F288+G288+H288</f>
        <v>2400</v>
      </c>
      <c r="F288" s="9">
        <v>2400</v>
      </c>
      <c r="G288" s="9"/>
      <c r="H288" s="9"/>
    </row>
    <row r="289" spans="1:8" ht="216">
      <c r="A289" s="37"/>
      <c r="B289" s="25" t="s">
        <v>192</v>
      </c>
      <c r="C289" s="57"/>
      <c r="D289" s="39"/>
      <c r="E289" s="9">
        <f>F289+G289+H289</f>
        <v>1200</v>
      </c>
      <c r="F289" s="9">
        <v>1200</v>
      </c>
      <c r="G289" s="9"/>
      <c r="H289" s="9"/>
    </row>
    <row r="290" spans="1:8" ht="192">
      <c r="A290" s="26" t="s">
        <v>204</v>
      </c>
      <c r="B290" s="25" t="s">
        <v>203</v>
      </c>
      <c r="C290" s="57"/>
      <c r="D290" s="39"/>
      <c r="E290" s="9">
        <f>F290+G290+H290</f>
        <v>1000</v>
      </c>
      <c r="F290" s="9">
        <v>1000</v>
      </c>
      <c r="G290" s="9"/>
      <c r="H290" s="9"/>
    </row>
    <row r="291" spans="1:8" ht="108">
      <c r="A291" s="11" t="s">
        <v>171</v>
      </c>
      <c r="B291" s="25" t="s">
        <v>193</v>
      </c>
      <c r="C291" s="58"/>
      <c r="D291" s="40"/>
      <c r="E291" s="9">
        <f>F291+G291+H291</f>
        <v>375</v>
      </c>
      <c r="F291" s="9">
        <v>375</v>
      </c>
      <c r="G291" s="9"/>
      <c r="H291" s="9"/>
    </row>
    <row r="293" ht="12.75">
      <c r="F293" s="15"/>
    </row>
    <row r="294" spans="1:8" s="16" customFormat="1" ht="18.75">
      <c r="A294" s="46" t="s">
        <v>102</v>
      </c>
      <c r="B294" s="46"/>
      <c r="C294" s="17"/>
      <c r="D294" s="17"/>
      <c r="E294" s="17"/>
      <c r="F294" s="17"/>
      <c r="G294" s="46" t="s">
        <v>103</v>
      </c>
      <c r="H294" s="46"/>
    </row>
  </sheetData>
  <sheetProtection/>
  <mergeCells count="194">
    <mergeCell ref="C287:C291"/>
    <mergeCell ref="D287:D291"/>
    <mergeCell ref="C281:C284"/>
    <mergeCell ref="C134:C135"/>
    <mergeCell ref="D134:D135"/>
    <mergeCell ref="D226:D228"/>
    <mergeCell ref="C180:C181"/>
    <mergeCell ref="D180:D181"/>
    <mergeCell ref="D172:D177"/>
    <mergeCell ref="C172:C177"/>
    <mergeCell ref="D222:D225"/>
    <mergeCell ref="A66:H66"/>
    <mergeCell ref="A67:A69"/>
    <mergeCell ref="C67:C69"/>
    <mergeCell ref="D67:D69"/>
    <mergeCell ref="C98:C114"/>
    <mergeCell ref="D207:D208"/>
    <mergeCell ref="D143:D147"/>
    <mergeCell ref="A134:A136"/>
    <mergeCell ref="C141:C142"/>
    <mergeCell ref="D159:D165"/>
    <mergeCell ref="D189:D191"/>
    <mergeCell ref="A98:A115"/>
    <mergeCell ref="D155:D158"/>
    <mergeCell ref="D98:D114"/>
    <mergeCell ref="C143:C147"/>
    <mergeCell ref="C151:C152"/>
    <mergeCell ref="C116:C133"/>
    <mergeCell ref="C153:C154"/>
    <mergeCell ref="D141:D142"/>
    <mergeCell ref="D148:D150"/>
    <mergeCell ref="A151:A152"/>
    <mergeCell ref="D151:D152"/>
    <mergeCell ref="D86:D92"/>
    <mergeCell ref="D116:D133"/>
    <mergeCell ref="A141:A142"/>
    <mergeCell ref="A137:A140"/>
    <mergeCell ref="C137:C140"/>
    <mergeCell ref="D137:D140"/>
    <mergeCell ref="C74:C85"/>
    <mergeCell ref="A86:A92"/>
    <mergeCell ref="A74:A85"/>
    <mergeCell ref="C86:C92"/>
    <mergeCell ref="A172:A177"/>
    <mergeCell ref="G294:H294"/>
    <mergeCell ref="C207:C208"/>
    <mergeCell ref="D276:D279"/>
    <mergeCell ref="D255:D260"/>
    <mergeCell ref="D231:D232"/>
    <mergeCell ref="D249:D250"/>
    <mergeCell ref="D244:D246"/>
    <mergeCell ref="A288:A289"/>
    <mergeCell ref="A217:A221"/>
    <mergeCell ref="A34:H34"/>
    <mergeCell ref="A35:A51"/>
    <mergeCell ref="C35:C51"/>
    <mergeCell ref="A170:A171"/>
    <mergeCell ref="A166:A169"/>
    <mergeCell ref="C93:C97"/>
    <mergeCell ref="A70:H70"/>
    <mergeCell ref="A71:A72"/>
    <mergeCell ref="C71:C72"/>
    <mergeCell ref="D71:D72"/>
    <mergeCell ref="A15:H15"/>
    <mergeCell ref="A16:A33"/>
    <mergeCell ref="C16:C33"/>
    <mergeCell ref="D16:D33"/>
    <mergeCell ref="C60:C61"/>
    <mergeCell ref="C64:C65"/>
    <mergeCell ref="D62:D63"/>
    <mergeCell ref="D53:D59"/>
    <mergeCell ref="C62:C63"/>
    <mergeCell ref="D242:D243"/>
    <mergeCell ref="C276:C279"/>
    <mergeCell ref="A52:H52"/>
    <mergeCell ref="D93:D97"/>
    <mergeCell ref="A93:A97"/>
    <mergeCell ref="D64:D65"/>
    <mergeCell ref="C166:C169"/>
    <mergeCell ref="A178:A179"/>
    <mergeCell ref="A180:A181"/>
    <mergeCell ref="D229:D230"/>
    <mergeCell ref="D217:D221"/>
    <mergeCell ref="D213:D214"/>
    <mergeCell ref="C217:C221"/>
    <mergeCell ref="D215:D216"/>
    <mergeCell ref="C213:C214"/>
    <mergeCell ref="C229:C230"/>
    <mergeCell ref="A233:A236"/>
    <mergeCell ref="C222:C225"/>
    <mergeCell ref="C226:C228"/>
    <mergeCell ref="A226:A228"/>
    <mergeCell ref="A229:A230"/>
    <mergeCell ref="A222:A225"/>
    <mergeCell ref="D11:D13"/>
    <mergeCell ref="A11:A13"/>
    <mergeCell ref="B11:B13"/>
    <mergeCell ref="C215:C216"/>
    <mergeCell ref="A189:A191"/>
    <mergeCell ref="C178:C179"/>
    <mergeCell ref="C209:C212"/>
    <mergeCell ref="D209:D212"/>
    <mergeCell ref="A215:A216"/>
    <mergeCell ref="A53:A65"/>
    <mergeCell ref="A276:A279"/>
    <mergeCell ref="C272:C274"/>
    <mergeCell ref="D272:D274"/>
    <mergeCell ref="F1:H1"/>
    <mergeCell ref="F2:H2"/>
    <mergeCell ref="E12:E13"/>
    <mergeCell ref="F12:H12"/>
    <mergeCell ref="E11:H11"/>
    <mergeCell ref="A8:H8"/>
    <mergeCell ref="A9:H9"/>
    <mergeCell ref="C255:C260"/>
    <mergeCell ref="C265:C266"/>
    <mergeCell ref="C251:C254"/>
    <mergeCell ref="A286:H286"/>
    <mergeCell ref="A271:H271"/>
    <mergeCell ref="A281:A284"/>
    <mergeCell ref="A272:A274"/>
    <mergeCell ref="D281:D284"/>
    <mergeCell ref="A275:H275"/>
    <mergeCell ref="A280:H280"/>
    <mergeCell ref="D269:D270"/>
    <mergeCell ref="A269:A270"/>
    <mergeCell ref="D267:D268"/>
    <mergeCell ref="C261:C264"/>
    <mergeCell ref="D261:D264"/>
    <mergeCell ref="A294:B294"/>
    <mergeCell ref="C269:C270"/>
    <mergeCell ref="A237:A241"/>
    <mergeCell ref="C237:C241"/>
    <mergeCell ref="A242:A243"/>
    <mergeCell ref="C242:C243"/>
    <mergeCell ref="A267:A268"/>
    <mergeCell ref="C244:C246"/>
    <mergeCell ref="C247:C248"/>
    <mergeCell ref="C267:C268"/>
    <mergeCell ref="C155:C158"/>
    <mergeCell ref="A153:A154"/>
    <mergeCell ref="F3:H3"/>
    <mergeCell ref="F5:H5"/>
    <mergeCell ref="F6:H6"/>
    <mergeCell ref="D74:D85"/>
    <mergeCell ref="D35:D51"/>
    <mergeCell ref="D60:D61"/>
    <mergeCell ref="A73:H73"/>
    <mergeCell ref="C53:C59"/>
    <mergeCell ref="C189:C191"/>
    <mergeCell ref="D182:D188"/>
    <mergeCell ref="C11:C13"/>
    <mergeCell ref="A159:A165"/>
    <mergeCell ref="C159:C165"/>
    <mergeCell ref="A148:A150"/>
    <mergeCell ref="A116:A133"/>
    <mergeCell ref="A143:A147"/>
    <mergeCell ref="C148:C150"/>
    <mergeCell ref="A155:A158"/>
    <mergeCell ref="D178:D179"/>
    <mergeCell ref="D166:D169"/>
    <mergeCell ref="A244:A246"/>
    <mergeCell ref="C196:C201"/>
    <mergeCell ref="D192:D193"/>
    <mergeCell ref="D237:D241"/>
    <mergeCell ref="A231:A232"/>
    <mergeCell ref="C231:C232"/>
    <mergeCell ref="C233:C236"/>
    <mergeCell ref="D233:D236"/>
    <mergeCell ref="A213:A214"/>
    <mergeCell ref="A196:A201"/>
    <mergeCell ref="A207:A208"/>
    <mergeCell ref="A209:A212"/>
    <mergeCell ref="A202:A206"/>
    <mergeCell ref="A192:A193"/>
    <mergeCell ref="A182:A188"/>
    <mergeCell ref="A194:A195"/>
    <mergeCell ref="D202:D206"/>
    <mergeCell ref="C202:C206"/>
    <mergeCell ref="C194:C195"/>
    <mergeCell ref="D194:D195"/>
    <mergeCell ref="D196:D201"/>
    <mergeCell ref="C182:C188"/>
    <mergeCell ref="C192:C193"/>
    <mergeCell ref="D247:D248"/>
    <mergeCell ref="D265:D266"/>
    <mergeCell ref="A255:A260"/>
    <mergeCell ref="A249:A250"/>
    <mergeCell ref="A251:A254"/>
    <mergeCell ref="A265:A266"/>
    <mergeCell ref="A261:A264"/>
    <mergeCell ref="A247:A248"/>
    <mergeCell ref="C249:C250"/>
    <mergeCell ref="D251:D254"/>
  </mergeCells>
  <printOptions/>
  <pageMargins left="0.7874015748031497" right="0.3937007874015748" top="0.7874015748031497" bottom="0.3937007874015748" header="0.3937007874015748" footer="0"/>
  <pageSetup fitToHeight="25" horizontalDpi="600" verticalDpi="600" orientation="landscape" paperSize="9" scale="91" r:id="rId1"/>
  <headerFooter alignWithMargins="0">
    <oddHeader>&amp;C&amp;P</oddHeader>
  </headerFooter>
  <rowBreaks count="1" manualBreakCount="1">
    <brk id="2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2013-08-30T10:06:06Z</cp:lastPrinted>
  <dcterms:created xsi:type="dcterms:W3CDTF">1996-10-08T23:32:33Z</dcterms:created>
  <dcterms:modified xsi:type="dcterms:W3CDTF">2013-09-04T07:23:21Z</dcterms:modified>
  <cp:category/>
  <cp:version/>
  <cp:contentType/>
  <cp:contentStatus/>
</cp:coreProperties>
</file>