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'лист'!$A$1:$G$319</definedName>
  </definedNames>
  <calcPr fullCalcOnLoad="1"/>
</workbook>
</file>

<file path=xl/sharedStrings.xml><?xml version="1.0" encoding="utf-8"?>
<sst xmlns="http://schemas.openxmlformats.org/spreadsheetml/2006/main" count="673" uniqueCount="299">
  <si>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</si>
  <si>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</si>
  <si>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</si>
  <si>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</si>
  <si>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</si>
  <si>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</si>
  <si>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</si>
  <si>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</si>
  <si>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</si>
  <si>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</si>
  <si>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</si>
  <si>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</si>
  <si>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</si>
  <si>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</si>
  <si>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</si>
  <si>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</si>
  <si>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</si>
  <si>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</si>
  <si>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</si>
  <si>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</si>
  <si>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</si>
  <si>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</si>
  <si>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</si>
  <si>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</si>
  <si>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</si>
  <si>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</si>
  <si>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</si>
  <si>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</si>
  <si>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</si>
  <si>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</si>
  <si>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</si>
  <si>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</si>
  <si>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</si>
  <si>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</si>
  <si>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</si>
  <si>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</si>
  <si>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</si>
  <si>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</si>
  <si>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</si>
  <si>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</si>
  <si>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</si>
  <si>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</si>
  <si>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</si>
  <si>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</si>
  <si>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</si>
  <si>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</si>
  <si>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</si>
  <si>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</si>
  <si>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</si>
  <si>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</si>
  <si>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</si>
  <si>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</si>
  <si>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</si>
  <si>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</si>
  <si>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</si>
  <si>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</si>
  <si>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</si>
  <si>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</si>
  <si>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</si>
  <si>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</si>
  <si>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</si>
  <si>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</si>
  <si>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</si>
  <si>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</si>
  <si>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</si>
  <si>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</si>
  <si>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</si>
  <si>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</si>
  <si>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</si>
  <si>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</si>
  <si>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</si>
  <si>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</si>
  <si>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</si>
  <si>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</si>
  <si>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</si>
  <si>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</si>
  <si>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</si>
  <si>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</si>
  <si>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</si>
  <si>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</si>
  <si>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</si>
  <si>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</si>
  <si>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</si>
  <si>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</si>
  <si>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</si>
  <si>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</si>
  <si>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</si>
  <si>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</si>
  <si>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</si>
  <si>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</si>
  <si>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</si>
  <si>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</si>
  <si>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</si>
  <si>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</si>
  <si>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</si>
  <si>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</si>
  <si>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</si>
  <si>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</si>
  <si>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</si>
  <si>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</si>
  <si>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</si>
  <si>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</si>
  <si>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</si>
  <si>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</si>
  <si>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</si>
  <si>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</si>
  <si>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</si>
  <si>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</si>
  <si>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</si>
  <si>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</si>
  <si>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</si>
  <si>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</si>
  <si>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</si>
  <si>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</si>
  <si>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</si>
  <si>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</si>
  <si>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</si>
  <si>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</si>
  <si>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</si>
  <si>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</si>
  <si>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</si>
  <si>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</si>
  <si>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</si>
  <si>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</si>
  <si>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</si>
  <si>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</si>
  <si>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</si>
  <si>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</si>
  <si>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</si>
  <si>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</si>
  <si>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</si>
  <si>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</si>
  <si>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</si>
  <si>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</si>
  <si>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</si>
  <si>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</si>
  <si>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</si>
  <si>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</si>
  <si>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</si>
  <si>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</si>
  <si>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</si>
  <si>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</si>
  <si>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</si>
  <si>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</si>
  <si>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</si>
  <si>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</si>
  <si>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</si>
  <si>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</si>
  <si>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</si>
  <si>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</si>
  <si>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</si>
  <si>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</si>
  <si>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</si>
  <si>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</si>
  <si>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</si>
  <si>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</si>
  <si>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</si>
  <si>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</si>
  <si>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</si>
  <si>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</si>
  <si>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</si>
  <si>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</si>
  <si>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</si>
  <si>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</si>
  <si>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</si>
  <si>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</si>
  <si>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</si>
  <si>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</si>
  <si>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</si>
  <si>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</si>
  <si>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</si>
  <si>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</si>
  <si>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</si>
  <si>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</si>
  <si>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</si>
  <si>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</si>
  <si>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</si>
  <si>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</si>
  <si>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</si>
  <si>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</si>
  <si>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</si>
  <si>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</si>
  <si>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</si>
  <si>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</si>
  <si>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</si>
  <si>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</si>
  <si>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</si>
  <si>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</si>
  <si>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</si>
  <si>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</si>
  <si>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</si>
  <si>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</si>
  <si>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</si>
  <si>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</si>
  <si>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</si>
  <si>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</si>
  <si>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</si>
  <si>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</si>
  <si>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</si>
  <si>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</si>
  <si>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</si>
  <si>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</si>
  <si>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</si>
  <si>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</si>
  <si>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</si>
  <si>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</si>
  <si>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</si>
  <si>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</si>
  <si>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</si>
  <si>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</si>
  <si>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</si>
  <si>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</si>
  <si>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</si>
  <si>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</si>
  <si>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</si>
  <si>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</si>
  <si>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</si>
  <si>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</si>
  <si>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допомоги", затверджена рішенням міської ради від 25.02.2013 № 25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</si>
  <si>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</si>
  <si>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</si>
  <si>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</si>
  <si>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</si>
  <si>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"Розвиток культури і мистецтв у місті Запоріжжя на 2013-2015 роки" 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</si>
  <si>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</si>
  <si>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</si>
  <si>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</si>
  <si>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 21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</si>
  <si>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</si>
  <si>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</si>
  <si>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</si>
  <si>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</si>
  <si>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</si>
  <si>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</si>
  <si>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</si>
  <si>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</si>
  <si>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24.12.2012 № 15 (зі змінами)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</si>
  <si>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</si>
  <si>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</si>
  <si>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</si>
  <si>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</si>
  <si>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</si>
  <si>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</si>
  <si>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</si>
  <si>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</si>
  <si>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Міська комплексна програма соціального захисту населення міста Запоріжжя, затверджена рішенням міської ради від 30.01.2013 № 24 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</si>
  <si>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</si>
  <si>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Міська комплексна програма соціального захисту населення міста Запоріжжя  затверджена рішенням міської ради від 30.01.2013 № 24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</si>
  <si>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</si>
  <si>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</si>
  <si>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</si>
  <si>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</si>
  <si>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</si>
  <si>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</si>
  <si>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</si>
  <si>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</si>
  <si>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</si>
  <si>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власні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</si>
  <si>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</si>
  <si>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</si>
  <si>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</si>
  <si>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бюдж.р. + 170703 + 240601 + 240900</t>
  </si>
  <si>
    <t>откл.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</si>
  <si>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</si>
  <si>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 38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</si>
  <si>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</si>
  <si>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</si>
  <si>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</si>
  <si>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</si>
  <si>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</si>
  <si>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</si>
  <si>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</si>
  <si>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</si>
  <si>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</si>
  <si>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</si>
  <si>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</si>
  <si>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</si>
  <si>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</si>
  <si>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</si>
  <si>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</si>
  <si>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</si>
  <si>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</si>
  <si>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</si>
  <si>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</si>
  <si>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</si>
  <si>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</si>
  <si>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</si>
  <si>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</si>
  <si>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Програма реконструкції ринку Соцміста КП "Запоріжринок" по вул.Рекордна, 2  у м.Запоріжжя на 2013 рік, затверджена рішенням міської ради від 25.02.2013 № 20 (зі змінами)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</si>
  <si>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року, затврдженого рішенням міської ради від 28.08.13 № 38</t>
  </si>
  <si>
    <t>Міська цільова програма житлового будівництва та придбання житла для окремих категорій населення на 2013-2015 роки, затверджена рішенням міської ради від 26.06.2013 № 12 (зі змінами)</t>
  </si>
  <si>
    <t>Міська цільова програма роботи й розвитку газети Запорізької міської ради "Запорозька Січ", затверджена рішенням міської ради від 30.01.2013 № 14 (зі змінами)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</si>
  <si>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</si>
  <si>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раджи від 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</si>
  <si>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</si>
  <si>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</si>
  <si>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</si>
  <si>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</si>
  <si>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r>
      <t xml:space="preserve">                                     </t>
    </r>
    <r>
      <rPr>
        <b/>
        <u val="single"/>
        <sz val="22"/>
        <rFont val="Times New Roman"/>
        <family val="1"/>
      </rPr>
      <t>29.11.2013 №22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</si>
</sst>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1" fontId="17" fillId="26" borderId="0" xfId="0" applyNumberFormat="1" applyFont="1" applyFill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89;&#1077;&#1088;&#1087;&#1077;&#1085;&#1100;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83;&#1080;&#1089;&#1090;&#1086;&#1087;&#1072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K11">
            <v>1508940</v>
          </cell>
        </row>
        <row r="13">
          <cell r="K13">
            <v>608346</v>
          </cell>
        </row>
        <row r="16">
          <cell r="C16">
            <v>568541</v>
          </cell>
          <cell r="F16">
            <v>61850</v>
          </cell>
        </row>
        <row r="19">
          <cell r="F19">
            <v>785192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251541</v>
          </cell>
          <cell r="G27">
            <v>251541</v>
          </cell>
        </row>
        <row r="32">
          <cell r="C32">
            <v>120000</v>
          </cell>
          <cell r="F32">
            <v>0</v>
          </cell>
        </row>
        <row r="33">
          <cell r="C33">
            <v>368153</v>
          </cell>
          <cell r="F33">
            <v>0</v>
          </cell>
        </row>
        <row r="34">
          <cell r="C34">
            <v>304457</v>
          </cell>
        </row>
        <row r="35">
          <cell r="C35">
            <v>3230438</v>
          </cell>
        </row>
        <row r="36">
          <cell r="C36">
            <v>0</v>
          </cell>
        </row>
        <row r="37">
          <cell r="C37">
            <v>6198</v>
          </cell>
        </row>
        <row r="38">
          <cell r="C38">
            <v>5151</v>
          </cell>
        </row>
        <row r="39">
          <cell r="K39">
            <v>26997420</v>
          </cell>
        </row>
        <row r="43">
          <cell r="J43">
            <v>2768246</v>
          </cell>
          <cell r="K43">
            <v>2768246</v>
          </cell>
        </row>
        <row r="45">
          <cell r="K45">
            <v>5748979</v>
          </cell>
        </row>
        <row r="47">
          <cell r="K47">
            <v>18000</v>
          </cell>
        </row>
        <row r="49">
          <cell r="C49">
            <v>29364712</v>
          </cell>
          <cell r="F49">
            <v>806168</v>
          </cell>
          <cell r="K49">
            <v>249619</v>
          </cell>
        </row>
        <row r="53">
          <cell r="K53">
            <v>17500</v>
          </cell>
        </row>
        <row r="61">
          <cell r="C61">
            <v>0</v>
          </cell>
        </row>
        <row r="62">
          <cell r="C62">
            <v>598798</v>
          </cell>
        </row>
        <row r="63">
          <cell r="C63">
            <v>3509778</v>
          </cell>
        </row>
        <row r="65">
          <cell r="C65">
            <v>284901</v>
          </cell>
        </row>
        <row r="66">
          <cell r="C66">
            <v>81595</v>
          </cell>
        </row>
        <row r="67">
          <cell r="K67">
            <v>59500</v>
          </cell>
        </row>
        <row r="69">
          <cell r="C69">
            <v>438784</v>
          </cell>
          <cell r="F69">
            <v>42080</v>
          </cell>
        </row>
        <row r="72">
          <cell r="K72">
            <v>18135576</v>
          </cell>
        </row>
        <row r="78">
          <cell r="F78">
            <v>572095</v>
          </cell>
        </row>
        <row r="85">
          <cell r="J85">
            <v>11676694</v>
          </cell>
        </row>
        <row r="86">
          <cell r="J86">
            <v>8468510</v>
          </cell>
        </row>
        <row r="88">
          <cell r="J88">
            <v>887608</v>
          </cell>
        </row>
        <row r="89">
          <cell r="J89">
            <v>1179736</v>
          </cell>
        </row>
        <row r="91">
          <cell r="J91">
            <v>183616</v>
          </cell>
        </row>
        <row r="93">
          <cell r="J93">
            <v>957224</v>
          </cell>
          <cell r="K93">
            <v>957224</v>
          </cell>
        </row>
        <row r="96">
          <cell r="F96">
            <v>0</v>
          </cell>
        </row>
        <row r="97">
          <cell r="C97">
            <v>2871759</v>
          </cell>
        </row>
        <row r="99">
          <cell r="F99">
            <v>16263732</v>
          </cell>
          <cell r="K99">
            <v>16263732</v>
          </cell>
        </row>
        <row r="105">
          <cell r="K105">
            <v>6434181</v>
          </cell>
        </row>
        <row r="107">
          <cell r="K107">
            <v>285484</v>
          </cell>
        </row>
        <row r="156">
          <cell r="C156">
            <v>9900774</v>
          </cell>
        </row>
        <row r="160">
          <cell r="F160">
            <v>245000</v>
          </cell>
        </row>
        <row r="161">
          <cell r="C161">
            <v>204630</v>
          </cell>
        </row>
        <row r="163">
          <cell r="C163">
            <v>0</v>
          </cell>
        </row>
        <row r="164">
          <cell r="K164">
            <v>477023</v>
          </cell>
        </row>
        <row r="166">
          <cell r="C166">
            <v>888058</v>
          </cell>
        </row>
        <row r="170">
          <cell r="F170">
            <v>5316674</v>
          </cell>
        </row>
        <row r="173">
          <cell r="C173">
            <v>6003355</v>
          </cell>
        </row>
        <row r="174">
          <cell r="C174">
            <v>5856407</v>
          </cell>
        </row>
        <row r="175">
          <cell r="C175">
            <v>1597594</v>
          </cell>
        </row>
        <row r="176">
          <cell r="C176">
            <v>1097594</v>
          </cell>
        </row>
        <row r="179">
          <cell r="C179">
            <v>54179466</v>
          </cell>
        </row>
        <row r="180">
          <cell r="C180">
            <v>40071810</v>
          </cell>
        </row>
        <row r="201">
          <cell r="K201">
            <v>3230781</v>
          </cell>
        </row>
        <row r="205">
          <cell r="K205">
            <v>194379</v>
          </cell>
        </row>
        <row r="206">
          <cell r="J206">
            <v>1290858</v>
          </cell>
        </row>
        <row r="207">
          <cell r="J207">
            <v>306757</v>
          </cell>
        </row>
        <row r="208">
          <cell r="K208">
            <v>1216429</v>
          </cell>
        </row>
        <row r="211">
          <cell r="C211">
            <v>1047685</v>
          </cell>
        </row>
        <row r="212">
          <cell r="F212">
            <v>182076</v>
          </cell>
          <cell r="K212">
            <v>182076</v>
          </cell>
        </row>
        <row r="214">
          <cell r="F214">
            <v>194934</v>
          </cell>
          <cell r="K214">
            <v>194934</v>
          </cell>
        </row>
        <row r="223">
          <cell r="K223">
            <v>508200</v>
          </cell>
        </row>
        <row r="225">
          <cell r="F225">
            <v>37000</v>
          </cell>
        </row>
        <row r="227">
          <cell r="F227">
            <v>471200</v>
          </cell>
        </row>
        <row r="229">
          <cell r="C229">
            <v>108000</v>
          </cell>
        </row>
        <row r="235">
          <cell r="C235">
            <v>351915</v>
          </cell>
        </row>
        <row r="236">
          <cell r="K236">
            <v>43050</v>
          </cell>
        </row>
        <row r="239">
          <cell r="K239">
            <v>113886454</v>
          </cell>
        </row>
        <row r="241">
          <cell r="F241">
            <v>90000</v>
          </cell>
        </row>
        <row r="243">
          <cell r="C243">
            <v>135947</v>
          </cell>
        </row>
        <row r="245">
          <cell r="C245">
            <v>8969685</v>
          </cell>
        </row>
        <row r="251">
          <cell r="F251">
            <v>48255289</v>
          </cell>
        </row>
        <row r="252">
          <cell r="C252">
            <v>0</v>
          </cell>
        </row>
        <row r="253">
          <cell r="F253">
            <v>901811</v>
          </cell>
        </row>
        <row r="254">
          <cell r="C254">
            <v>76100298</v>
          </cell>
          <cell r="F254">
            <v>2567578</v>
          </cell>
        </row>
        <row r="257">
          <cell r="F257">
            <v>24131896</v>
          </cell>
        </row>
        <row r="258">
          <cell r="F258">
            <v>20200000</v>
          </cell>
        </row>
        <row r="260">
          <cell r="F260">
            <v>44254981</v>
          </cell>
        </row>
        <row r="261">
          <cell r="F261">
            <v>44254981</v>
          </cell>
        </row>
        <row r="264">
          <cell r="F264">
            <v>14897731</v>
          </cell>
        </row>
        <row r="266">
          <cell r="F266">
            <v>4357736</v>
          </cell>
          <cell r="J266">
            <v>4357736</v>
          </cell>
        </row>
        <row r="269">
          <cell r="C269">
            <v>9442137</v>
          </cell>
        </row>
        <row r="270">
          <cell r="C270">
            <v>12440165</v>
          </cell>
        </row>
        <row r="271">
          <cell r="C271">
            <v>331597</v>
          </cell>
        </row>
        <row r="273">
          <cell r="C273">
            <v>99000</v>
          </cell>
          <cell r="F273">
            <v>2842149</v>
          </cell>
        </row>
        <row r="286">
          <cell r="F286">
            <v>0</v>
          </cell>
        </row>
        <row r="289">
          <cell r="F289">
            <v>0</v>
          </cell>
        </row>
        <row r="312">
          <cell r="C312">
            <v>0</v>
          </cell>
        </row>
        <row r="315">
          <cell r="C315">
            <v>0</v>
          </cell>
        </row>
        <row r="335">
          <cell r="K335">
            <v>80104</v>
          </cell>
        </row>
        <row r="337">
          <cell r="F337">
            <v>80104</v>
          </cell>
        </row>
        <row r="344">
          <cell r="C344">
            <v>37328</v>
          </cell>
        </row>
        <row r="347">
          <cell r="F347">
            <v>98000</v>
          </cell>
        </row>
        <row r="352">
          <cell r="C352">
            <v>29114</v>
          </cell>
        </row>
        <row r="353">
          <cell r="C353">
            <v>1193904</v>
          </cell>
        </row>
        <row r="354">
          <cell r="C354">
            <v>865650</v>
          </cell>
        </row>
        <row r="358">
          <cell r="G358">
            <v>1707056</v>
          </cell>
          <cell r="K358">
            <v>29000</v>
          </cell>
        </row>
        <row r="360">
          <cell r="F360">
            <v>29000</v>
          </cell>
        </row>
        <row r="362">
          <cell r="F362">
            <v>1707056</v>
          </cell>
        </row>
        <row r="363">
          <cell r="F363">
            <v>41734895</v>
          </cell>
        </row>
        <row r="367">
          <cell r="F367">
            <v>41695595</v>
          </cell>
        </row>
        <row r="368">
          <cell r="F368">
            <v>39300</v>
          </cell>
        </row>
        <row r="371">
          <cell r="C371">
            <v>16733</v>
          </cell>
        </row>
        <row r="372">
          <cell r="F372">
            <v>4610045</v>
          </cell>
        </row>
        <row r="376">
          <cell r="C376">
            <v>2179800</v>
          </cell>
          <cell r="F376">
            <v>0</v>
          </cell>
        </row>
        <row r="378">
          <cell r="F378">
            <v>98000</v>
          </cell>
        </row>
        <row r="381">
          <cell r="C381">
            <v>217929</v>
          </cell>
          <cell r="F381">
            <v>883500</v>
          </cell>
        </row>
        <row r="382">
          <cell r="C382">
            <v>17500000</v>
          </cell>
        </row>
        <row r="384">
          <cell r="F384">
            <v>2158885</v>
          </cell>
        </row>
        <row r="386">
          <cell r="F386">
            <v>1469660</v>
          </cell>
        </row>
        <row r="387">
          <cell r="C387">
            <v>5450274</v>
          </cell>
        </row>
        <row r="390">
          <cell r="C390">
            <v>30340</v>
          </cell>
        </row>
        <row r="395">
          <cell r="C395">
            <v>3263537</v>
          </cell>
          <cell r="F395">
            <v>6768604</v>
          </cell>
        </row>
        <row r="398">
          <cell r="C398">
            <v>2928816</v>
          </cell>
          <cell r="F398">
            <v>122441</v>
          </cell>
        </row>
        <row r="399">
          <cell r="K399">
            <v>4309448</v>
          </cell>
        </row>
        <row r="401">
          <cell r="F401">
            <v>30000</v>
          </cell>
        </row>
        <row r="406">
          <cell r="F406">
            <v>1624545</v>
          </cell>
        </row>
        <row r="411">
          <cell r="F411">
            <v>2654903</v>
          </cell>
        </row>
        <row r="413">
          <cell r="F413">
            <v>0</v>
          </cell>
        </row>
        <row r="416">
          <cell r="C416">
            <v>629895</v>
          </cell>
        </row>
        <row r="420">
          <cell r="C420">
            <v>12273000</v>
          </cell>
        </row>
        <row r="425">
          <cell r="F425">
            <v>0</v>
          </cell>
        </row>
        <row r="427">
          <cell r="C427">
            <v>52253</v>
          </cell>
        </row>
        <row r="430">
          <cell r="K430">
            <v>760407</v>
          </cell>
        </row>
        <row r="432">
          <cell r="F432">
            <v>0</v>
          </cell>
        </row>
        <row r="433">
          <cell r="F433">
            <v>760407</v>
          </cell>
        </row>
        <row r="434">
          <cell r="K434">
            <v>112012</v>
          </cell>
        </row>
        <row r="436">
          <cell r="K436">
            <v>112012</v>
          </cell>
        </row>
        <row r="438">
          <cell r="C438">
            <v>658754</v>
          </cell>
          <cell r="F438">
            <v>0</v>
          </cell>
        </row>
        <row r="440">
          <cell r="K440">
            <v>0</v>
          </cell>
        </row>
        <row r="442">
          <cell r="F442">
            <v>7257</v>
          </cell>
        </row>
        <row r="445">
          <cell r="C445">
            <v>132118</v>
          </cell>
        </row>
        <row r="446">
          <cell r="C446">
            <v>233100</v>
          </cell>
        </row>
        <row r="447">
          <cell r="C447">
            <v>134250</v>
          </cell>
        </row>
        <row r="448">
          <cell r="C448">
            <v>8337</v>
          </cell>
        </row>
        <row r="449">
          <cell r="C449">
            <v>20000</v>
          </cell>
        </row>
        <row r="451">
          <cell r="K451">
            <v>17975</v>
          </cell>
        </row>
        <row r="453">
          <cell r="F453">
            <v>6975</v>
          </cell>
        </row>
        <row r="455">
          <cell r="C455">
            <v>494518</v>
          </cell>
          <cell r="F455">
            <v>15901</v>
          </cell>
          <cell r="G455">
            <v>4901</v>
          </cell>
        </row>
        <row r="459">
          <cell r="F459">
            <v>24248</v>
          </cell>
        </row>
        <row r="462">
          <cell r="C462">
            <v>5735</v>
          </cell>
        </row>
        <row r="463">
          <cell r="C463">
            <v>31950</v>
          </cell>
        </row>
        <row r="464">
          <cell r="C464">
            <v>99900</v>
          </cell>
        </row>
        <row r="465">
          <cell r="C465">
            <v>8337</v>
          </cell>
        </row>
        <row r="466">
          <cell r="C466">
            <v>20000</v>
          </cell>
        </row>
        <row r="468">
          <cell r="K468">
            <v>2186120</v>
          </cell>
        </row>
        <row r="470">
          <cell r="K470">
            <v>6975</v>
          </cell>
        </row>
        <row r="472">
          <cell r="C472">
            <v>813709</v>
          </cell>
          <cell r="F472">
            <v>147972</v>
          </cell>
          <cell r="G472">
            <v>109065</v>
          </cell>
        </row>
        <row r="474">
          <cell r="F474">
            <v>2140238</v>
          </cell>
        </row>
        <row r="475">
          <cell r="F475">
            <v>22683</v>
          </cell>
        </row>
        <row r="476">
          <cell r="F476">
            <v>22683</v>
          </cell>
        </row>
        <row r="479">
          <cell r="C479">
            <v>86135</v>
          </cell>
        </row>
        <row r="480">
          <cell r="C480">
            <v>233100</v>
          </cell>
        </row>
        <row r="481">
          <cell r="C481">
            <v>38505</v>
          </cell>
        </row>
        <row r="482">
          <cell r="C482">
            <v>7527</v>
          </cell>
        </row>
        <row r="483">
          <cell r="C483">
            <v>20000</v>
          </cell>
        </row>
        <row r="485">
          <cell r="K485">
            <v>68262</v>
          </cell>
        </row>
        <row r="487">
          <cell r="K487">
            <v>21375</v>
          </cell>
        </row>
        <row r="489">
          <cell r="C489">
            <v>584023</v>
          </cell>
          <cell r="F489">
            <v>9330</v>
          </cell>
          <cell r="G489">
            <v>9330</v>
          </cell>
        </row>
        <row r="491">
          <cell r="F491">
            <v>46887</v>
          </cell>
        </row>
        <row r="496">
          <cell r="C496">
            <v>86135</v>
          </cell>
        </row>
        <row r="497">
          <cell r="C497">
            <v>116748</v>
          </cell>
        </row>
        <row r="498">
          <cell r="C498">
            <v>20991</v>
          </cell>
        </row>
        <row r="499">
          <cell r="C499">
            <v>8336</v>
          </cell>
        </row>
        <row r="500">
          <cell r="C500">
            <v>20000</v>
          </cell>
        </row>
        <row r="502">
          <cell r="K502">
            <v>6975</v>
          </cell>
        </row>
        <row r="504">
          <cell r="K504">
            <v>6975</v>
          </cell>
        </row>
        <row r="506">
          <cell r="C506">
            <v>858449</v>
          </cell>
          <cell r="F506">
            <v>0</v>
          </cell>
        </row>
        <row r="508">
          <cell r="C508">
            <v>246500</v>
          </cell>
        </row>
        <row r="510">
          <cell r="F510">
            <v>48410</v>
          </cell>
        </row>
        <row r="513">
          <cell r="C513">
            <v>195238</v>
          </cell>
        </row>
        <row r="514">
          <cell r="C514">
            <v>1000</v>
          </cell>
        </row>
        <row r="515">
          <cell r="C515">
            <v>63468</v>
          </cell>
        </row>
        <row r="516">
          <cell r="C516">
            <v>166154</v>
          </cell>
        </row>
        <row r="517">
          <cell r="C517">
            <v>12424</v>
          </cell>
        </row>
        <row r="518">
          <cell r="C518">
            <v>20000</v>
          </cell>
        </row>
        <row r="520">
          <cell r="K520">
            <v>1078585</v>
          </cell>
        </row>
        <row r="524">
          <cell r="C524">
            <v>753893</v>
          </cell>
          <cell r="F524">
            <v>20000</v>
          </cell>
        </row>
        <row r="526">
          <cell r="F526">
            <v>1042845</v>
          </cell>
        </row>
        <row r="528">
          <cell r="F528">
            <v>70162</v>
          </cell>
          <cell r="G528">
            <v>70162</v>
          </cell>
        </row>
        <row r="531">
          <cell r="C531">
            <v>57447</v>
          </cell>
        </row>
        <row r="533">
          <cell r="C533">
            <v>22955</v>
          </cell>
        </row>
        <row r="534">
          <cell r="C534">
            <v>233100</v>
          </cell>
        </row>
        <row r="535">
          <cell r="C535">
            <v>8336</v>
          </cell>
        </row>
        <row r="536">
          <cell r="C536">
            <v>20000</v>
          </cell>
        </row>
        <row r="538">
          <cell r="K538">
            <v>153363</v>
          </cell>
        </row>
        <row r="542">
          <cell r="C542">
            <v>646283</v>
          </cell>
        </row>
        <row r="547">
          <cell r="C547">
            <v>80392</v>
          </cell>
        </row>
        <row r="548">
          <cell r="C548">
            <v>60000</v>
          </cell>
        </row>
        <row r="549">
          <cell r="C549">
            <v>233100</v>
          </cell>
        </row>
        <row r="550">
          <cell r="C550">
            <v>8500</v>
          </cell>
          <cell r="F550">
            <v>0</v>
          </cell>
        </row>
        <row r="551">
          <cell r="C551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24">
          <cell r="D124">
            <v>709687.613</v>
          </cell>
        </row>
        <row r="125">
          <cell r="D125">
            <v>2582060.502</v>
          </cell>
        </row>
        <row r="202">
          <cell r="D202">
            <v>1700</v>
          </cell>
        </row>
        <row r="204">
          <cell r="D204">
            <v>0</v>
          </cell>
        </row>
        <row r="206">
          <cell r="D206">
            <v>44254.981</v>
          </cell>
        </row>
        <row r="208">
          <cell r="D208">
            <v>46625.426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</sheetNames>
    <sheetDataSet>
      <sheetData sheetId="0">
        <row r="115">
          <cell r="D115">
            <v>226807.45299999998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9.28125" style="2" customWidth="1"/>
    <col min="2" max="2" width="35.8515625" style="2" customWidth="1"/>
    <col min="3" max="3" width="62.8515625" style="2" customWidth="1"/>
    <col min="4" max="4" width="12.57421875" style="2" customWidth="1"/>
    <col min="5" max="5" width="62.7109375" style="2" customWidth="1"/>
    <col min="6" max="6" width="13.421875" style="2" customWidth="1"/>
    <col min="7" max="7" width="15.28125" style="2" customWidth="1"/>
    <col min="8" max="8" width="16.28125" style="2" customWidth="1"/>
    <col min="9" max="9" width="14.421875" style="2" customWidth="1"/>
    <col min="10" max="10" width="11.00390625" style="2" bestFit="1" customWidth="1"/>
    <col min="11" max="11" width="12.140625" style="2" bestFit="1" customWidth="1"/>
    <col min="12" max="16384" width="9.140625" style="2" customWidth="1"/>
  </cols>
  <sheetData>
    <row r="1" spans="5:7" ht="55.5" customHeight="1">
      <c r="E1" s="20" t="s">
        <v>173</v>
      </c>
      <c r="G1" s="19"/>
    </row>
    <row r="2" spans="5:7" ht="28.5" customHeight="1">
      <c r="E2" s="20" t="s">
        <v>174</v>
      </c>
      <c r="G2" s="19"/>
    </row>
    <row r="3" spans="3:7" ht="39.75" customHeight="1">
      <c r="C3" s="11"/>
      <c r="E3" s="20" t="s">
        <v>298</v>
      </c>
      <c r="G3" s="19"/>
    </row>
    <row r="5" spans="1:10" s="9" customFormat="1" ht="28.5" customHeight="1">
      <c r="A5" s="82" t="s">
        <v>196</v>
      </c>
      <c r="B5" s="82"/>
      <c r="C5" s="82"/>
      <c r="D5" s="82"/>
      <c r="E5" s="82"/>
      <c r="F5" s="82"/>
      <c r="G5" s="82"/>
      <c r="H5" s="56" t="s">
        <v>261</v>
      </c>
      <c r="I5" s="9" t="s">
        <v>262</v>
      </c>
      <c r="J5" s="57" t="s">
        <v>257</v>
      </c>
    </row>
    <row r="6" ht="5.25" customHeight="1"/>
    <row r="7" ht="16.5" customHeight="1">
      <c r="G7" s="10" t="s">
        <v>48</v>
      </c>
    </row>
    <row r="8" spans="1:7" s="4" customFormat="1" ht="45.75" customHeight="1">
      <c r="A8" s="14" t="s">
        <v>17</v>
      </c>
      <c r="B8" s="84" t="s">
        <v>19</v>
      </c>
      <c r="C8" s="84" t="s">
        <v>43</v>
      </c>
      <c r="D8" s="84"/>
      <c r="E8" s="84" t="s">
        <v>46</v>
      </c>
      <c r="F8" s="84"/>
      <c r="G8" s="3" t="s">
        <v>47</v>
      </c>
    </row>
    <row r="9" spans="1:7" s="4" customFormat="1" ht="57.75" customHeight="1">
      <c r="A9" s="14" t="s">
        <v>18</v>
      </c>
      <c r="B9" s="84"/>
      <c r="C9" s="3" t="s">
        <v>44</v>
      </c>
      <c r="D9" s="3" t="s">
        <v>45</v>
      </c>
      <c r="E9" s="3" t="s">
        <v>44</v>
      </c>
      <c r="F9" s="3" t="s">
        <v>45</v>
      </c>
      <c r="G9" s="3" t="s">
        <v>45</v>
      </c>
    </row>
    <row r="10" spans="1:7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9" s="4" customFormat="1" ht="31.5">
      <c r="A11" s="6" t="s">
        <v>108</v>
      </c>
      <c r="B11" s="70" t="s">
        <v>21</v>
      </c>
      <c r="C11" s="3"/>
      <c r="D11" s="17">
        <f>SUM(D12:D30)</f>
        <v>4737440</v>
      </c>
      <c r="E11" s="3"/>
      <c r="F11" s="16">
        <f>SUM(F12:F30)</f>
        <v>1760481</v>
      </c>
      <c r="G11" s="16">
        <f>SUM(G12:G30)</f>
        <v>6497921</v>
      </c>
      <c r="H11" s="53">
        <f>'[1]Місто'!$K$11+'[1]Місто'!$G$27</f>
        <v>1760481</v>
      </c>
      <c r="I11" s="53">
        <f>H11-F11</f>
        <v>0</v>
      </c>
    </row>
    <row r="12" spans="1:9" s="26" customFormat="1" ht="47.25">
      <c r="A12" s="76" t="s">
        <v>140</v>
      </c>
      <c r="B12" s="77" t="s">
        <v>141</v>
      </c>
      <c r="C12" s="7"/>
      <c r="D12" s="23"/>
      <c r="E12" s="7" t="s">
        <v>243</v>
      </c>
      <c r="F12" s="25">
        <f>'[1]Місто'!$K$13</f>
        <v>608346</v>
      </c>
      <c r="G12" s="25">
        <f>D12+F12</f>
        <v>608346</v>
      </c>
      <c r="I12" s="53"/>
    </row>
    <row r="13" spans="1:9" s="26" customFormat="1" ht="68.25" customHeight="1">
      <c r="A13" s="76"/>
      <c r="B13" s="77"/>
      <c r="C13" s="7" t="s">
        <v>263</v>
      </c>
      <c r="D13" s="23">
        <f>14600-98</f>
        <v>14502</v>
      </c>
      <c r="E13" s="7"/>
      <c r="F13" s="25"/>
      <c r="G13" s="25">
        <f>D13+F13</f>
        <v>14502</v>
      </c>
      <c r="I13" s="53"/>
    </row>
    <row r="14" spans="1:9" s="26" customFormat="1" ht="51" customHeight="1">
      <c r="A14" s="76" t="s">
        <v>61</v>
      </c>
      <c r="B14" s="77" t="s">
        <v>87</v>
      </c>
      <c r="C14" s="7" t="s">
        <v>291</v>
      </c>
      <c r="D14" s="23">
        <f>'[1]Місто'!C16</f>
        <v>568541</v>
      </c>
      <c r="E14" s="7"/>
      <c r="F14" s="12"/>
      <c r="G14" s="12">
        <f aca="true" t="shared" si="0" ref="G14:G25">D14+F14</f>
        <v>568541</v>
      </c>
      <c r="I14" s="53"/>
    </row>
    <row r="15" spans="1:9" s="26" customFormat="1" ht="47.25">
      <c r="A15" s="76"/>
      <c r="B15" s="77"/>
      <c r="C15" s="7"/>
      <c r="D15" s="23"/>
      <c r="E15" s="41" t="s">
        <v>242</v>
      </c>
      <c r="F15" s="42">
        <f>'[1]Місто'!$F$16</f>
        <v>61850</v>
      </c>
      <c r="G15" s="43">
        <f t="shared" si="0"/>
        <v>61850</v>
      </c>
      <c r="I15" s="53"/>
    </row>
    <row r="16" spans="1:9" s="26" customFormat="1" ht="63">
      <c r="A16" s="76" t="s">
        <v>67</v>
      </c>
      <c r="B16" s="77" t="s">
        <v>68</v>
      </c>
      <c r="C16" s="77"/>
      <c r="D16" s="23"/>
      <c r="E16" s="7" t="s">
        <v>244</v>
      </c>
      <c r="F16" s="25">
        <f>'[1]Місто'!$F$19-F19</f>
        <v>785192</v>
      </c>
      <c r="G16" s="12">
        <f t="shared" si="0"/>
        <v>785192</v>
      </c>
      <c r="I16" s="53"/>
    </row>
    <row r="17" spans="1:9" s="26" customFormat="1" ht="44.25" customHeight="1" hidden="1">
      <c r="A17" s="76"/>
      <c r="B17" s="77"/>
      <c r="C17" s="77"/>
      <c r="D17" s="8"/>
      <c r="E17" s="7" t="s">
        <v>103</v>
      </c>
      <c r="F17" s="12"/>
      <c r="G17" s="12">
        <f t="shared" si="0"/>
        <v>0</v>
      </c>
      <c r="I17" s="53"/>
    </row>
    <row r="18" spans="1:9" s="26" customFormat="1" ht="47.25" customHeight="1" hidden="1">
      <c r="A18" s="76"/>
      <c r="B18" s="77"/>
      <c r="C18" s="77"/>
      <c r="D18" s="8"/>
      <c r="E18" s="7" t="s">
        <v>102</v>
      </c>
      <c r="F18" s="25">
        <f>'[1]Місто'!$F$25</f>
        <v>0</v>
      </c>
      <c r="G18" s="12">
        <f t="shared" si="0"/>
        <v>0</v>
      </c>
      <c r="I18" s="53"/>
    </row>
    <row r="19" spans="1:9" s="26" customFormat="1" ht="15.75" hidden="1">
      <c r="A19" s="76"/>
      <c r="B19" s="77"/>
      <c r="C19" s="77"/>
      <c r="D19" s="8"/>
      <c r="E19" s="7"/>
      <c r="F19" s="25">
        <f>'[1]Місто'!$F$20</f>
        <v>0</v>
      </c>
      <c r="G19" s="12">
        <f t="shared" si="0"/>
        <v>0</v>
      </c>
      <c r="I19" s="53"/>
    </row>
    <row r="20" spans="1:9" s="26" customFormat="1" ht="222" customHeight="1">
      <c r="A20" s="24" t="s">
        <v>183</v>
      </c>
      <c r="B20" s="47" t="s">
        <v>184</v>
      </c>
      <c r="C20" s="7"/>
      <c r="D20" s="8"/>
      <c r="E20" s="7" t="s">
        <v>231</v>
      </c>
      <c r="F20" s="25">
        <f>'[1]Місто'!$F$21</f>
        <v>53552</v>
      </c>
      <c r="G20" s="12">
        <f t="shared" si="0"/>
        <v>53552</v>
      </c>
      <c r="I20" s="53"/>
    </row>
    <row r="21" spans="1:9" s="26" customFormat="1" ht="46.5" customHeight="1">
      <c r="A21" s="32">
        <v>240900</v>
      </c>
      <c r="B21" s="7" t="s">
        <v>88</v>
      </c>
      <c r="C21" s="22"/>
      <c r="D21" s="21"/>
      <c r="E21" s="7" t="s">
        <v>259</v>
      </c>
      <c r="F21" s="25">
        <f>'[1]Місто'!$F$27</f>
        <v>251541</v>
      </c>
      <c r="G21" s="12">
        <f t="shared" si="0"/>
        <v>251541</v>
      </c>
      <c r="I21" s="53"/>
    </row>
    <row r="22" spans="1:9" s="26" customFormat="1" ht="75" customHeight="1" hidden="1">
      <c r="A22" s="32">
        <v>250203</v>
      </c>
      <c r="B22" s="7" t="s">
        <v>168</v>
      </c>
      <c r="C22" s="7"/>
      <c r="D22" s="27">
        <f>'[1]Місто'!$C$29</f>
        <v>0</v>
      </c>
      <c r="E22" s="7"/>
      <c r="F22" s="12"/>
      <c r="G22" s="12">
        <f t="shared" si="0"/>
        <v>0</v>
      </c>
      <c r="I22" s="53"/>
    </row>
    <row r="23" spans="1:9" s="26" customFormat="1" ht="94.5">
      <c r="A23" s="83">
        <v>250404</v>
      </c>
      <c r="B23" s="77" t="s">
        <v>75</v>
      </c>
      <c r="C23" s="7" t="s">
        <v>280</v>
      </c>
      <c r="D23" s="27">
        <f>'[1]Місто'!C34</f>
        <v>304457</v>
      </c>
      <c r="E23" s="12"/>
      <c r="F23" s="18"/>
      <c r="G23" s="12">
        <f t="shared" si="0"/>
        <v>304457</v>
      </c>
      <c r="I23" s="53"/>
    </row>
    <row r="24" spans="1:9" s="26" customFormat="1" ht="63">
      <c r="A24" s="83"/>
      <c r="B24" s="77"/>
      <c r="C24" s="7" t="s">
        <v>236</v>
      </c>
      <c r="D24" s="23">
        <f>'[1]Місто'!$C$33</f>
        <v>368153</v>
      </c>
      <c r="E24" s="7"/>
      <c r="F24" s="25">
        <f>'[1]Місто'!$F$33</f>
        <v>0</v>
      </c>
      <c r="G24" s="12">
        <f t="shared" si="0"/>
        <v>368153</v>
      </c>
      <c r="I24" s="53"/>
    </row>
    <row r="25" spans="1:9" s="26" customFormat="1" ht="32.25" customHeight="1" hidden="1">
      <c r="A25" s="83"/>
      <c r="B25" s="77"/>
      <c r="C25" s="7" t="s">
        <v>104</v>
      </c>
      <c r="D25" s="23">
        <f>'[1]Місто'!$C$32</f>
        <v>120000</v>
      </c>
      <c r="E25" s="7" t="s">
        <v>104</v>
      </c>
      <c r="F25" s="25">
        <f>'[1]Місто'!$F$32</f>
        <v>0</v>
      </c>
      <c r="G25" s="12">
        <f t="shared" si="0"/>
        <v>120000</v>
      </c>
      <c r="I25" s="53"/>
    </row>
    <row r="26" spans="1:9" s="26" customFormat="1" ht="65.25" customHeight="1">
      <c r="A26" s="83"/>
      <c r="B26" s="77"/>
      <c r="C26" s="7" t="s">
        <v>213</v>
      </c>
      <c r="D26" s="23">
        <f>'[1]Місто'!$C$35</f>
        <v>3230438</v>
      </c>
      <c r="E26" s="7"/>
      <c r="F26" s="25">
        <f>'[1]Місто'!$K$35</f>
        <v>0</v>
      </c>
      <c r="G26" s="25">
        <f>D26+F26</f>
        <v>3230438</v>
      </c>
      <c r="I26" s="53"/>
    </row>
    <row r="27" spans="1:9" s="26" customFormat="1" ht="38.25" customHeight="1" hidden="1">
      <c r="A27" s="83"/>
      <c r="B27" s="77"/>
      <c r="C27" s="7" t="s">
        <v>172</v>
      </c>
      <c r="D27" s="23">
        <f>'[1]Місто'!$C$36</f>
        <v>0</v>
      </c>
      <c r="E27" s="7"/>
      <c r="F27" s="25"/>
      <c r="G27" s="25">
        <f>D27+F27</f>
        <v>0</v>
      </c>
      <c r="I27" s="53"/>
    </row>
    <row r="28" spans="1:9" s="26" customFormat="1" ht="46.5" customHeight="1">
      <c r="A28" s="83"/>
      <c r="B28" s="77"/>
      <c r="C28" s="41" t="s">
        <v>242</v>
      </c>
      <c r="D28" s="44">
        <f>'[1]Місто'!$C$37</f>
        <v>6198</v>
      </c>
      <c r="E28" s="41"/>
      <c r="F28" s="42"/>
      <c r="G28" s="42">
        <f>D28+F28</f>
        <v>6198</v>
      </c>
      <c r="I28" s="53"/>
    </row>
    <row r="29" spans="1:9" s="26" customFormat="1" ht="46.5" customHeight="1">
      <c r="A29" s="83"/>
      <c r="B29" s="77"/>
      <c r="C29" s="7" t="s">
        <v>293</v>
      </c>
      <c r="D29" s="23">
        <v>120000</v>
      </c>
      <c r="E29" s="41"/>
      <c r="F29" s="42"/>
      <c r="G29" s="25">
        <f>D29+F29</f>
        <v>120000</v>
      </c>
      <c r="I29" s="53"/>
    </row>
    <row r="30" spans="1:9" s="26" customFormat="1" ht="63">
      <c r="A30" s="83"/>
      <c r="B30" s="77"/>
      <c r="C30" s="7" t="s">
        <v>231</v>
      </c>
      <c r="D30" s="23">
        <f>'[1]Місто'!$C$38</f>
        <v>5151</v>
      </c>
      <c r="E30" s="7"/>
      <c r="F30" s="25"/>
      <c r="G30" s="25">
        <f>D30+F30</f>
        <v>5151</v>
      </c>
      <c r="I30" s="53"/>
    </row>
    <row r="31" spans="1:9" s="26" customFormat="1" ht="47.25">
      <c r="A31" s="28" t="s">
        <v>116</v>
      </c>
      <c r="B31" s="29" t="s">
        <v>32</v>
      </c>
      <c r="C31" s="7"/>
      <c r="D31" s="30">
        <f>SUM(D32:D69)</f>
        <v>42343329</v>
      </c>
      <c r="E31" s="8"/>
      <c r="F31" s="30">
        <f>SUM(F32:F69)</f>
        <v>28522863</v>
      </c>
      <c r="G31" s="30">
        <f>SUM(G32:G69)</f>
        <v>70866192</v>
      </c>
      <c r="H31" s="54">
        <f>'[1]Місто'!$K$39-'[1]Місто'!$K$49+'[1]Місто'!$F$49-'[1]Місто'!$K$69+'[1]Місто'!$F$69+'[1]Місто'!$F$78</f>
        <v>28168144</v>
      </c>
      <c r="I31" s="53">
        <f>H31-F31</f>
        <v>-354719</v>
      </c>
    </row>
    <row r="32" spans="1:9" s="26" customFormat="1" ht="44.25" customHeight="1" hidden="1">
      <c r="A32" s="24" t="s">
        <v>140</v>
      </c>
      <c r="B32" s="7" t="s">
        <v>141</v>
      </c>
      <c r="C32" s="7" t="s">
        <v>166</v>
      </c>
      <c r="D32" s="23"/>
      <c r="E32" s="7"/>
      <c r="F32" s="25"/>
      <c r="G32" s="12">
        <f aca="true" t="shared" si="1" ref="G32:G67">F32+D32</f>
        <v>0</v>
      </c>
      <c r="I32" s="53">
        <f>H32-F32</f>
        <v>0</v>
      </c>
    </row>
    <row r="33" spans="1:9" s="26" customFormat="1" ht="66" customHeight="1">
      <c r="A33" s="24" t="s">
        <v>140</v>
      </c>
      <c r="B33" s="7" t="s">
        <v>141</v>
      </c>
      <c r="C33" s="7" t="s">
        <v>263</v>
      </c>
      <c r="D33" s="23">
        <f>1250-354-250</f>
        <v>646</v>
      </c>
      <c r="E33" s="7"/>
      <c r="F33" s="25"/>
      <c r="G33" s="25">
        <f>F33+D33</f>
        <v>646</v>
      </c>
      <c r="I33" s="53"/>
    </row>
    <row r="34" spans="1:9" s="26" customFormat="1" ht="33" customHeight="1">
      <c r="A34" s="76" t="s">
        <v>50</v>
      </c>
      <c r="B34" s="77" t="s">
        <v>90</v>
      </c>
      <c r="C34" s="7" t="s">
        <v>252</v>
      </c>
      <c r="D34" s="23">
        <f>133851+1091+1580828+134145+248677+80190</f>
        <v>2178782</v>
      </c>
      <c r="E34" s="7" t="s">
        <v>252</v>
      </c>
      <c r="F34" s="25">
        <f>'[1]Місто'!$J$43-F35</f>
        <v>2133291</v>
      </c>
      <c r="G34" s="25">
        <f>F34+D34</f>
        <v>4312073</v>
      </c>
      <c r="H34" s="54">
        <f>'[1]Місто'!$K$43</f>
        <v>2768246</v>
      </c>
      <c r="I34" s="53">
        <f>F34+F35-H34</f>
        <v>0</v>
      </c>
    </row>
    <row r="35" spans="1:9" s="26" customFormat="1" ht="47.25">
      <c r="A35" s="76"/>
      <c r="B35" s="77"/>
      <c r="C35" s="41" t="s">
        <v>242</v>
      </c>
      <c r="D35" s="44">
        <f>72367+5000+20000+23000+3000+4000+10000+3000+16900+2500-1900</f>
        <v>157867</v>
      </c>
      <c r="E35" s="41" t="s">
        <v>242</v>
      </c>
      <c r="F35" s="42">
        <f>242500+22000+38000+83000+5000+10000+5000+15000+25000+20500+3050+23000+9310+46200+15000-1900+14000+112+15238+8547+27654+3800+4944</f>
        <v>634955</v>
      </c>
      <c r="G35" s="42">
        <f>F35+D35</f>
        <v>792822</v>
      </c>
      <c r="I35" s="53"/>
    </row>
    <row r="36" spans="1:9" s="26" customFormat="1" ht="71.25" customHeight="1">
      <c r="A36" s="76"/>
      <c r="B36" s="77"/>
      <c r="C36" s="7" t="s">
        <v>263</v>
      </c>
      <c r="D36" s="23">
        <f>663000-270098-66579-100000</f>
        <v>226323</v>
      </c>
      <c r="E36" s="41"/>
      <c r="F36" s="42"/>
      <c r="G36" s="25">
        <f>F36+D36</f>
        <v>226323</v>
      </c>
      <c r="I36" s="53"/>
    </row>
    <row r="37" spans="1:9" s="26" customFormat="1" ht="35.25" customHeight="1">
      <c r="A37" s="76" t="s">
        <v>51</v>
      </c>
      <c r="B37" s="76" t="s">
        <v>91</v>
      </c>
      <c r="C37" s="7" t="s">
        <v>252</v>
      </c>
      <c r="D37" s="23">
        <f>342934-1091+1091480-134145+209894+16230+100000</f>
        <v>1625302</v>
      </c>
      <c r="E37" s="7" t="s">
        <v>252</v>
      </c>
      <c r="F37" s="25">
        <f>3302181+8491+50000+66532+42721+100000+114000+1085000-1094000-1000-50000</f>
        <v>3623925</v>
      </c>
      <c r="G37" s="12">
        <f t="shared" si="1"/>
        <v>5249227</v>
      </c>
      <c r="H37" s="54">
        <f>'[1]Місто'!$K$45</f>
        <v>5748979</v>
      </c>
      <c r="I37" s="53">
        <f>F37+F41-H37</f>
        <v>0</v>
      </c>
    </row>
    <row r="38" spans="1:9" s="26" customFormat="1" ht="32.25" customHeight="1" hidden="1">
      <c r="A38" s="76"/>
      <c r="B38" s="76"/>
      <c r="C38" s="7" t="s">
        <v>200</v>
      </c>
      <c r="D38" s="23"/>
      <c r="E38" s="7" t="s">
        <v>200</v>
      </c>
      <c r="F38" s="25"/>
      <c r="G38" s="12">
        <f t="shared" si="1"/>
        <v>0</v>
      </c>
      <c r="I38" s="53"/>
    </row>
    <row r="39" spans="1:9" s="26" customFormat="1" ht="66" customHeight="1" hidden="1">
      <c r="A39" s="76"/>
      <c r="B39" s="76"/>
      <c r="C39" s="7" t="s">
        <v>200</v>
      </c>
      <c r="D39" s="23"/>
      <c r="E39" s="7" t="s">
        <v>200</v>
      </c>
      <c r="F39" s="25"/>
      <c r="G39" s="12">
        <f t="shared" si="1"/>
        <v>0</v>
      </c>
      <c r="I39" s="53"/>
    </row>
    <row r="40" spans="1:9" s="26" customFormat="1" ht="35.25" customHeight="1">
      <c r="A40" s="76"/>
      <c r="B40" s="76"/>
      <c r="C40" s="7" t="s">
        <v>258</v>
      </c>
      <c r="D40" s="23">
        <f>215595+2236-30796</f>
        <v>187035</v>
      </c>
      <c r="E40" s="7"/>
      <c r="F40" s="25"/>
      <c r="G40" s="12">
        <f t="shared" si="1"/>
        <v>187035</v>
      </c>
      <c r="I40" s="53"/>
    </row>
    <row r="41" spans="1:9" s="26" customFormat="1" ht="47.25">
      <c r="A41" s="76"/>
      <c r="B41" s="76"/>
      <c r="C41" s="41" t="s">
        <v>242</v>
      </c>
      <c r="D41" s="44">
        <f>130400+14000+56100+48600+20000+5000+10000+10000+15900+5162+10000+6000</f>
        <v>331162</v>
      </c>
      <c r="E41" s="41" t="s">
        <v>242</v>
      </c>
      <c r="F41" s="42">
        <f>801000+104100+10000+276550+11500+318578+56000-15000+14000-5000+10000+10000+4000+21500+54075+45900+48000+10401-401+15000+15000+108212+60050+10000+14700+6000-3948+23403+2700-2054+35300+7400+63032-4944</f>
        <v>2125054</v>
      </c>
      <c r="G41" s="43">
        <f t="shared" si="1"/>
        <v>2456216</v>
      </c>
      <c r="I41" s="53"/>
    </row>
    <row r="42" spans="1:9" s="26" customFormat="1" ht="66" customHeight="1">
      <c r="A42" s="76"/>
      <c r="B42" s="76"/>
      <c r="C42" s="7" t="s">
        <v>263</v>
      </c>
      <c r="D42" s="23">
        <f>1416678-841356+73854-154571</f>
        <v>494605</v>
      </c>
      <c r="E42" s="41"/>
      <c r="F42" s="42"/>
      <c r="G42" s="12">
        <f t="shared" si="1"/>
        <v>494605</v>
      </c>
      <c r="I42" s="53"/>
    </row>
    <row r="43" spans="1:9" s="26" customFormat="1" ht="35.25" customHeight="1">
      <c r="A43" s="76" t="s">
        <v>52</v>
      </c>
      <c r="B43" s="77" t="s">
        <v>92</v>
      </c>
      <c r="C43" s="7" t="s">
        <v>252</v>
      </c>
      <c r="D43" s="23">
        <f>1636</f>
        <v>1636</v>
      </c>
      <c r="E43" s="7"/>
      <c r="F43" s="25"/>
      <c r="G43" s="12">
        <f t="shared" si="1"/>
        <v>1636</v>
      </c>
      <c r="I43" s="53"/>
    </row>
    <row r="44" spans="1:9" s="26" customFormat="1" ht="70.5" customHeight="1">
      <c r="A44" s="76"/>
      <c r="B44" s="77"/>
      <c r="C44" s="7" t="s">
        <v>263</v>
      </c>
      <c r="D44" s="23">
        <v>3252</v>
      </c>
      <c r="E44" s="7"/>
      <c r="F44" s="25"/>
      <c r="G44" s="12">
        <f t="shared" si="1"/>
        <v>3252</v>
      </c>
      <c r="I44" s="53"/>
    </row>
    <row r="45" spans="1:9" s="26" customFormat="1" ht="47.25">
      <c r="A45" s="76"/>
      <c r="B45" s="77"/>
      <c r="C45" s="7"/>
      <c r="D45" s="23"/>
      <c r="E45" s="41" t="s">
        <v>242</v>
      </c>
      <c r="F45" s="42">
        <f>13000+5000</f>
        <v>18000</v>
      </c>
      <c r="G45" s="42">
        <f t="shared" si="1"/>
        <v>18000</v>
      </c>
      <c r="H45" s="54">
        <f>'[1]Місто'!$K$47</f>
        <v>18000</v>
      </c>
      <c r="I45" s="53">
        <f>F45-H45</f>
        <v>0</v>
      </c>
    </row>
    <row r="46" spans="1:9" s="26" customFormat="1" ht="39" customHeight="1">
      <c r="A46" s="76" t="s">
        <v>9</v>
      </c>
      <c r="B46" s="77" t="s">
        <v>10</v>
      </c>
      <c r="C46" s="7" t="s">
        <v>241</v>
      </c>
      <c r="D46" s="23">
        <f>'[1]Місто'!$C$49-D49-D50</f>
        <v>29299333</v>
      </c>
      <c r="E46" s="7" t="s">
        <v>241</v>
      </c>
      <c r="F46" s="25">
        <f>'[1]Місто'!$F$49-F49-F47-140040</f>
        <v>596479</v>
      </c>
      <c r="G46" s="12">
        <f t="shared" si="1"/>
        <v>29895812</v>
      </c>
      <c r="H46" s="54">
        <f>'[1]Місто'!$F$49</f>
        <v>806168</v>
      </c>
      <c r="I46" s="53">
        <f>F46+F47+F49-H46</f>
        <v>-140040</v>
      </c>
    </row>
    <row r="47" spans="1:9" s="26" customFormat="1" ht="46.5" customHeight="1" hidden="1">
      <c r="A47" s="76"/>
      <c r="B47" s="77"/>
      <c r="C47" s="7" t="s">
        <v>287</v>
      </c>
      <c r="D47" s="23">
        <f>140040-140040</f>
        <v>0</v>
      </c>
      <c r="E47" s="7" t="s">
        <v>287</v>
      </c>
      <c r="F47" s="25">
        <f>140040-140040</f>
        <v>0</v>
      </c>
      <c r="G47" s="12">
        <f t="shared" si="1"/>
        <v>0</v>
      </c>
      <c r="I47" s="53"/>
    </row>
    <row r="48" spans="1:9" s="26" customFormat="1" ht="51.75" customHeight="1" hidden="1">
      <c r="A48" s="76"/>
      <c r="B48" s="77"/>
      <c r="C48" s="7"/>
      <c r="D48" s="27">
        <f>'[1]Місто'!$C$61</f>
        <v>0</v>
      </c>
      <c r="E48" s="32"/>
      <c r="F48" s="22"/>
      <c r="G48" s="12">
        <f t="shared" si="1"/>
        <v>0</v>
      </c>
      <c r="I48" s="53"/>
    </row>
    <row r="49" spans="1:9" s="26" customFormat="1" ht="47.25">
      <c r="A49" s="76"/>
      <c r="B49" s="77"/>
      <c r="C49" s="41" t="s">
        <v>242</v>
      </c>
      <c r="D49" s="42">
        <f>10000+6000+5000+3000+5000+10000</f>
        <v>39000</v>
      </c>
      <c r="E49" s="41" t="s">
        <v>242</v>
      </c>
      <c r="F49" s="42">
        <f>32000+10599+9000+7000+10000+1050</f>
        <v>69649</v>
      </c>
      <c r="G49" s="42">
        <f t="shared" si="1"/>
        <v>108649</v>
      </c>
      <c r="I49" s="53"/>
    </row>
    <row r="50" spans="1:9" s="26" customFormat="1" ht="66.75" customHeight="1">
      <c r="A50" s="76"/>
      <c r="B50" s="77"/>
      <c r="C50" s="7" t="s">
        <v>263</v>
      </c>
      <c r="D50" s="25">
        <f>71000-33621-11000</f>
        <v>26379</v>
      </c>
      <c r="E50" s="41"/>
      <c r="F50" s="42"/>
      <c r="G50" s="12">
        <f t="shared" si="1"/>
        <v>26379</v>
      </c>
      <c r="I50" s="53"/>
    </row>
    <row r="51" spans="1:9" s="26" customFormat="1" ht="63.75" customHeight="1">
      <c r="A51" s="24" t="s">
        <v>254</v>
      </c>
      <c r="B51" s="7" t="s">
        <v>253</v>
      </c>
      <c r="C51" s="7" t="s">
        <v>263</v>
      </c>
      <c r="D51" s="25">
        <f>4500-2371-500</f>
        <v>1629</v>
      </c>
      <c r="E51" s="41"/>
      <c r="F51" s="42"/>
      <c r="G51" s="25">
        <f>F51+D51</f>
        <v>1629</v>
      </c>
      <c r="I51" s="53"/>
    </row>
    <row r="52" spans="1:9" s="58" customFormat="1" ht="46.5" customHeight="1">
      <c r="A52" s="66" t="s">
        <v>265</v>
      </c>
      <c r="B52" s="60" t="s">
        <v>266</v>
      </c>
      <c r="C52" s="60" t="s">
        <v>252</v>
      </c>
      <c r="D52" s="61">
        <v>60566</v>
      </c>
      <c r="E52" s="60" t="s">
        <v>252</v>
      </c>
      <c r="F52" s="61">
        <v>17500</v>
      </c>
      <c r="G52" s="25">
        <f>F52+D52</f>
        <v>78066</v>
      </c>
      <c r="H52" s="59">
        <f>'[1]Місто'!$K$53</f>
        <v>17500</v>
      </c>
      <c r="I52" s="59"/>
    </row>
    <row r="53" spans="1:9" s="26" customFormat="1" ht="60.75" customHeight="1">
      <c r="A53" s="24" t="s">
        <v>255</v>
      </c>
      <c r="B53" s="7" t="s">
        <v>256</v>
      </c>
      <c r="C53" s="7" t="s">
        <v>263</v>
      </c>
      <c r="D53" s="25">
        <f>26250-1531-7275-1250</f>
        <v>16194</v>
      </c>
      <c r="E53" s="41"/>
      <c r="F53" s="42"/>
      <c r="G53" s="25">
        <f>F53+D53</f>
        <v>16194</v>
      </c>
      <c r="I53" s="53"/>
    </row>
    <row r="54" spans="1:9" s="26" customFormat="1" ht="47.25">
      <c r="A54" s="31" t="s">
        <v>64</v>
      </c>
      <c r="B54" s="7" t="s">
        <v>11</v>
      </c>
      <c r="C54" s="7" t="s">
        <v>214</v>
      </c>
      <c r="D54" s="27">
        <f>'[1]Місто'!$C$62</f>
        <v>598798</v>
      </c>
      <c r="E54" s="7"/>
      <c r="F54" s="22"/>
      <c r="G54" s="22">
        <f>D54+F54</f>
        <v>598798</v>
      </c>
      <c r="I54" s="53"/>
    </row>
    <row r="55" spans="1:9" s="26" customFormat="1" ht="95.25" customHeight="1">
      <c r="A55" s="24" t="s">
        <v>53</v>
      </c>
      <c r="B55" s="7" t="s">
        <v>86</v>
      </c>
      <c r="C55" s="7" t="s">
        <v>258</v>
      </c>
      <c r="D55" s="23">
        <f>'[1]Місто'!$C$63</f>
        <v>3509778</v>
      </c>
      <c r="E55" s="7"/>
      <c r="F55" s="12"/>
      <c r="G55" s="12">
        <f t="shared" si="1"/>
        <v>3509778</v>
      </c>
      <c r="I55" s="53"/>
    </row>
    <row r="56" spans="1:9" s="26" customFormat="1" ht="35.25" customHeight="1">
      <c r="A56" s="24" t="s">
        <v>132</v>
      </c>
      <c r="B56" s="7" t="s">
        <v>133</v>
      </c>
      <c r="C56" s="7" t="s">
        <v>215</v>
      </c>
      <c r="D56" s="23">
        <f>'[1]Місто'!C65</f>
        <v>284901</v>
      </c>
      <c r="E56" s="7"/>
      <c r="F56" s="12"/>
      <c r="G56" s="22">
        <f aca="true" t="shared" si="2" ref="G56:G63">D56+F56</f>
        <v>284901</v>
      </c>
      <c r="I56" s="53"/>
    </row>
    <row r="57" spans="1:9" s="26" customFormat="1" ht="47.25">
      <c r="A57" s="24" t="s">
        <v>211</v>
      </c>
      <c r="B57" s="7" t="s">
        <v>212</v>
      </c>
      <c r="C57" s="7" t="s">
        <v>215</v>
      </c>
      <c r="D57" s="23">
        <f>'[1]Місто'!$C$66</f>
        <v>81595</v>
      </c>
      <c r="E57" s="7"/>
      <c r="F57" s="25"/>
      <c r="G57" s="22">
        <f t="shared" si="2"/>
        <v>81595</v>
      </c>
      <c r="I57" s="53"/>
    </row>
    <row r="58" spans="1:9" s="26" customFormat="1" ht="31.5" customHeight="1">
      <c r="A58" s="76" t="s">
        <v>93</v>
      </c>
      <c r="B58" s="77" t="s">
        <v>167</v>
      </c>
      <c r="C58" s="7" t="s">
        <v>215</v>
      </c>
      <c r="D58" s="23">
        <f>258358+115000</f>
        <v>373358</v>
      </c>
      <c r="E58" s="7"/>
      <c r="F58" s="25"/>
      <c r="G58" s="22">
        <f t="shared" si="2"/>
        <v>373358</v>
      </c>
      <c r="I58" s="53"/>
    </row>
    <row r="59" spans="1:9" s="26" customFormat="1" ht="47.25">
      <c r="A59" s="76"/>
      <c r="B59" s="77"/>
      <c r="C59" s="41" t="s">
        <v>242</v>
      </c>
      <c r="D59" s="42">
        <f>1000+5000+3000</f>
        <v>9000</v>
      </c>
      <c r="E59" s="41" t="s">
        <v>242</v>
      </c>
      <c r="F59" s="42">
        <f>32000+10500+1000+1000+8000+3000+4000</f>
        <v>59500</v>
      </c>
      <c r="G59" s="42">
        <f t="shared" si="2"/>
        <v>68500</v>
      </c>
      <c r="H59" s="54">
        <f>'[1]Місто'!$K$67</f>
        <v>59500</v>
      </c>
      <c r="I59" s="53"/>
    </row>
    <row r="60" spans="1:9" s="26" customFormat="1" ht="65.25" customHeight="1">
      <c r="A60" s="76"/>
      <c r="B60" s="77"/>
      <c r="C60" s="7" t="s">
        <v>263</v>
      </c>
      <c r="D60" s="25">
        <f>51500-34308-1500</f>
        <v>15692</v>
      </c>
      <c r="E60" s="41"/>
      <c r="F60" s="42"/>
      <c r="G60" s="25">
        <f t="shared" si="2"/>
        <v>15692</v>
      </c>
      <c r="I60" s="53"/>
    </row>
    <row r="61" spans="1:9" s="26" customFormat="1" ht="47.25">
      <c r="A61" s="24" t="s">
        <v>130</v>
      </c>
      <c r="B61" s="7" t="s">
        <v>131</v>
      </c>
      <c r="C61" s="7" t="s">
        <v>232</v>
      </c>
      <c r="D61" s="23">
        <f>880020-89139-39922-33682-32215</f>
        <v>685062</v>
      </c>
      <c r="E61" s="7"/>
      <c r="F61" s="25"/>
      <c r="G61" s="22">
        <f t="shared" si="2"/>
        <v>685062</v>
      </c>
      <c r="I61" s="53"/>
    </row>
    <row r="62" spans="1:9" s="26" customFormat="1" ht="63">
      <c r="A62" s="83">
        <v>130112</v>
      </c>
      <c r="B62" s="77" t="s">
        <v>75</v>
      </c>
      <c r="C62" s="7" t="s">
        <v>263</v>
      </c>
      <c r="D62" s="23">
        <f>807</f>
        <v>807</v>
      </c>
      <c r="E62" s="7"/>
      <c r="F62" s="25"/>
      <c r="G62" s="22">
        <f t="shared" si="2"/>
        <v>807</v>
      </c>
      <c r="I62" s="53"/>
    </row>
    <row r="63" spans="1:9" s="26" customFormat="1" ht="37.5" customHeight="1">
      <c r="A63" s="83"/>
      <c r="B63" s="77"/>
      <c r="C63" s="7" t="s">
        <v>215</v>
      </c>
      <c r="D63" s="27">
        <f>'[1]Місто'!$C$69-D62</f>
        <v>437977</v>
      </c>
      <c r="E63" s="7" t="s">
        <v>215</v>
      </c>
      <c r="F63" s="18">
        <f>'[1]Місто'!$F$69</f>
        <v>42080</v>
      </c>
      <c r="G63" s="22">
        <f t="shared" si="2"/>
        <v>480057</v>
      </c>
      <c r="H63" s="54">
        <f>'[1]Місто'!$F$69</f>
        <v>42080</v>
      </c>
      <c r="I63" s="53"/>
    </row>
    <row r="64" spans="1:9" s="26" customFormat="1" ht="31.5">
      <c r="A64" s="76" t="s">
        <v>67</v>
      </c>
      <c r="B64" s="77" t="s">
        <v>68</v>
      </c>
      <c r="C64" s="7"/>
      <c r="D64" s="8"/>
      <c r="E64" s="7" t="s">
        <v>252</v>
      </c>
      <c r="F64" s="18">
        <f>9617518+12697493-1558961+1500000-50000+1000000-5142687+3221443-394000-1114500-730000-1500000+1250000-30500-395400-1500000-65845-911000</f>
        <v>15893561</v>
      </c>
      <c r="G64" s="12">
        <f t="shared" si="1"/>
        <v>15893561</v>
      </c>
      <c r="H64" s="54">
        <f>'[1]Місто'!$K$72</f>
        <v>18135576</v>
      </c>
      <c r="I64" s="53">
        <f>F64+F65+F66-H64</f>
        <v>0</v>
      </c>
    </row>
    <row r="65" spans="1:9" s="26" customFormat="1" ht="31.5">
      <c r="A65" s="76"/>
      <c r="B65" s="77"/>
      <c r="C65" s="7"/>
      <c r="D65" s="8"/>
      <c r="E65" s="7" t="s">
        <v>241</v>
      </c>
      <c r="F65" s="18">
        <v>583996</v>
      </c>
      <c r="G65" s="12">
        <f t="shared" si="1"/>
        <v>583996</v>
      </c>
      <c r="I65" s="53"/>
    </row>
    <row r="66" spans="1:9" s="26" customFormat="1" ht="31.5">
      <c r="A66" s="76"/>
      <c r="B66" s="77"/>
      <c r="C66" s="7"/>
      <c r="D66" s="8"/>
      <c r="E66" s="7" t="s">
        <v>215</v>
      </c>
      <c r="F66" s="18">
        <f>474681+1117493+65845</f>
        <v>1658019</v>
      </c>
      <c r="G66" s="12">
        <f t="shared" si="1"/>
        <v>1658019</v>
      </c>
      <c r="I66" s="53"/>
    </row>
    <row r="67" spans="1:9" s="26" customFormat="1" ht="47.25">
      <c r="A67" s="7">
        <v>240601</v>
      </c>
      <c r="B67" s="7" t="s">
        <v>89</v>
      </c>
      <c r="C67" s="7"/>
      <c r="D67" s="8"/>
      <c r="E67" s="7" t="s">
        <v>272</v>
      </c>
      <c r="F67" s="25">
        <f>'[1]Місто'!$F$78</f>
        <v>572095</v>
      </c>
      <c r="G67" s="12">
        <f t="shared" si="1"/>
        <v>572095</v>
      </c>
      <c r="H67" s="54">
        <f>'[1]Місто'!$F$78</f>
        <v>572095</v>
      </c>
      <c r="I67" s="53"/>
    </row>
    <row r="68" spans="1:9" s="26" customFormat="1" ht="77.25" customHeight="1">
      <c r="A68" s="31" t="s">
        <v>7</v>
      </c>
      <c r="B68" s="7" t="s">
        <v>8</v>
      </c>
      <c r="C68" s="74" t="s">
        <v>214</v>
      </c>
      <c r="D68" s="21">
        <f>1931095-200000-54000-34445</f>
        <v>1642650</v>
      </c>
      <c r="E68" s="7" t="s">
        <v>214</v>
      </c>
      <c r="F68" s="22">
        <f>68905+425854</f>
        <v>494759</v>
      </c>
      <c r="G68" s="22">
        <f>D68+F68</f>
        <v>2137409</v>
      </c>
      <c r="I68" s="53"/>
    </row>
    <row r="69" spans="1:9" s="26" customFormat="1" ht="94.5">
      <c r="A69" s="31" t="s">
        <v>284</v>
      </c>
      <c r="B69" s="7" t="s">
        <v>285</v>
      </c>
      <c r="C69" s="75"/>
      <c r="D69" s="21">
        <v>54000</v>
      </c>
      <c r="E69" s="7"/>
      <c r="F69" s="22"/>
      <c r="G69" s="22">
        <f>D69+F69</f>
        <v>54000</v>
      </c>
      <c r="I69" s="53"/>
    </row>
    <row r="70" spans="1:9" s="26" customFormat="1" ht="46.5" customHeight="1">
      <c r="A70" s="28" t="s">
        <v>117</v>
      </c>
      <c r="B70" s="29" t="s">
        <v>33</v>
      </c>
      <c r="C70" s="7"/>
      <c r="D70" s="30">
        <f>SUM(D71:D92)</f>
        <v>30926116</v>
      </c>
      <c r="E70" s="8"/>
      <c r="F70" s="30">
        <f>SUM(F71:F92)</f>
        <v>27969726</v>
      </c>
      <c r="G70" s="33">
        <f>SUM(G71:G92)</f>
        <v>58895842</v>
      </c>
      <c r="H70" s="54">
        <f>'[1]Місто'!$J$85</f>
        <v>11676694</v>
      </c>
      <c r="I70" s="53">
        <f>H70-F70</f>
        <v>-16293032</v>
      </c>
    </row>
    <row r="71" spans="1:9" s="26" customFormat="1" ht="34.5" customHeight="1" hidden="1">
      <c r="A71" s="24" t="s">
        <v>140</v>
      </c>
      <c r="B71" s="7" t="s">
        <v>141</v>
      </c>
      <c r="C71" s="7" t="s">
        <v>150</v>
      </c>
      <c r="D71" s="23"/>
      <c r="E71" s="7"/>
      <c r="F71" s="25"/>
      <c r="G71" s="25">
        <f>F71+D71</f>
        <v>0</v>
      </c>
      <c r="I71" s="53">
        <f>H71-F71</f>
        <v>0</v>
      </c>
    </row>
    <row r="72" spans="1:9" s="26" customFormat="1" ht="52.5" customHeight="1">
      <c r="A72" s="76" t="s">
        <v>55</v>
      </c>
      <c r="B72" s="77" t="s">
        <v>2</v>
      </c>
      <c r="C72" s="7" t="s">
        <v>274</v>
      </c>
      <c r="D72" s="23">
        <f>6800504+4842754+209921-500022-15000+31876+51930+31225-59500</f>
        <v>11393688</v>
      </c>
      <c r="E72" s="7" t="s">
        <v>274</v>
      </c>
      <c r="F72" s="25">
        <f>'[1]Місто'!$J$86-F75</f>
        <v>7618937</v>
      </c>
      <c r="G72" s="25">
        <f aca="true" t="shared" si="3" ref="G72:G90">F72+D72</f>
        <v>19012625</v>
      </c>
      <c r="H72" s="54">
        <f>'[1]Місто'!$J$86+F73</f>
        <v>8497810</v>
      </c>
      <c r="I72" s="53">
        <f>F72+F73+F75-H72</f>
        <v>0</v>
      </c>
    </row>
    <row r="73" spans="1:9" s="26" customFormat="1" ht="51.75" customHeight="1">
      <c r="A73" s="76"/>
      <c r="B73" s="77"/>
      <c r="C73" s="7" t="s">
        <v>287</v>
      </c>
      <c r="D73" s="23">
        <f>29300</f>
        <v>29300</v>
      </c>
      <c r="E73" s="7" t="s">
        <v>287</v>
      </c>
      <c r="F73" s="25">
        <f>29300</f>
        <v>29300</v>
      </c>
      <c r="G73" s="25">
        <f t="shared" si="3"/>
        <v>58600</v>
      </c>
      <c r="I73" s="53"/>
    </row>
    <row r="74" spans="1:9" s="26" customFormat="1" ht="54.75" customHeight="1">
      <c r="A74" s="76"/>
      <c r="B74" s="77"/>
      <c r="C74" s="7" t="s">
        <v>275</v>
      </c>
      <c r="D74" s="23">
        <f>1000000-144750</f>
        <v>855250</v>
      </c>
      <c r="E74" s="7"/>
      <c r="F74" s="25"/>
      <c r="G74" s="25">
        <f t="shared" si="3"/>
        <v>855250</v>
      </c>
      <c r="I74" s="53"/>
    </row>
    <row r="75" spans="1:9" s="26" customFormat="1" ht="47.25">
      <c r="A75" s="76"/>
      <c r="B75" s="77"/>
      <c r="C75" s="41" t="s">
        <v>242</v>
      </c>
      <c r="D75" s="44">
        <f>32000-5000+20000+18750</f>
        <v>65750</v>
      </c>
      <c r="E75" s="41" t="s">
        <v>242</v>
      </c>
      <c r="F75" s="42">
        <f>171500+33000+3000+6000+86000+227788+49220+6000+20000+5000+51210+1820+14000+28640-10000+20000+400+3960+20000+6000+10000+6035+3500+3500+13000+20000+50000</f>
        <v>849573</v>
      </c>
      <c r="G75" s="42">
        <f t="shared" si="3"/>
        <v>915323</v>
      </c>
      <c r="I75" s="53"/>
    </row>
    <row r="76" spans="1:9" s="26" customFormat="1" ht="63">
      <c r="A76" s="76"/>
      <c r="B76" s="77"/>
      <c r="C76" s="7" t="s">
        <v>263</v>
      </c>
      <c r="D76" s="23">
        <f>22010-3498-15956</f>
        <v>2556</v>
      </c>
      <c r="E76" s="41"/>
      <c r="F76" s="42"/>
      <c r="G76" s="25">
        <f t="shared" si="3"/>
        <v>2556</v>
      </c>
      <c r="I76" s="53"/>
    </row>
    <row r="77" spans="1:9" s="26" customFormat="1" ht="50.25" customHeight="1">
      <c r="A77" s="76" t="s">
        <v>94</v>
      </c>
      <c r="B77" s="77" t="s">
        <v>202</v>
      </c>
      <c r="C77" s="7" t="s">
        <v>274</v>
      </c>
      <c r="D77" s="23">
        <f>915588+365982-2048+1203</f>
        <v>1280725</v>
      </c>
      <c r="E77" s="7" t="s">
        <v>274</v>
      </c>
      <c r="F77" s="25">
        <f>'[1]Місто'!$J$88-F78</f>
        <v>673844</v>
      </c>
      <c r="G77" s="25">
        <f t="shared" si="3"/>
        <v>1954569</v>
      </c>
      <c r="H77" s="54">
        <f>'[1]Місто'!$J$88</f>
        <v>887608</v>
      </c>
      <c r="I77" s="53">
        <f>F77+F78-H77</f>
        <v>0</v>
      </c>
    </row>
    <row r="78" spans="1:9" s="26" customFormat="1" ht="47.25">
      <c r="A78" s="76"/>
      <c r="B78" s="77"/>
      <c r="C78" s="41" t="s">
        <v>242</v>
      </c>
      <c r="D78" s="42">
        <f>16000+21000</f>
        <v>37000</v>
      </c>
      <c r="E78" s="41" t="s">
        <v>242</v>
      </c>
      <c r="F78" s="42">
        <f>95500+30000+3000+31500+3050+4770+4000+5000+8000+944+28000</f>
        <v>213764</v>
      </c>
      <c r="G78" s="42">
        <f t="shared" si="3"/>
        <v>250764</v>
      </c>
      <c r="I78" s="53"/>
    </row>
    <row r="79" spans="1:9" s="26" customFormat="1" ht="63">
      <c r="A79" s="76"/>
      <c r="B79" s="77"/>
      <c r="C79" s="7" t="s">
        <v>263</v>
      </c>
      <c r="D79" s="25">
        <f>12906-12307</f>
        <v>599</v>
      </c>
      <c r="E79" s="41"/>
      <c r="F79" s="42"/>
      <c r="G79" s="25">
        <f t="shared" si="3"/>
        <v>599</v>
      </c>
      <c r="I79" s="53"/>
    </row>
    <row r="80" spans="1:9" s="26" customFormat="1" ht="47.25">
      <c r="A80" s="76" t="s">
        <v>56</v>
      </c>
      <c r="B80" s="77" t="s">
        <v>3</v>
      </c>
      <c r="C80" s="7" t="s">
        <v>274</v>
      </c>
      <c r="D80" s="23">
        <f>2051507-144584-101654+3850+20808</f>
        <v>1829927</v>
      </c>
      <c r="E80" s="7" t="s">
        <v>274</v>
      </c>
      <c r="F80" s="25">
        <f>'[1]Місто'!$J$89-F81</f>
        <v>923565</v>
      </c>
      <c r="G80" s="25">
        <f>F80+D80</f>
        <v>2753492</v>
      </c>
      <c r="H80" s="54">
        <f>'[1]Місто'!$J$89</f>
        <v>1179736</v>
      </c>
      <c r="I80" s="53">
        <f>F80+F81-H80</f>
        <v>0</v>
      </c>
    </row>
    <row r="81" spans="1:9" s="26" customFormat="1" ht="47.25">
      <c r="A81" s="76"/>
      <c r="B81" s="77"/>
      <c r="C81" s="41" t="s">
        <v>242</v>
      </c>
      <c r="D81" s="42">
        <f>10000+18190+18000+6800+10000</f>
        <v>62990</v>
      </c>
      <c r="E81" s="41" t="s">
        <v>242</v>
      </c>
      <c r="F81" s="42">
        <f>113600+14000+2000+2350+49506+39990+12000+5000+3000+10000+5925-1200</f>
        <v>256171</v>
      </c>
      <c r="G81" s="42">
        <f t="shared" si="3"/>
        <v>319161</v>
      </c>
      <c r="I81" s="53"/>
    </row>
    <row r="82" spans="1:9" s="26" customFormat="1" ht="63">
      <c r="A82" s="76"/>
      <c r="B82" s="77"/>
      <c r="C82" s="7" t="s">
        <v>263</v>
      </c>
      <c r="D82" s="25">
        <f>14852-9695</f>
        <v>5157</v>
      </c>
      <c r="E82" s="41"/>
      <c r="F82" s="42"/>
      <c r="G82" s="25">
        <f t="shared" si="3"/>
        <v>5157</v>
      </c>
      <c r="I82" s="53"/>
    </row>
    <row r="83" spans="1:9" s="26" customFormat="1" ht="47.25" customHeight="1">
      <c r="A83" s="76" t="s">
        <v>57</v>
      </c>
      <c r="B83" s="77" t="s">
        <v>4</v>
      </c>
      <c r="C83" s="7" t="s">
        <v>274</v>
      </c>
      <c r="D83" s="23">
        <v>2144553</v>
      </c>
      <c r="E83" s="7" t="s">
        <v>274</v>
      </c>
      <c r="F83" s="25">
        <f>'[1]Місто'!$J$91-F84</f>
        <v>172616</v>
      </c>
      <c r="G83" s="25">
        <f>F83+D83</f>
        <v>2317169</v>
      </c>
      <c r="H83" s="54">
        <f>'[1]Місто'!$J$91</f>
        <v>183616</v>
      </c>
      <c r="I83" s="53">
        <f>F83+F84-H83</f>
        <v>0</v>
      </c>
    </row>
    <row r="84" spans="1:9" s="26" customFormat="1" ht="47.25">
      <c r="A84" s="76"/>
      <c r="B84" s="77"/>
      <c r="C84" s="7"/>
      <c r="D84" s="23"/>
      <c r="E84" s="41" t="s">
        <v>242</v>
      </c>
      <c r="F84" s="42">
        <f>5000+6000</f>
        <v>11000</v>
      </c>
      <c r="G84" s="42">
        <f>F84+D84</f>
        <v>11000</v>
      </c>
      <c r="I84" s="53"/>
    </row>
    <row r="85" spans="1:9" s="26" customFormat="1" ht="66" customHeight="1">
      <c r="A85" s="76"/>
      <c r="B85" s="77"/>
      <c r="C85" s="7" t="s">
        <v>263</v>
      </c>
      <c r="D85" s="23">
        <f>2954-2356</f>
        <v>598</v>
      </c>
      <c r="E85" s="41"/>
      <c r="F85" s="42"/>
      <c r="G85" s="25">
        <f>F85+D85</f>
        <v>598</v>
      </c>
      <c r="I85" s="53"/>
    </row>
    <row r="86" spans="1:9" s="63" customFormat="1" ht="50.25" customHeight="1">
      <c r="A86" s="66" t="s">
        <v>267</v>
      </c>
      <c r="B86" s="60" t="s">
        <v>268</v>
      </c>
      <c r="C86" s="7" t="s">
        <v>274</v>
      </c>
      <c r="D86" s="62">
        <f>83206+199405+315038+69778+6806</f>
        <v>674233</v>
      </c>
      <c r="E86" s="7" t="s">
        <v>274</v>
      </c>
      <c r="F86" s="25">
        <f>'[1]Місто'!$K$93</f>
        <v>957224</v>
      </c>
      <c r="G86" s="61">
        <f>F86+D86</f>
        <v>1631457</v>
      </c>
      <c r="H86" s="64">
        <f>'[1]Місто'!$J$93</f>
        <v>957224</v>
      </c>
      <c r="I86" s="53">
        <f>F86+F87-H86</f>
        <v>0</v>
      </c>
    </row>
    <row r="87" spans="1:9" s="26" customFormat="1" ht="47.25">
      <c r="A87" s="24" t="s">
        <v>95</v>
      </c>
      <c r="B87" s="7" t="s">
        <v>96</v>
      </c>
      <c r="C87" s="7" t="s">
        <v>216</v>
      </c>
      <c r="D87" s="23">
        <f>9767802-78201-17570</f>
        <v>9672031</v>
      </c>
      <c r="E87" s="7"/>
      <c r="F87" s="12"/>
      <c r="G87" s="25">
        <f t="shared" si="3"/>
        <v>9672031</v>
      </c>
      <c r="I87" s="53"/>
    </row>
    <row r="88" spans="1:9" s="26" customFormat="1" ht="15.75" customHeight="1" hidden="1">
      <c r="A88" s="24" t="s">
        <v>58</v>
      </c>
      <c r="B88" s="7" t="s">
        <v>5</v>
      </c>
      <c r="C88" s="7"/>
      <c r="D88" s="23"/>
      <c r="E88" s="7"/>
      <c r="F88" s="25">
        <f>'[1]Місто'!$F$96</f>
        <v>0</v>
      </c>
      <c r="G88" s="25">
        <f t="shared" si="3"/>
        <v>0</v>
      </c>
      <c r="I88" s="53"/>
    </row>
    <row r="89" spans="1:9" s="26" customFormat="1" ht="46.5" customHeight="1">
      <c r="A89" s="24" t="s">
        <v>59</v>
      </c>
      <c r="B89" s="7" t="s">
        <v>203</v>
      </c>
      <c r="C89" s="7" t="s">
        <v>217</v>
      </c>
      <c r="D89" s="23">
        <f>'[1]Місто'!$C$97</f>
        <v>2871759</v>
      </c>
      <c r="E89" s="7"/>
      <c r="F89" s="12"/>
      <c r="G89" s="25">
        <f t="shared" si="3"/>
        <v>2871759</v>
      </c>
      <c r="I89" s="53"/>
    </row>
    <row r="90" spans="1:9" s="26" customFormat="1" ht="52.5" customHeight="1">
      <c r="A90" s="24" t="s">
        <v>67</v>
      </c>
      <c r="B90" s="7" t="s">
        <v>68</v>
      </c>
      <c r="C90" s="7"/>
      <c r="D90" s="8"/>
      <c r="E90" s="7" t="s">
        <v>274</v>
      </c>
      <c r="F90" s="25">
        <f>'[1]Місто'!$F$99</f>
        <v>16263732</v>
      </c>
      <c r="G90" s="25">
        <f t="shared" si="3"/>
        <v>16263732</v>
      </c>
      <c r="H90" s="54">
        <f>'[1]Місто'!$K$99</f>
        <v>16263732</v>
      </c>
      <c r="I90" s="53">
        <f>G90-H90</f>
        <v>0</v>
      </c>
    </row>
    <row r="91" spans="1:9" s="26" customFormat="1" ht="36" customHeight="1" hidden="1">
      <c r="A91" s="76" t="s">
        <v>54</v>
      </c>
      <c r="B91" s="77" t="s">
        <v>88</v>
      </c>
      <c r="C91" s="7"/>
      <c r="D91" s="8"/>
      <c r="E91" s="7" t="s">
        <v>105</v>
      </c>
      <c r="F91" s="18"/>
      <c r="G91" s="12">
        <f>F91+D91</f>
        <v>0</v>
      </c>
      <c r="I91" s="53">
        <f>H91-F91</f>
        <v>0</v>
      </c>
    </row>
    <row r="92" spans="1:9" s="26" customFormat="1" ht="33" customHeight="1" hidden="1">
      <c r="A92" s="76"/>
      <c r="B92" s="77"/>
      <c r="C92" s="7"/>
      <c r="D92" s="8"/>
      <c r="E92" s="7" t="s">
        <v>106</v>
      </c>
      <c r="F92" s="18"/>
      <c r="G92" s="12">
        <f>F92+D92</f>
        <v>0</v>
      </c>
      <c r="I92" s="53">
        <f>H92-F92</f>
        <v>0</v>
      </c>
    </row>
    <row r="93" spans="1:9" s="26" customFormat="1" ht="49.5" customHeight="1">
      <c r="A93" s="28" t="s">
        <v>118</v>
      </c>
      <c r="B93" s="29" t="s">
        <v>34</v>
      </c>
      <c r="C93" s="7"/>
      <c r="D93" s="34">
        <f>SUM(D94:D116)</f>
        <v>31938318</v>
      </c>
      <c r="E93" s="12"/>
      <c r="F93" s="34">
        <f>SUM(F94:F116)</f>
        <v>6398364</v>
      </c>
      <c r="G93" s="34">
        <f>SUM(G94:G116)</f>
        <v>38336682</v>
      </c>
      <c r="H93" s="54">
        <f>'[1]Місто'!$K$105+F102</f>
        <v>6464364</v>
      </c>
      <c r="I93" s="53">
        <f>H93-F93</f>
        <v>66000</v>
      </c>
    </row>
    <row r="94" spans="1:9" s="26" customFormat="1" ht="47.25">
      <c r="A94" s="76" t="s">
        <v>140</v>
      </c>
      <c r="B94" s="77" t="s">
        <v>141</v>
      </c>
      <c r="C94" s="7"/>
      <c r="D94" s="25"/>
      <c r="E94" s="7" t="s">
        <v>243</v>
      </c>
      <c r="F94" s="25">
        <f>'[1]Місто'!$K$107</f>
        <v>285484</v>
      </c>
      <c r="G94" s="25">
        <f aca="true" t="shared" si="4" ref="G94:G99">F94+D94</f>
        <v>285484</v>
      </c>
      <c r="I94" s="53"/>
    </row>
    <row r="95" spans="1:9" s="26" customFormat="1" ht="96.75" customHeight="1" hidden="1">
      <c r="A95" s="76"/>
      <c r="B95" s="77"/>
      <c r="C95" s="7" t="s">
        <v>201</v>
      </c>
      <c r="D95" s="23">
        <f>'[1]Місто'!$C$163</f>
        <v>0</v>
      </c>
      <c r="E95" s="7"/>
      <c r="F95" s="12"/>
      <c r="G95" s="25">
        <f t="shared" si="4"/>
        <v>0</v>
      </c>
      <c r="I95" s="53"/>
    </row>
    <row r="96" spans="1:9" s="26" customFormat="1" ht="64.5" customHeight="1">
      <c r="A96" s="76"/>
      <c r="B96" s="77"/>
      <c r="C96" s="7" t="s">
        <v>263</v>
      </c>
      <c r="D96" s="25">
        <f>1450+8599-4839</f>
        <v>5210</v>
      </c>
      <c r="E96" s="7"/>
      <c r="F96" s="12"/>
      <c r="G96" s="25">
        <f t="shared" si="4"/>
        <v>5210</v>
      </c>
      <c r="I96" s="53"/>
    </row>
    <row r="97" spans="1:9" s="26" customFormat="1" ht="51.75" customHeight="1">
      <c r="A97" s="76" t="s">
        <v>62</v>
      </c>
      <c r="B97" s="77" t="s">
        <v>207</v>
      </c>
      <c r="C97" s="7"/>
      <c r="D97" s="25"/>
      <c r="E97" s="7" t="s">
        <v>243</v>
      </c>
      <c r="F97" s="25">
        <f>'[1]Місто'!$F$160</f>
        <v>245000</v>
      </c>
      <c r="G97" s="12">
        <f t="shared" si="4"/>
        <v>245000</v>
      </c>
      <c r="I97" s="53"/>
    </row>
    <row r="98" spans="1:9" s="26" customFormat="1" ht="63" hidden="1">
      <c r="A98" s="76"/>
      <c r="B98" s="77"/>
      <c r="C98" s="7" t="s">
        <v>263</v>
      </c>
      <c r="D98" s="23">
        <f>240-240</f>
        <v>0</v>
      </c>
      <c r="E98" s="7"/>
      <c r="F98" s="25"/>
      <c r="G98" s="12">
        <f t="shared" si="4"/>
        <v>0</v>
      </c>
      <c r="I98" s="53"/>
    </row>
    <row r="99" spans="1:9" s="26" customFormat="1" ht="63">
      <c r="A99" s="24" t="s">
        <v>63</v>
      </c>
      <c r="B99" s="7" t="s">
        <v>208</v>
      </c>
      <c r="C99" s="7" t="s">
        <v>218</v>
      </c>
      <c r="D99" s="23">
        <f>'[1]Місто'!$C$161</f>
        <v>204630</v>
      </c>
      <c r="E99" s="7"/>
      <c r="F99" s="12"/>
      <c r="G99" s="12">
        <f t="shared" si="4"/>
        <v>204630</v>
      </c>
      <c r="I99" s="53"/>
    </row>
    <row r="100" spans="1:9" s="26" customFormat="1" ht="47.25" hidden="1">
      <c r="A100" s="24" t="s">
        <v>64</v>
      </c>
      <c r="B100" s="7" t="s">
        <v>209</v>
      </c>
      <c r="C100" s="7"/>
      <c r="D100" s="23"/>
      <c r="E100" s="7"/>
      <c r="F100" s="12"/>
      <c r="G100" s="12"/>
      <c r="I100" s="53"/>
    </row>
    <row r="101" spans="1:9" s="26" customFormat="1" ht="50.25" customHeight="1">
      <c r="A101" s="76" t="s">
        <v>138</v>
      </c>
      <c r="B101" s="77" t="s">
        <v>139</v>
      </c>
      <c r="C101" s="7" t="s">
        <v>245</v>
      </c>
      <c r="D101" s="23">
        <f>5997500+122966+18061+29610+1-32457</f>
        <v>6135681</v>
      </c>
      <c r="E101" s="7" t="s">
        <v>245</v>
      </c>
      <c r="F101" s="25">
        <f>'[1]Місто'!$K$164-F104</f>
        <v>399139</v>
      </c>
      <c r="G101" s="12">
        <f aca="true" t="shared" si="5" ref="G101:G118">F101+D101</f>
        <v>6534820</v>
      </c>
      <c r="I101" s="53"/>
    </row>
    <row r="102" spans="1:9" s="26" customFormat="1" ht="50.25" customHeight="1">
      <c r="A102" s="76"/>
      <c r="B102" s="77"/>
      <c r="C102" s="7" t="s">
        <v>287</v>
      </c>
      <c r="D102" s="23">
        <f>70343-40160</f>
        <v>30183</v>
      </c>
      <c r="E102" s="7" t="s">
        <v>287</v>
      </c>
      <c r="F102" s="25">
        <f>70343-40160</f>
        <v>30183</v>
      </c>
      <c r="G102" s="12">
        <f t="shared" si="5"/>
        <v>60366</v>
      </c>
      <c r="I102" s="53"/>
    </row>
    <row r="103" spans="1:9" s="26" customFormat="1" ht="110.25" customHeight="1" hidden="1">
      <c r="A103" s="76"/>
      <c r="B103" s="77"/>
      <c r="C103" s="7"/>
      <c r="D103" s="23"/>
      <c r="E103" s="7"/>
      <c r="F103" s="12"/>
      <c r="G103" s="12">
        <f t="shared" si="5"/>
        <v>0</v>
      </c>
      <c r="I103" s="53"/>
    </row>
    <row r="104" spans="1:9" s="26" customFormat="1" ht="51" customHeight="1">
      <c r="A104" s="76"/>
      <c r="B104" s="77"/>
      <c r="C104" s="41" t="s">
        <v>242</v>
      </c>
      <c r="D104" s="43">
        <f>11500+2000</f>
        <v>13500</v>
      </c>
      <c r="E104" s="41" t="s">
        <v>242</v>
      </c>
      <c r="F104" s="43">
        <f>27500+18500+1484+500+8000+10000+5000+3500+2000+1400</f>
        <v>77884</v>
      </c>
      <c r="G104" s="43">
        <f>F104+D104</f>
        <v>91384</v>
      </c>
      <c r="I104" s="53"/>
    </row>
    <row r="105" spans="1:9" s="26" customFormat="1" ht="63">
      <c r="A105" s="76"/>
      <c r="B105" s="77"/>
      <c r="C105" s="7" t="s">
        <v>263</v>
      </c>
      <c r="D105" s="12">
        <f>7734+1891-3947</f>
        <v>5678</v>
      </c>
      <c r="E105" s="41"/>
      <c r="F105" s="43"/>
      <c r="G105" s="12">
        <f>F105+D105</f>
        <v>5678</v>
      </c>
      <c r="I105" s="53"/>
    </row>
    <row r="106" spans="1:9" s="26" customFormat="1" ht="49.5" customHeight="1">
      <c r="A106" s="76" t="s">
        <v>6</v>
      </c>
      <c r="B106" s="77" t="s">
        <v>0</v>
      </c>
      <c r="C106" s="7" t="s">
        <v>219</v>
      </c>
      <c r="D106" s="23">
        <f>'[1]Місто'!$C$166-D107</f>
        <v>882058</v>
      </c>
      <c r="E106" s="7"/>
      <c r="F106" s="12"/>
      <c r="G106" s="12">
        <f t="shared" si="5"/>
        <v>882058</v>
      </c>
      <c r="I106" s="53"/>
    </row>
    <row r="107" spans="1:9" s="26" customFormat="1" ht="47.25">
      <c r="A107" s="76"/>
      <c r="B107" s="77"/>
      <c r="C107" s="41" t="s">
        <v>242</v>
      </c>
      <c r="D107" s="43">
        <f>5000+1000</f>
        <v>6000</v>
      </c>
      <c r="E107" s="41" t="s">
        <v>242</v>
      </c>
      <c r="F107" s="43">
        <f>5000+47500-10000+1500</f>
        <v>44000</v>
      </c>
      <c r="G107" s="25">
        <f>F107+D107</f>
        <v>50000</v>
      </c>
      <c r="I107" s="53"/>
    </row>
    <row r="108" spans="1:9" s="26" customFormat="1" ht="48" customHeight="1">
      <c r="A108" s="76" t="s">
        <v>69</v>
      </c>
      <c r="B108" s="77" t="s">
        <v>76</v>
      </c>
      <c r="C108" s="7" t="s">
        <v>219</v>
      </c>
      <c r="D108" s="23">
        <f>'[1]Місто'!$C$156-D109</f>
        <v>6849122</v>
      </c>
      <c r="E108" s="7"/>
      <c r="F108" s="12"/>
      <c r="G108" s="12">
        <f t="shared" si="5"/>
        <v>6849122</v>
      </c>
      <c r="I108" s="53"/>
    </row>
    <row r="109" spans="1:9" s="26" customFormat="1" ht="47.25">
      <c r="A109" s="76"/>
      <c r="B109" s="77"/>
      <c r="C109" s="41" t="s">
        <v>242</v>
      </c>
      <c r="D109" s="44">
        <f>1555600+15000+387066+528230-1000+100000+20000+57710+10000+66000+4660+50000-6000+75900+96500+5000+11500-25000+3000+35000+52983+2000+3000+5500-24785-1212+10000+5000+10000</f>
        <v>3051652</v>
      </c>
      <c r="E109" s="41"/>
      <c r="F109" s="43"/>
      <c r="G109" s="43">
        <f t="shared" si="5"/>
        <v>3051652</v>
      </c>
      <c r="I109" s="53"/>
    </row>
    <row r="110" spans="1:9" s="26" customFormat="1" ht="48" customHeight="1">
      <c r="A110" s="76" t="s">
        <v>67</v>
      </c>
      <c r="B110" s="77" t="s">
        <v>68</v>
      </c>
      <c r="C110" s="7"/>
      <c r="D110" s="23"/>
      <c r="E110" s="7" t="s">
        <v>246</v>
      </c>
      <c r="F110" s="18">
        <v>684413</v>
      </c>
      <c r="G110" s="12">
        <f t="shared" si="5"/>
        <v>684413</v>
      </c>
      <c r="I110" s="53"/>
    </row>
    <row r="111" spans="1:9" s="26" customFormat="1" ht="45.75" customHeight="1">
      <c r="A111" s="76"/>
      <c r="B111" s="77"/>
      <c r="C111" s="7"/>
      <c r="D111" s="8"/>
      <c r="E111" s="7" t="s">
        <v>247</v>
      </c>
      <c r="F111" s="18">
        <f>'[1]Місто'!$F$170-F110</f>
        <v>4632261</v>
      </c>
      <c r="G111" s="12">
        <f t="shared" si="5"/>
        <v>4632261</v>
      </c>
      <c r="I111" s="53"/>
    </row>
    <row r="112" spans="1:9" s="26" customFormat="1" ht="52.5" customHeight="1" hidden="1">
      <c r="A112" s="24" t="s">
        <v>16</v>
      </c>
      <c r="B112" s="77" t="s">
        <v>205</v>
      </c>
      <c r="C112" s="7" t="s">
        <v>107</v>
      </c>
      <c r="D112" s="23"/>
      <c r="E112" s="7"/>
      <c r="F112" s="22"/>
      <c r="G112" s="12">
        <f>F112+D112</f>
        <v>0</v>
      </c>
      <c r="I112" s="53"/>
    </row>
    <row r="113" spans="1:9" s="26" customFormat="1" ht="49.5" customHeight="1">
      <c r="A113" s="76" t="s">
        <v>16</v>
      </c>
      <c r="B113" s="77"/>
      <c r="C113" s="7" t="s">
        <v>220</v>
      </c>
      <c r="D113" s="23">
        <f>'[1]Місто'!$C$173-'[1]Місто'!$C$174</f>
        <v>146948</v>
      </c>
      <c r="E113" s="7"/>
      <c r="F113" s="22"/>
      <c r="G113" s="12">
        <f>F113+D113</f>
        <v>146948</v>
      </c>
      <c r="I113" s="53"/>
    </row>
    <row r="114" spans="1:9" s="26" customFormat="1" ht="62.25" customHeight="1" hidden="1">
      <c r="A114" s="76"/>
      <c r="B114" s="77"/>
      <c r="C114" s="7" t="s">
        <v>201</v>
      </c>
      <c r="D114" s="23"/>
      <c r="E114" s="7"/>
      <c r="F114" s="22"/>
      <c r="G114" s="12">
        <f>F114+D114</f>
        <v>0</v>
      </c>
      <c r="I114" s="53"/>
    </row>
    <row r="115" spans="1:9" s="26" customFormat="1" ht="78.75" customHeight="1">
      <c r="A115" s="24" t="s">
        <v>70</v>
      </c>
      <c r="B115" s="7" t="s">
        <v>206</v>
      </c>
      <c r="C115" s="7" t="s">
        <v>220</v>
      </c>
      <c r="D115" s="23">
        <f>'[1]Місто'!$C$175-'[1]Місто'!$C$176</f>
        <v>500000</v>
      </c>
      <c r="E115" s="7"/>
      <c r="F115" s="22"/>
      <c r="G115" s="12">
        <f t="shared" si="5"/>
        <v>500000</v>
      </c>
      <c r="I115" s="53"/>
    </row>
    <row r="116" spans="1:9" s="26" customFormat="1" ht="51" customHeight="1">
      <c r="A116" s="24" t="s">
        <v>100</v>
      </c>
      <c r="B116" s="7" t="s">
        <v>192</v>
      </c>
      <c r="C116" s="7" t="s">
        <v>220</v>
      </c>
      <c r="D116" s="23">
        <f>'[1]Місто'!$C$179-'[1]Місто'!$C$180</f>
        <v>14107656</v>
      </c>
      <c r="E116" s="7"/>
      <c r="F116" s="22"/>
      <c r="G116" s="12">
        <f t="shared" si="5"/>
        <v>14107656</v>
      </c>
      <c r="I116" s="53"/>
    </row>
    <row r="117" spans="1:9" s="26" customFormat="1" ht="68.25" customHeight="1" hidden="1">
      <c r="A117" s="28" t="s">
        <v>152</v>
      </c>
      <c r="B117" s="29" t="s">
        <v>156</v>
      </c>
      <c r="C117" s="7"/>
      <c r="D117" s="30">
        <f>SUM(D118:D118)</f>
        <v>0</v>
      </c>
      <c r="E117" s="7"/>
      <c r="F117" s="30">
        <f>SUM(F118:F118)</f>
        <v>0</v>
      </c>
      <c r="G117" s="30">
        <f>SUM(G118:G118)</f>
        <v>0</v>
      </c>
      <c r="I117" s="53">
        <f aca="true" t="shared" si="6" ref="I117:I122">H117-F117</f>
        <v>0</v>
      </c>
    </row>
    <row r="118" spans="1:9" s="26" customFormat="1" ht="31.5" hidden="1">
      <c r="A118" s="24" t="s">
        <v>140</v>
      </c>
      <c r="B118" s="7" t="s">
        <v>141</v>
      </c>
      <c r="C118" s="7" t="s">
        <v>153</v>
      </c>
      <c r="D118" s="23"/>
      <c r="E118" s="7" t="s">
        <v>153</v>
      </c>
      <c r="F118" s="18"/>
      <c r="G118" s="12">
        <f t="shared" si="5"/>
        <v>0</v>
      </c>
      <c r="I118" s="53">
        <f t="shared" si="6"/>
        <v>0</v>
      </c>
    </row>
    <row r="119" spans="1:9" s="26" customFormat="1" ht="63" hidden="1">
      <c r="A119" s="28" t="s">
        <v>163</v>
      </c>
      <c r="B119" s="29" t="s">
        <v>164</v>
      </c>
      <c r="C119" s="7"/>
      <c r="D119" s="30">
        <f>SUM(D120:D120)</f>
        <v>0</v>
      </c>
      <c r="E119" s="7"/>
      <c r="F119" s="30">
        <f>SUM(F120:F120)</f>
        <v>0</v>
      </c>
      <c r="G119" s="30">
        <f>SUM(G120:G120)</f>
        <v>0</v>
      </c>
      <c r="I119" s="53">
        <f t="shared" si="6"/>
        <v>0</v>
      </c>
    </row>
    <row r="120" spans="1:9" s="26" customFormat="1" ht="47.25" hidden="1">
      <c r="A120" s="24" t="s">
        <v>140</v>
      </c>
      <c r="B120" s="7" t="s">
        <v>141</v>
      </c>
      <c r="C120" s="7" t="s">
        <v>165</v>
      </c>
      <c r="D120" s="23"/>
      <c r="E120" s="7" t="s">
        <v>165</v>
      </c>
      <c r="F120" s="18"/>
      <c r="G120" s="12">
        <f>F120+D120</f>
        <v>0</v>
      </c>
      <c r="I120" s="53">
        <f t="shared" si="6"/>
        <v>0</v>
      </c>
    </row>
    <row r="121" spans="1:9" s="26" customFormat="1" ht="35.25" customHeight="1">
      <c r="A121" s="28" t="s">
        <v>123</v>
      </c>
      <c r="B121" s="29" t="s">
        <v>37</v>
      </c>
      <c r="C121" s="7"/>
      <c r="D121" s="30">
        <f>SUM(D122:D139)</f>
        <v>4756701</v>
      </c>
      <c r="E121" s="8"/>
      <c r="F121" s="30">
        <f>SUM(F122:F139)</f>
        <v>4255446</v>
      </c>
      <c r="G121" s="33">
        <f>SUM(G122:G139)</f>
        <v>9012147</v>
      </c>
      <c r="H121" s="54">
        <f>'[1]Місто'!$K$201</f>
        <v>3230781</v>
      </c>
      <c r="I121" s="53">
        <f t="shared" si="6"/>
        <v>-1024665</v>
      </c>
    </row>
    <row r="122" spans="1:9" s="26" customFormat="1" ht="31.5" hidden="1">
      <c r="A122" s="24" t="s">
        <v>140</v>
      </c>
      <c r="B122" s="7" t="s">
        <v>141</v>
      </c>
      <c r="C122" s="7" t="s">
        <v>155</v>
      </c>
      <c r="D122" s="23"/>
      <c r="E122" s="7"/>
      <c r="F122" s="25"/>
      <c r="G122" s="22">
        <f aca="true" t="shared" si="7" ref="G122:G137">D122+F122</f>
        <v>0</v>
      </c>
      <c r="I122" s="53">
        <f t="shared" si="6"/>
        <v>0</v>
      </c>
    </row>
    <row r="123" spans="1:9" s="26" customFormat="1" ht="54" customHeight="1">
      <c r="A123" s="76" t="s">
        <v>134</v>
      </c>
      <c r="B123" s="77" t="s">
        <v>135</v>
      </c>
      <c r="C123" s="7" t="s">
        <v>221</v>
      </c>
      <c r="D123" s="23">
        <f>101408+58924-5050</f>
        <v>155282</v>
      </c>
      <c r="E123" s="7" t="s">
        <v>223</v>
      </c>
      <c r="F123" s="25">
        <f>129972+64407</f>
        <v>194379</v>
      </c>
      <c r="G123" s="22">
        <f t="shared" si="7"/>
        <v>349661</v>
      </c>
      <c r="H123" s="54">
        <f>'[1]Місто'!$K$205</f>
        <v>194379</v>
      </c>
      <c r="I123" s="53">
        <f>H123-F123-F124</f>
        <v>0</v>
      </c>
    </row>
    <row r="124" spans="1:9" s="26" customFormat="1" ht="65.25" customHeight="1" hidden="1">
      <c r="A124" s="76"/>
      <c r="B124" s="77"/>
      <c r="C124" s="7" t="s">
        <v>263</v>
      </c>
      <c r="D124" s="23">
        <f>1272-1272</f>
        <v>0</v>
      </c>
      <c r="E124" s="7"/>
      <c r="F124" s="25"/>
      <c r="G124" s="22">
        <f t="shared" si="7"/>
        <v>0</v>
      </c>
      <c r="I124" s="53"/>
    </row>
    <row r="125" spans="1:9" s="26" customFormat="1" ht="54" customHeight="1">
      <c r="A125" s="76" t="s">
        <v>136</v>
      </c>
      <c r="B125" s="77" t="s">
        <v>137</v>
      </c>
      <c r="C125" s="7" t="s">
        <v>222</v>
      </c>
      <c r="D125" s="23">
        <f>949230-38489-45535-27665</f>
        <v>837541</v>
      </c>
      <c r="E125" s="7" t="s">
        <v>223</v>
      </c>
      <c r="F125" s="25">
        <f>1055075+150000+5340-4000</f>
        <v>1206415</v>
      </c>
      <c r="G125" s="22">
        <f t="shared" si="7"/>
        <v>2043956</v>
      </c>
      <c r="H125" s="54">
        <f>'[1]Місто'!$J$206</f>
        <v>1290858</v>
      </c>
      <c r="I125" s="53">
        <f>H125-F125-F126</f>
        <v>0</v>
      </c>
    </row>
    <row r="126" spans="1:9" s="26" customFormat="1" ht="47.25">
      <c r="A126" s="76"/>
      <c r="B126" s="77"/>
      <c r="C126" s="41" t="s">
        <v>242</v>
      </c>
      <c r="D126" s="42">
        <f>5000+500+4000-4000</f>
        <v>5500</v>
      </c>
      <c r="E126" s="41" t="s">
        <v>242</v>
      </c>
      <c r="F126" s="42">
        <f>46500+5000+3000+19000+2000+4000+4943</f>
        <v>84443</v>
      </c>
      <c r="G126" s="45">
        <f t="shared" si="7"/>
        <v>89943</v>
      </c>
      <c r="I126" s="53"/>
    </row>
    <row r="127" spans="1:9" s="26" customFormat="1" ht="66.75" customHeight="1">
      <c r="A127" s="76"/>
      <c r="B127" s="77"/>
      <c r="C127" s="7" t="s">
        <v>263</v>
      </c>
      <c r="D127" s="25">
        <f>8010-3230</f>
        <v>4780</v>
      </c>
      <c r="E127" s="41"/>
      <c r="F127" s="42"/>
      <c r="G127" s="22">
        <f t="shared" si="7"/>
        <v>4780</v>
      </c>
      <c r="I127" s="53"/>
    </row>
    <row r="128" spans="1:9" s="26" customFormat="1" ht="54" customHeight="1">
      <c r="A128" s="76" t="s">
        <v>144</v>
      </c>
      <c r="B128" s="77" t="s">
        <v>145</v>
      </c>
      <c r="C128" s="7" t="s">
        <v>222</v>
      </c>
      <c r="D128" s="23">
        <f>374849+3423</f>
        <v>378272</v>
      </c>
      <c r="E128" s="7" t="s">
        <v>222</v>
      </c>
      <c r="F128" s="25">
        <f>565442+74400</f>
        <v>639842</v>
      </c>
      <c r="G128" s="22">
        <f t="shared" si="7"/>
        <v>1018114</v>
      </c>
      <c r="H128" s="65">
        <f>'[1]Місто'!$J$207</f>
        <v>306757</v>
      </c>
      <c r="I128" s="53">
        <f>H128-F128-F129</f>
        <v>-353085</v>
      </c>
    </row>
    <row r="129" spans="1:9" s="26" customFormat="1" ht="47.25">
      <c r="A129" s="76"/>
      <c r="B129" s="77"/>
      <c r="C129" s="41" t="s">
        <v>242</v>
      </c>
      <c r="D129" s="42">
        <v>12000</v>
      </c>
      <c r="E129" s="41" t="s">
        <v>242</v>
      </c>
      <c r="F129" s="42">
        <f>12000+8000</f>
        <v>20000</v>
      </c>
      <c r="G129" s="42">
        <f>F129+D129</f>
        <v>32000</v>
      </c>
      <c r="I129" s="53"/>
    </row>
    <row r="130" spans="1:9" s="26" customFormat="1" ht="51" customHeight="1">
      <c r="A130" s="76" t="s">
        <v>142</v>
      </c>
      <c r="B130" s="77" t="s">
        <v>143</v>
      </c>
      <c r="C130" s="7" t="s">
        <v>222</v>
      </c>
      <c r="D130" s="23">
        <f>24000-24000</f>
        <v>0</v>
      </c>
      <c r="E130" s="7" t="s">
        <v>223</v>
      </c>
      <c r="F130" s="25">
        <f>2141240+1051467-213812-5340-68100-1000000-183598</f>
        <v>1721857</v>
      </c>
      <c r="G130" s="22">
        <f t="shared" si="7"/>
        <v>1721857</v>
      </c>
      <c r="H130" s="54">
        <f>'[1]Місто'!$K$208</f>
        <v>1216429</v>
      </c>
      <c r="I130" s="53">
        <f>F130+F131+F132+F134-H130</f>
        <v>558968</v>
      </c>
    </row>
    <row r="131" spans="1:9" s="26" customFormat="1" ht="47.25">
      <c r="A131" s="76"/>
      <c r="B131" s="77"/>
      <c r="C131" s="7"/>
      <c r="D131" s="23"/>
      <c r="E131" s="41" t="s">
        <v>242</v>
      </c>
      <c r="F131" s="42">
        <f>5500+3000+3000</f>
        <v>11500</v>
      </c>
      <c r="G131" s="42">
        <f>D131+F131</f>
        <v>11500</v>
      </c>
      <c r="I131" s="53"/>
    </row>
    <row r="132" spans="1:9" s="26" customFormat="1" ht="66" customHeight="1">
      <c r="A132" s="76"/>
      <c r="B132" s="77"/>
      <c r="C132" s="7" t="s">
        <v>263</v>
      </c>
      <c r="D132" s="23">
        <f>27731-21655</f>
        <v>6076</v>
      </c>
      <c r="E132" s="41"/>
      <c r="F132" s="42"/>
      <c r="G132" s="25">
        <f>D132+F132</f>
        <v>6076</v>
      </c>
      <c r="I132" s="53"/>
    </row>
    <row r="133" spans="1:9" s="26" customFormat="1" ht="47.25">
      <c r="A133" s="32">
        <v>110300</v>
      </c>
      <c r="B133" s="7" t="s">
        <v>13</v>
      </c>
      <c r="C133" s="7" t="s">
        <v>224</v>
      </c>
      <c r="D133" s="27">
        <f>'[1]Місто'!$C$211</f>
        <v>1047685</v>
      </c>
      <c r="E133" s="7"/>
      <c r="F133" s="42"/>
      <c r="G133" s="22">
        <f t="shared" si="7"/>
        <v>1047685</v>
      </c>
      <c r="I133" s="53"/>
    </row>
    <row r="134" spans="1:9" s="26" customFormat="1" ht="47.25">
      <c r="A134" s="83">
        <v>110502</v>
      </c>
      <c r="B134" s="77" t="s">
        <v>1</v>
      </c>
      <c r="C134" s="7" t="s">
        <v>281</v>
      </c>
      <c r="D134" s="21">
        <f>1655013+262096</f>
        <v>1917109</v>
      </c>
      <c r="E134" s="7" t="s">
        <v>281</v>
      </c>
      <c r="F134" s="22">
        <v>42040</v>
      </c>
      <c r="G134" s="22">
        <f t="shared" si="7"/>
        <v>1959149</v>
      </c>
      <c r="H134" s="54">
        <f>'[1]Місто'!$F$212</f>
        <v>182076</v>
      </c>
      <c r="I134" s="53">
        <f>F134+F135+F136+F138-H134</f>
        <v>0</v>
      </c>
    </row>
    <row r="135" spans="1:9" s="26" customFormat="1" ht="51" customHeight="1">
      <c r="A135" s="83"/>
      <c r="B135" s="77"/>
      <c r="C135" s="7" t="s">
        <v>222</v>
      </c>
      <c r="D135" s="21">
        <v>294456</v>
      </c>
      <c r="E135" s="7" t="s">
        <v>223</v>
      </c>
      <c r="F135" s="18">
        <f>'[1]Місто'!$K$212-F134-F138</f>
        <v>130036</v>
      </c>
      <c r="G135" s="22">
        <f t="shared" si="7"/>
        <v>424492</v>
      </c>
      <c r="I135" s="53">
        <f>H135-F135-F136</f>
        <v>-130036</v>
      </c>
    </row>
    <row r="136" spans="1:9" s="26" customFormat="1" ht="55.5" customHeight="1">
      <c r="A136" s="83"/>
      <c r="B136" s="77"/>
      <c r="C136" s="7" t="s">
        <v>225</v>
      </c>
      <c r="D136" s="21">
        <v>98000</v>
      </c>
      <c r="E136" s="32"/>
      <c r="F136" s="22"/>
      <c r="G136" s="22">
        <f t="shared" si="7"/>
        <v>98000</v>
      </c>
      <c r="I136" s="53"/>
    </row>
    <row r="137" spans="1:9" s="26" customFormat="1" ht="68.25" customHeight="1" hidden="1">
      <c r="A137" s="83"/>
      <c r="B137" s="77"/>
      <c r="C137" s="7" t="s">
        <v>263</v>
      </c>
      <c r="D137" s="21">
        <f>1310-1310</f>
        <v>0</v>
      </c>
      <c r="E137" s="7"/>
      <c r="F137" s="22"/>
      <c r="G137" s="22">
        <f t="shared" si="7"/>
        <v>0</v>
      </c>
      <c r="I137" s="53"/>
    </row>
    <row r="138" spans="1:9" s="26" customFormat="1" ht="47.25">
      <c r="A138" s="83"/>
      <c r="B138" s="77"/>
      <c r="C138" s="7"/>
      <c r="D138" s="21"/>
      <c r="E138" s="41" t="s">
        <v>242</v>
      </c>
      <c r="F138" s="42">
        <v>10000</v>
      </c>
      <c r="G138" s="42">
        <f>D138+F138</f>
        <v>10000</v>
      </c>
      <c r="I138" s="53"/>
    </row>
    <row r="139" spans="1:9" s="26" customFormat="1" ht="47.25">
      <c r="A139" s="24" t="s">
        <v>67</v>
      </c>
      <c r="B139" s="7" t="s">
        <v>68</v>
      </c>
      <c r="C139" s="7"/>
      <c r="D139" s="8"/>
      <c r="E139" s="7" t="s">
        <v>223</v>
      </c>
      <c r="F139" s="25">
        <f>'[1]Місто'!$F$214</f>
        <v>194934</v>
      </c>
      <c r="G139" s="12">
        <f>F139+D139</f>
        <v>194934</v>
      </c>
      <c r="H139" s="54">
        <f>'[1]Місто'!$K$214</f>
        <v>194934</v>
      </c>
      <c r="I139" s="53">
        <f>G139-H139</f>
        <v>0</v>
      </c>
    </row>
    <row r="140" spans="1:9" s="26" customFormat="1" ht="47.25" hidden="1">
      <c r="A140" s="28" t="s">
        <v>276</v>
      </c>
      <c r="B140" s="29" t="s">
        <v>277</v>
      </c>
      <c r="C140" s="7"/>
      <c r="D140" s="30">
        <f>D141</f>
        <v>0</v>
      </c>
      <c r="E140" s="8"/>
      <c r="F140" s="34">
        <f>F141</f>
        <v>0</v>
      </c>
      <c r="G140" s="33">
        <f>G141</f>
        <v>0</v>
      </c>
      <c r="H140" s="54"/>
      <c r="I140" s="53"/>
    </row>
    <row r="141" spans="1:9" s="26" customFormat="1" ht="47.25" hidden="1">
      <c r="A141" s="24" t="s">
        <v>140</v>
      </c>
      <c r="B141" s="7" t="s">
        <v>141</v>
      </c>
      <c r="C141" s="7"/>
      <c r="D141" s="8"/>
      <c r="E141" s="71" t="s">
        <v>243</v>
      </c>
      <c r="F141" s="72">
        <f>25000-25000</f>
        <v>0</v>
      </c>
      <c r="G141" s="12">
        <f>F141+D141</f>
        <v>0</v>
      </c>
      <c r="H141" s="54"/>
      <c r="I141" s="53"/>
    </row>
    <row r="142" spans="1:9" s="26" customFormat="1" ht="54" customHeight="1">
      <c r="A142" s="28" t="s">
        <v>122</v>
      </c>
      <c r="B142" s="29" t="s">
        <v>149</v>
      </c>
      <c r="C142" s="7"/>
      <c r="D142" s="30">
        <f>SUM(D143:D146)</f>
        <v>459915</v>
      </c>
      <c r="E142" s="8"/>
      <c r="F142" s="34">
        <f>SUM(F143:F146)</f>
        <v>508200</v>
      </c>
      <c r="G142" s="33">
        <f>SUM(G143:G146)</f>
        <v>968115</v>
      </c>
      <c r="H142" s="54">
        <f>'[1]Місто'!$K$223</f>
        <v>508200</v>
      </c>
      <c r="I142" s="53">
        <f>H142-F142</f>
        <v>0</v>
      </c>
    </row>
    <row r="143" spans="1:9" s="26" customFormat="1" ht="47.25">
      <c r="A143" s="24" t="s">
        <v>140</v>
      </c>
      <c r="B143" s="7" t="s">
        <v>141</v>
      </c>
      <c r="C143" s="7"/>
      <c r="D143" s="23"/>
      <c r="E143" s="7" t="s">
        <v>243</v>
      </c>
      <c r="F143" s="25">
        <f>'[1]Місто'!$F$225</f>
        <v>37000</v>
      </c>
      <c r="G143" s="12">
        <f>F143+D143</f>
        <v>37000</v>
      </c>
      <c r="I143" s="53"/>
    </row>
    <row r="144" spans="1:9" s="26" customFormat="1" ht="47.25">
      <c r="A144" s="24" t="s">
        <v>67</v>
      </c>
      <c r="B144" s="7" t="s">
        <v>68</v>
      </c>
      <c r="C144" s="7"/>
      <c r="D144" s="8"/>
      <c r="E144" s="7" t="s">
        <v>288</v>
      </c>
      <c r="F144" s="25">
        <f>'[1]Місто'!$F$227</f>
        <v>471200</v>
      </c>
      <c r="G144" s="12">
        <f>F144+D144</f>
        <v>471200</v>
      </c>
      <c r="I144" s="53"/>
    </row>
    <row r="145" spans="1:9" s="26" customFormat="1" ht="31.5" customHeight="1">
      <c r="A145" s="24" t="s">
        <v>60</v>
      </c>
      <c r="B145" s="7" t="s">
        <v>75</v>
      </c>
      <c r="C145" s="7" t="s">
        <v>226</v>
      </c>
      <c r="D145" s="23">
        <f>'[1]Місто'!$C$235</f>
        <v>351915</v>
      </c>
      <c r="E145" s="7"/>
      <c r="F145" s="12"/>
      <c r="G145" s="12">
        <f>F145+D145</f>
        <v>351915</v>
      </c>
      <c r="I145" s="53"/>
    </row>
    <row r="146" spans="1:9" s="26" customFormat="1" ht="47.25">
      <c r="A146" s="24" t="s">
        <v>85</v>
      </c>
      <c r="B146" s="7" t="s">
        <v>190</v>
      </c>
      <c r="C146" s="7" t="s">
        <v>227</v>
      </c>
      <c r="D146" s="23">
        <f>'[1]Місто'!$C$229</f>
        <v>108000</v>
      </c>
      <c r="E146" s="7"/>
      <c r="F146" s="12"/>
      <c r="G146" s="12">
        <f>F146+D146</f>
        <v>108000</v>
      </c>
      <c r="I146" s="53"/>
    </row>
    <row r="147" spans="1:9" s="26" customFormat="1" ht="47.25">
      <c r="A147" s="28" t="s">
        <v>158</v>
      </c>
      <c r="B147" s="29" t="s">
        <v>159</v>
      </c>
      <c r="C147" s="7"/>
      <c r="D147" s="30">
        <f>SUM(D148)</f>
        <v>0</v>
      </c>
      <c r="E147" s="8"/>
      <c r="F147" s="30">
        <f>SUM(F148)</f>
        <v>43050</v>
      </c>
      <c r="G147" s="30">
        <f>SUM(G148)</f>
        <v>43050</v>
      </c>
      <c r="H147" s="54">
        <f>'[1]Місто'!$K$236</f>
        <v>43050</v>
      </c>
      <c r="I147" s="53">
        <f>H147-F147</f>
        <v>0</v>
      </c>
    </row>
    <row r="148" spans="1:9" s="26" customFormat="1" ht="48.75" customHeight="1">
      <c r="A148" s="24" t="s">
        <v>140</v>
      </c>
      <c r="B148" s="7" t="s">
        <v>141</v>
      </c>
      <c r="C148" s="7"/>
      <c r="D148" s="23"/>
      <c r="E148" s="7" t="s">
        <v>243</v>
      </c>
      <c r="F148" s="25">
        <v>43050</v>
      </c>
      <c r="G148" s="12">
        <f>F148+D148</f>
        <v>43050</v>
      </c>
      <c r="I148" s="53"/>
    </row>
    <row r="149" spans="1:9" s="26" customFormat="1" ht="45.75" customHeight="1">
      <c r="A149" s="28" t="s">
        <v>120</v>
      </c>
      <c r="B149" s="29" t="s">
        <v>198</v>
      </c>
      <c r="C149" s="7"/>
      <c r="D149" s="30">
        <f>SUM(D151:D172)</f>
        <v>107519336</v>
      </c>
      <c r="E149" s="8"/>
      <c r="F149" s="34">
        <f>SUM(F150:F172)</f>
        <v>162499171</v>
      </c>
      <c r="G149" s="33">
        <f>SUM(G151:G172)</f>
        <v>269928507</v>
      </c>
      <c r="H149" s="54">
        <f>'[1]Місто'!$K$239+'[1]Місто'!$J$266+'[1]Місто'!$F$260</f>
        <v>162499171</v>
      </c>
      <c r="I149" s="53">
        <f>H149-F149</f>
        <v>0</v>
      </c>
    </row>
    <row r="150" spans="1:9" s="26" customFormat="1" ht="45.75" customHeight="1">
      <c r="A150" s="76" t="s">
        <v>140</v>
      </c>
      <c r="B150" s="77" t="s">
        <v>141</v>
      </c>
      <c r="C150" s="7"/>
      <c r="D150" s="30"/>
      <c r="E150" s="7" t="s">
        <v>243</v>
      </c>
      <c r="F150" s="25">
        <f>'[1]Місто'!$F$241</f>
        <v>90000</v>
      </c>
      <c r="G150" s="25">
        <f>F150+D150</f>
        <v>90000</v>
      </c>
      <c r="H150" s="54"/>
      <c r="I150" s="53"/>
    </row>
    <row r="151" spans="1:9" s="26" customFormat="1" ht="61.5" customHeight="1">
      <c r="A151" s="76"/>
      <c r="B151" s="77"/>
      <c r="C151" s="7" t="s">
        <v>263</v>
      </c>
      <c r="D151" s="23">
        <f>2797-2290</f>
        <v>507</v>
      </c>
      <c r="E151" s="7"/>
      <c r="F151" s="25"/>
      <c r="G151" s="25">
        <f>F151+D151</f>
        <v>507</v>
      </c>
      <c r="I151" s="53"/>
    </row>
    <row r="152" spans="1:9" s="26" customFormat="1" ht="47.25">
      <c r="A152" s="24" t="s">
        <v>69</v>
      </c>
      <c r="B152" s="7" t="s">
        <v>76</v>
      </c>
      <c r="C152" s="7" t="s">
        <v>248</v>
      </c>
      <c r="D152" s="23">
        <f>'[1]Місто'!$C$243</f>
        <v>135947</v>
      </c>
      <c r="E152" s="7"/>
      <c r="F152" s="12"/>
      <c r="G152" s="12">
        <f aca="true" t="shared" si="8" ref="G152:G172">F152+D152</f>
        <v>135947</v>
      </c>
      <c r="I152" s="53"/>
    </row>
    <row r="153" spans="1:9" s="26" customFormat="1" ht="47.25">
      <c r="A153" s="76" t="s">
        <v>188</v>
      </c>
      <c r="B153" s="77" t="s">
        <v>189</v>
      </c>
      <c r="C153" s="7" t="s">
        <v>248</v>
      </c>
      <c r="D153" s="23">
        <f>'[1]Місто'!$C$245-D154</f>
        <v>8681185</v>
      </c>
      <c r="E153" s="7"/>
      <c r="F153" s="12"/>
      <c r="G153" s="12">
        <f t="shared" si="8"/>
        <v>8681185</v>
      </c>
      <c r="I153" s="53"/>
    </row>
    <row r="154" spans="1:9" s="26" customFormat="1" ht="47.25">
      <c r="A154" s="76"/>
      <c r="B154" s="77"/>
      <c r="C154" s="41" t="s">
        <v>242</v>
      </c>
      <c r="D154" s="43">
        <f>164900+79500+8000+36100+10000-10000</f>
        <v>288500</v>
      </c>
      <c r="E154" s="7"/>
      <c r="F154" s="12"/>
      <c r="G154" s="43">
        <f t="shared" si="8"/>
        <v>288500</v>
      </c>
      <c r="I154" s="53"/>
    </row>
    <row r="155" spans="1:9" s="26" customFormat="1" ht="47.25">
      <c r="A155" s="76" t="s">
        <v>97</v>
      </c>
      <c r="B155" s="77" t="s">
        <v>98</v>
      </c>
      <c r="C155" s="7"/>
      <c r="D155" s="23"/>
      <c r="E155" s="7" t="s">
        <v>248</v>
      </c>
      <c r="F155" s="25">
        <f>'[1]Місто'!$F$251-F157</f>
        <v>48042664</v>
      </c>
      <c r="G155" s="12">
        <f t="shared" si="8"/>
        <v>48042664</v>
      </c>
      <c r="I155" s="53"/>
    </row>
    <row r="156" spans="1:9" s="26" customFormat="1" ht="47.25" customHeight="1" hidden="1">
      <c r="A156" s="76"/>
      <c r="B156" s="77"/>
      <c r="C156" s="7" t="s">
        <v>199</v>
      </c>
      <c r="D156" s="23">
        <f>'[1]Місто'!$C$252</f>
        <v>0</v>
      </c>
      <c r="E156" s="7" t="s">
        <v>204</v>
      </c>
      <c r="F156" s="12"/>
      <c r="G156" s="12">
        <f t="shared" si="8"/>
        <v>0</v>
      </c>
      <c r="I156" s="53"/>
    </row>
    <row r="157" spans="1:9" s="26" customFormat="1" ht="47.25">
      <c r="A157" s="76"/>
      <c r="B157" s="77"/>
      <c r="C157" s="7"/>
      <c r="D157" s="23"/>
      <c r="E157" s="41" t="s">
        <v>242</v>
      </c>
      <c r="F157" s="43">
        <f>205000+23000+25000+24000+20000+7500+28000+10000+5000+6400-8000-35300-30000-67975</f>
        <v>212625</v>
      </c>
      <c r="G157" s="43">
        <f t="shared" si="8"/>
        <v>212625</v>
      </c>
      <c r="I157" s="53"/>
    </row>
    <row r="158" spans="1:9" s="26" customFormat="1" ht="56.25" customHeight="1">
      <c r="A158" s="24" t="s">
        <v>238</v>
      </c>
      <c r="B158" s="7" t="s">
        <v>239</v>
      </c>
      <c r="C158" s="7"/>
      <c r="D158" s="23"/>
      <c r="E158" s="7" t="s">
        <v>248</v>
      </c>
      <c r="F158" s="25">
        <f>'[1]Місто'!$F$253</f>
        <v>901811</v>
      </c>
      <c r="G158" s="12">
        <f t="shared" si="8"/>
        <v>901811</v>
      </c>
      <c r="I158" s="53"/>
    </row>
    <row r="159" spans="1:9" s="26" customFormat="1" ht="51.75" customHeight="1">
      <c r="A159" s="76" t="s">
        <v>77</v>
      </c>
      <c r="B159" s="77" t="s">
        <v>99</v>
      </c>
      <c r="C159" s="7" t="s">
        <v>248</v>
      </c>
      <c r="D159" s="23">
        <f>'[1]Місто'!$C$254-D160</f>
        <v>76071298</v>
      </c>
      <c r="E159" s="7" t="s">
        <v>248</v>
      </c>
      <c r="F159" s="25">
        <f>'[1]Місто'!$F$254-F160</f>
        <v>2510578</v>
      </c>
      <c r="G159" s="12">
        <f t="shared" si="8"/>
        <v>78581876</v>
      </c>
      <c r="I159" s="53"/>
    </row>
    <row r="160" spans="1:9" s="26" customFormat="1" ht="47.25">
      <c r="A160" s="76"/>
      <c r="B160" s="77"/>
      <c r="C160" s="41" t="s">
        <v>242</v>
      </c>
      <c r="D160" s="43">
        <v>29000</v>
      </c>
      <c r="E160" s="41" t="s">
        <v>242</v>
      </c>
      <c r="F160" s="43">
        <f>41700+10000+20000-14700</f>
        <v>57000</v>
      </c>
      <c r="G160" s="43">
        <f t="shared" si="8"/>
        <v>86000</v>
      </c>
      <c r="I160" s="53"/>
    </row>
    <row r="161" spans="1:9" s="26" customFormat="1" ht="47.25" hidden="1">
      <c r="A161" s="24" t="s">
        <v>269</v>
      </c>
      <c r="B161" s="7" t="s">
        <v>270</v>
      </c>
      <c r="C161" s="41"/>
      <c r="D161" s="43"/>
      <c r="E161" s="7" t="s">
        <v>248</v>
      </c>
      <c r="F161" s="42">
        <f>'[1]Місто'!$K$255</f>
        <v>0</v>
      </c>
      <c r="G161" s="43">
        <f t="shared" si="8"/>
        <v>0</v>
      </c>
      <c r="I161" s="53"/>
    </row>
    <row r="162" spans="1:9" s="26" customFormat="1" ht="51" customHeight="1">
      <c r="A162" s="76" t="s">
        <v>67</v>
      </c>
      <c r="B162" s="77" t="s">
        <v>68</v>
      </c>
      <c r="C162" s="7"/>
      <c r="D162" s="8"/>
      <c r="E162" s="7" t="s">
        <v>248</v>
      </c>
      <c r="F162" s="18">
        <f>'[1]Місто'!$F$257-F163</f>
        <v>24106896</v>
      </c>
      <c r="G162" s="12">
        <f t="shared" si="8"/>
        <v>24106896</v>
      </c>
      <c r="I162" s="53"/>
    </row>
    <row r="163" spans="1:9" s="26" customFormat="1" ht="47.25">
      <c r="A163" s="76"/>
      <c r="B163" s="77"/>
      <c r="C163" s="7"/>
      <c r="D163" s="8"/>
      <c r="E163" s="41" t="s">
        <v>242</v>
      </c>
      <c r="F163" s="43">
        <f>10000+15000</f>
        <v>25000</v>
      </c>
      <c r="G163" s="43">
        <f t="shared" si="8"/>
        <v>25000</v>
      </c>
      <c r="I163" s="53"/>
    </row>
    <row r="164" spans="1:9" s="58" customFormat="1" ht="46.5" customHeight="1" hidden="1">
      <c r="A164" s="78" t="s">
        <v>22</v>
      </c>
      <c r="B164" s="74" t="s">
        <v>180</v>
      </c>
      <c r="C164" s="7"/>
      <c r="D164" s="8"/>
      <c r="E164" s="7" t="s">
        <v>248</v>
      </c>
      <c r="F164" s="25">
        <f>'[1]Місто'!$F$258-F165-F166</f>
        <v>0</v>
      </c>
      <c r="G164" s="12">
        <f>F164+D164</f>
        <v>0</v>
      </c>
      <c r="I164" s="59"/>
    </row>
    <row r="165" spans="1:9" s="58" customFormat="1" ht="69.75" customHeight="1">
      <c r="A165" s="80"/>
      <c r="B165" s="81"/>
      <c r="C165" s="7"/>
      <c r="D165" s="8"/>
      <c r="E165" s="7" t="s">
        <v>290</v>
      </c>
      <c r="F165" s="25">
        <v>20000000</v>
      </c>
      <c r="G165" s="12">
        <f>F165+D165</f>
        <v>20000000</v>
      </c>
      <c r="I165" s="59"/>
    </row>
    <row r="166" spans="1:9" s="58" customFormat="1" ht="87" customHeight="1">
      <c r="A166" s="79"/>
      <c r="B166" s="75"/>
      <c r="C166" s="7"/>
      <c r="D166" s="8"/>
      <c r="E166" s="7" t="s">
        <v>289</v>
      </c>
      <c r="F166" s="25">
        <v>200000</v>
      </c>
      <c r="G166" s="12">
        <f>F166+D166</f>
        <v>200000</v>
      </c>
      <c r="I166" s="59"/>
    </row>
    <row r="167" spans="1:9" s="26" customFormat="1" ht="69.75" customHeight="1">
      <c r="A167" s="24" t="s">
        <v>79</v>
      </c>
      <c r="B167" s="7" t="s">
        <v>80</v>
      </c>
      <c r="C167" s="7"/>
      <c r="D167" s="8"/>
      <c r="E167" s="7" t="s">
        <v>248</v>
      </c>
      <c r="F167" s="25">
        <f>'[1]Місто'!$F$261</f>
        <v>44254981</v>
      </c>
      <c r="G167" s="12">
        <f t="shared" si="8"/>
        <v>44254981</v>
      </c>
      <c r="I167" s="53"/>
    </row>
    <row r="168" spans="1:9" s="26" customFormat="1" ht="27.75" customHeight="1" hidden="1">
      <c r="A168" s="7">
        <v>180107</v>
      </c>
      <c r="B168" s="7" t="s">
        <v>185</v>
      </c>
      <c r="C168" s="7"/>
      <c r="D168" s="23"/>
      <c r="E168" s="7" t="s">
        <v>204</v>
      </c>
      <c r="F168" s="25">
        <f>'[1]Місто'!$F$289</f>
        <v>0</v>
      </c>
      <c r="G168" s="12">
        <f t="shared" si="8"/>
        <v>0</v>
      </c>
      <c r="I168" s="53"/>
    </row>
    <row r="169" spans="1:9" s="26" customFormat="1" ht="63" customHeight="1">
      <c r="A169" s="77">
        <v>180409</v>
      </c>
      <c r="B169" s="77" t="s">
        <v>197</v>
      </c>
      <c r="C169" s="7"/>
      <c r="D169" s="23"/>
      <c r="E169" s="7" t="s">
        <v>248</v>
      </c>
      <c r="F169" s="25">
        <f>'[1]Місто'!$F$264-F170</f>
        <v>12209631</v>
      </c>
      <c r="G169" s="12">
        <f t="shared" si="8"/>
        <v>12209631</v>
      </c>
      <c r="I169" s="53"/>
    </row>
    <row r="170" spans="1:9" s="26" customFormat="1" ht="47.25">
      <c r="A170" s="77"/>
      <c r="B170" s="77"/>
      <c r="C170" s="7"/>
      <c r="D170" s="23"/>
      <c r="E170" s="7" t="s">
        <v>264</v>
      </c>
      <c r="F170" s="25">
        <v>2688100</v>
      </c>
      <c r="G170" s="12">
        <f t="shared" si="8"/>
        <v>2688100</v>
      </c>
      <c r="I170" s="53"/>
    </row>
    <row r="171" spans="1:9" s="26" customFormat="1" ht="47.25">
      <c r="A171" s="24" t="s">
        <v>12</v>
      </c>
      <c r="B171" s="7" t="s">
        <v>89</v>
      </c>
      <c r="C171" s="7"/>
      <c r="D171" s="8"/>
      <c r="E171" s="7" t="s">
        <v>272</v>
      </c>
      <c r="F171" s="25">
        <f>'[1]Місто'!$F$266</f>
        <v>4357736</v>
      </c>
      <c r="G171" s="12">
        <f t="shared" si="8"/>
        <v>4357736</v>
      </c>
      <c r="I171" s="53"/>
    </row>
    <row r="172" spans="1:9" s="26" customFormat="1" ht="45.75" customHeight="1">
      <c r="A172" s="24" t="s">
        <v>60</v>
      </c>
      <c r="B172" s="7" t="s">
        <v>75</v>
      </c>
      <c r="C172" s="7" t="s">
        <v>248</v>
      </c>
      <c r="D172" s="23">
        <f>'[1]Місто'!$C$269+'[1]Місто'!$C$270+'[1]Місто'!$C$271+'[1]Місто'!$C$273</f>
        <v>22312899</v>
      </c>
      <c r="E172" s="7" t="s">
        <v>248</v>
      </c>
      <c r="F172" s="18">
        <f>'[1]Місто'!$F$273</f>
        <v>2842149</v>
      </c>
      <c r="G172" s="12">
        <f t="shared" si="8"/>
        <v>25155048</v>
      </c>
      <c r="I172" s="53"/>
    </row>
    <row r="173" spans="1:9" s="26" customFormat="1" ht="38.25" hidden="1">
      <c r="A173" s="24" t="s">
        <v>22</v>
      </c>
      <c r="B173" s="35" t="s">
        <v>180</v>
      </c>
      <c r="C173" s="7"/>
      <c r="D173" s="8"/>
      <c r="E173" s="7" t="s">
        <v>181</v>
      </c>
      <c r="F173" s="18">
        <f>'[1]Місто'!$F$286</f>
        <v>0</v>
      </c>
      <c r="G173" s="12">
        <f>D173+F173</f>
        <v>0</v>
      </c>
      <c r="I173" s="53">
        <f>H173-F173</f>
        <v>0</v>
      </c>
    </row>
    <row r="174" spans="1:9" s="26" customFormat="1" ht="70.5" customHeight="1" hidden="1">
      <c r="A174" s="28" t="s">
        <v>195</v>
      </c>
      <c r="B174" s="29" t="s">
        <v>194</v>
      </c>
      <c r="C174" s="29"/>
      <c r="D174" s="30">
        <f>D175+D176</f>
        <v>0</v>
      </c>
      <c r="E174" s="29"/>
      <c r="F174" s="36"/>
      <c r="G174" s="33">
        <f>D174+F174</f>
        <v>0</v>
      </c>
      <c r="I174" s="53">
        <f>H174-F174</f>
        <v>0</v>
      </c>
    </row>
    <row r="175" spans="1:9" s="26" customFormat="1" ht="36" customHeight="1" hidden="1">
      <c r="A175" s="24" t="s">
        <v>69</v>
      </c>
      <c r="B175" s="7" t="s">
        <v>76</v>
      </c>
      <c r="C175" s="7" t="s">
        <v>101</v>
      </c>
      <c r="D175" s="23">
        <f>'[1]Місто'!$C$312</f>
        <v>0</v>
      </c>
      <c r="E175" s="7"/>
      <c r="F175" s="18"/>
      <c r="G175" s="12">
        <f>D175+F175</f>
        <v>0</v>
      </c>
      <c r="I175" s="53">
        <f>H175-F175</f>
        <v>0</v>
      </c>
    </row>
    <row r="176" spans="1:9" s="26" customFormat="1" ht="47.25" customHeight="1" hidden="1">
      <c r="A176" s="24" t="s">
        <v>77</v>
      </c>
      <c r="B176" s="7" t="s">
        <v>99</v>
      </c>
      <c r="C176" s="7" t="s">
        <v>178</v>
      </c>
      <c r="D176" s="23">
        <f>'[1]Місто'!$C$315</f>
        <v>0</v>
      </c>
      <c r="E176" s="7"/>
      <c r="F176" s="18"/>
      <c r="G176" s="12">
        <f>D176+F176</f>
        <v>0</v>
      </c>
      <c r="I176" s="53">
        <f>H176-F176</f>
        <v>0</v>
      </c>
    </row>
    <row r="177" spans="1:9" s="26" customFormat="1" ht="47.25">
      <c r="A177" s="28" t="s">
        <v>121</v>
      </c>
      <c r="B177" s="29" t="s">
        <v>36</v>
      </c>
      <c r="C177" s="7"/>
      <c r="D177" s="30">
        <f>SUM(D178:D179)</f>
        <v>37328</v>
      </c>
      <c r="E177" s="8"/>
      <c r="F177" s="30">
        <f>SUM(F178:F179)</f>
        <v>80104</v>
      </c>
      <c r="G177" s="34">
        <f>G178+G179</f>
        <v>117432</v>
      </c>
      <c r="H177" s="54">
        <f>'[1]Місто'!$K$335</f>
        <v>80104</v>
      </c>
      <c r="I177" s="53">
        <f>H177-F177</f>
        <v>0</v>
      </c>
    </row>
    <row r="178" spans="1:9" s="26" customFormat="1" ht="48" customHeight="1">
      <c r="A178" s="24" t="s">
        <v>140</v>
      </c>
      <c r="B178" s="7" t="s">
        <v>141</v>
      </c>
      <c r="C178" s="7"/>
      <c r="D178" s="23"/>
      <c r="E178" s="7" t="s">
        <v>243</v>
      </c>
      <c r="F178" s="25">
        <f>'[1]Місто'!$F$337</f>
        <v>80104</v>
      </c>
      <c r="G178" s="12">
        <f>F178+D178</f>
        <v>80104</v>
      </c>
      <c r="I178" s="53"/>
    </row>
    <row r="179" spans="1:9" s="26" customFormat="1" ht="63">
      <c r="A179" s="24" t="s">
        <v>60</v>
      </c>
      <c r="B179" s="7" t="s">
        <v>75</v>
      </c>
      <c r="C179" s="7" t="s">
        <v>263</v>
      </c>
      <c r="D179" s="23">
        <f>'[1]Місто'!$C$344</f>
        <v>37328</v>
      </c>
      <c r="E179" s="7"/>
      <c r="F179" s="12"/>
      <c r="G179" s="12">
        <f>F179+D179</f>
        <v>37328</v>
      </c>
      <c r="I179" s="53"/>
    </row>
    <row r="180" spans="1:9" s="26" customFormat="1" ht="47.25">
      <c r="A180" s="28" t="s">
        <v>125</v>
      </c>
      <c r="B180" s="29" t="s">
        <v>38</v>
      </c>
      <c r="C180" s="7"/>
      <c r="D180" s="30">
        <f>SUM(D181:D184)</f>
        <v>2088668</v>
      </c>
      <c r="E180" s="8"/>
      <c r="F180" s="33">
        <f>SUM(F181:F182)</f>
        <v>98000</v>
      </c>
      <c r="G180" s="33">
        <f>SUM(G181:G184)</f>
        <v>2186668</v>
      </c>
      <c r="I180" s="53">
        <f>H180-F180</f>
        <v>-98000</v>
      </c>
    </row>
    <row r="181" spans="1:9" s="26" customFormat="1" ht="60" customHeight="1">
      <c r="A181" s="24" t="s">
        <v>140</v>
      </c>
      <c r="B181" s="7" t="s">
        <v>141</v>
      </c>
      <c r="C181" s="7" t="s">
        <v>148</v>
      </c>
      <c r="D181" s="23"/>
      <c r="E181" s="7" t="s">
        <v>243</v>
      </c>
      <c r="F181" s="25">
        <f>'[1]Місто'!$F$347</f>
        <v>98000</v>
      </c>
      <c r="G181" s="12">
        <f>F181+D181</f>
        <v>98000</v>
      </c>
      <c r="I181" s="53">
        <f>H181-F181</f>
        <v>-98000</v>
      </c>
    </row>
    <row r="182" spans="1:9" s="26" customFormat="1" ht="63">
      <c r="A182" s="83">
        <v>250404</v>
      </c>
      <c r="B182" s="83" t="s">
        <v>75</v>
      </c>
      <c r="C182" s="7" t="s">
        <v>273</v>
      </c>
      <c r="D182" s="27">
        <f>'[1]Місто'!$C$352</f>
        <v>29114</v>
      </c>
      <c r="E182" s="12"/>
      <c r="F182" s="37"/>
      <c r="G182" s="12">
        <f>F182+D182</f>
        <v>29114</v>
      </c>
      <c r="I182" s="53"/>
    </row>
    <row r="183" spans="1:9" s="26" customFormat="1" ht="51" customHeight="1">
      <c r="A183" s="83"/>
      <c r="B183" s="83"/>
      <c r="C183" s="7" t="s">
        <v>295</v>
      </c>
      <c r="D183" s="27">
        <f>'[1]Місто'!$C$353</f>
        <v>1193904</v>
      </c>
      <c r="E183" s="12"/>
      <c r="F183" s="37"/>
      <c r="G183" s="12">
        <f>F183+D183</f>
        <v>1193904</v>
      </c>
      <c r="I183" s="53"/>
    </row>
    <row r="184" spans="1:9" s="26" customFormat="1" ht="66" customHeight="1">
      <c r="A184" s="86"/>
      <c r="B184" s="83"/>
      <c r="C184" s="7" t="s">
        <v>296</v>
      </c>
      <c r="D184" s="27">
        <f>'[1]Місто'!$C$354</f>
        <v>865650</v>
      </c>
      <c r="E184" s="7"/>
      <c r="F184" s="12"/>
      <c r="G184" s="12">
        <f>F184+D184</f>
        <v>865650</v>
      </c>
      <c r="I184" s="53"/>
    </row>
    <row r="185" spans="1:9" s="26" customFormat="1" ht="31.5" hidden="1">
      <c r="A185" s="28">
        <v>50</v>
      </c>
      <c r="B185" s="29" t="s">
        <v>162</v>
      </c>
      <c r="C185" s="7"/>
      <c r="D185" s="30">
        <f>D186</f>
        <v>0</v>
      </c>
      <c r="E185" s="8"/>
      <c r="F185" s="33">
        <f>F186</f>
        <v>0</v>
      </c>
      <c r="G185" s="33">
        <f>G186</f>
        <v>0</v>
      </c>
      <c r="I185" s="53">
        <f>H185-F185</f>
        <v>0</v>
      </c>
    </row>
    <row r="186" spans="1:9" s="26" customFormat="1" ht="48.75" customHeight="1" hidden="1">
      <c r="A186" s="24" t="s">
        <v>140</v>
      </c>
      <c r="B186" s="7" t="s">
        <v>141</v>
      </c>
      <c r="C186" s="7" t="s">
        <v>154</v>
      </c>
      <c r="D186" s="27"/>
      <c r="E186" s="7"/>
      <c r="F186" s="12"/>
      <c r="G186" s="12">
        <f>F186+D186</f>
        <v>0</v>
      </c>
      <c r="I186" s="53">
        <f>H186-F186</f>
        <v>0</v>
      </c>
    </row>
    <row r="187" spans="1:9" s="26" customFormat="1" ht="47.25">
      <c r="A187" s="28" t="s">
        <v>129</v>
      </c>
      <c r="B187" s="29" t="s">
        <v>42</v>
      </c>
      <c r="C187" s="29"/>
      <c r="D187" s="30">
        <f>D189+D188</f>
        <v>0</v>
      </c>
      <c r="E187" s="38"/>
      <c r="F187" s="30">
        <f>F189+F188</f>
        <v>1736056</v>
      </c>
      <c r="G187" s="30">
        <f>G189+G188</f>
        <v>1736056</v>
      </c>
      <c r="H187" s="54">
        <f>'[1]Місто'!$K$358+'[1]Місто'!$G$358</f>
        <v>1736056</v>
      </c>
      <c r="I187" s="53">
        <f>H187-F187</f>
        <v>0</v>
      </c>
    </row>
    <row r="188" spans="1:9" s="26" customFormat="1" ht="47.25">
      <c r="A188" s="24" t="s">
        <v>140</v>
      </c>
      <c r="B188" s="7" t="s">
        <v>141</v>
      </c>
      <c r="C188" s="7"/>
      <c r="D188" s="23"/>
      <c r="E188" s="7" t="s">
        <v>282</v>
      </c>
      <c r="F188" s="23">
        <f>'[1]Місто'!$F$360</f>
        <v>29000</v>
      </c>
      <c r="G188" s="12">
        <f>F188+D188</f>
        <v>29000</v>
      </c>
      <c r="I188" s="53"/>
    </row>
    <row r="189" spans="1:9" s="26" customFormat="1" ht="47.25">
      <c r="A189" s="24" t="s">
        <v>24</v>
      </c>
      <c r="B189" s="7" t="s">
        <v>25</v>
      </c>
      <c r="C189" s="7"/>
      <c r="D189" s="23"/>
      <c r="E189" s="7" t="s">
        <v>283</v>
      </c>
      <c r="F189" s="25">
        <f>'[1]Місто'!$F$362</f>
        <v>1707056</v>
      </c>
      <c r="G189" s="12">
        <f>F189+D189</f>
        <v>1707056</v>
      </c>
      <c r="I189" s="53"/>
    </row>
    <row r="190" spans="1:9" s="26" customFormat="1" ht="50.25" customHeight="1">
      <c r="A190" s="28" t="s">
        <v>126</v>
      </c>
      <c r="B190" s="29" t="s">
        <v>39</v>
      </c>
      <c r="C190" s="7"/>
      <c r="D190" s="30">
        <f>SUM(D191:D194)</f>
        <v>16733</v>
      </c>
      <c r="E190" s="8"/>
      <c r="F190" s="30">
        <f>SUM(F191:F194)</f>
        <v>41734895</v>
      </c>
      <c r="G190" s="38">
        <f>SUM(G191:G194)</f>
        <v>41751628</v>
      </c>
      <c r="H190" s="54">
        <f>'[1]Місто'!$F$363</f>
        <v>41734895</v>
      </c>
      <c r="I190" s="53">
        <f>H190-F190</f>
        <v>0</v>
      </c>
    </row>
    <row r="191" spans="1:9" s="26" customFormat="1" ht="33" customHeight="1" hidden="1">
      <c r="A191" s="24" t="s">
        <v>140</v>
      </c>
      <c r="B191" s="7" t="s">
        <v>141</v>
      </c>
      <c r="C191" s="7" t="s">
        <v>157</v>
      </c>
      <c r="D191" s="23"/>
      <c r="E191" s="7"/>
      <c r="F191" s="25"/>
      <c r="G191" s="12">
        <f>F191+D191</f>
        <v>0</v>
      </c>
      <c r="I191" s="53">
        <f>H191-F191</f>
        <v>0</v>
      </c>
    </row>
    <row r="192" spans="1:9" s="26" customFormat="1" ht="47.25">
      <c r="A192" s="7">
        <v>240601</v>
      </c>
      <c r="B192" s="7" t="s">
        <v>89</v>
      </c>
      <c r="C192" s="7"/>
      <c r="D192" s="8"/>
      <c r="E192" s="7" t="s">
        <v>272</v>
      </c>
      <c r="F192" s="25">
        <f>'[1]Місто'!$F$367</f>
        <v>41695595</v>
      </c>
      <c r="G192" s="25">
        <f>F192+D192</f>
        <v>41695595</v>
      </c>
      <c r="I192" s="53"/>
    </row>
    <row r="193" spans="1:9" s="26" customFormat="1" ht="72" customHeight="1">
      <c r="A193" s="7">
        <v>240900</v>
      </c>
      <c r="B193" s="7" t="s">
        <v>193</v>
      </c>
      <c r="C193" s="7"/>
      <c r="D193" s="8"/>
      <c r="E193" s="7" t="s">
        <v>259</v>
      </c>
      <c r="F193" s="25">
        <f>'[1]Місто'!$F$368</f>
        <v>39300</v>
      </c>
      <c r="G193" s="25">
        <f>F193+D193</f>
        <v>39300</v>
      </c>
      <c r="I193" s="53"/>
    </row>
    <row r="194" spans="1:9" s="26" customFormat="1" ht="54" customHeight="1">
      <c r="A194" s="7">
        <v>250404</v>
      </c>
      <c r="B194" s="7" t="s">
        <v>182</v>
      </c>
      <c r="C194" s="7" t="s">
        <v>294</v>
      </c>
      <c r="D194" s="23">
        <f>'[1]Місто'!$C$371</f>
        <v>16733</v>
      </c>
      <c r="E194" s="7"/>
      <c r="F194" s="25"/>
      <c r="G194" s="12">
        <f>F194+D194</f>
        <v>16733</v>
      </c>
      <c r="I194" s="53"/>
    </row>
    <row r="195" spans="1:9" s="26" customFormat="1" ht="47.25">
      <c r="A195" s="28" t="s">
        <v>124</v>
      </c>
      <c r="B195" s="29" t="s">
        <v>40</v>
      </c>
      <c r="C195" s="7"/>
      <c r="D195" s="30">
        <f>SUM(D196:D206)</f>
        <v>25378343</v>
      </c>
      <c r="E195" s="8"/>
      <c r="F195" s="30">
        <f>SUM(F196:F206)</f>
        <v>4610045</v>
      </c>
      <c r="G195" s="30">
        <f>SUM(G196:G206)</f>
        <v>29988388</v>
      </c>
      <c r="H195" s="54">
        <f>'[1]Місто'!$F$372</f>
        <v>4610045</v>
      </c>
      <c r="I195" s="53">
        <f>H195-F195</f>
        <v>0</v>
      </c>
    </row>
    <row r="196" spans="1:9" s="26" customFormat="1" ht="69" customHeight="1" hidden="1">
      <c r="A196" s="24" t="s">
        <v>140</v>
      </c>
      <c r="B196" s="7" t="s">
        <v>141</v>
      </c>
      <c r="C196" s="7" t="s">
        <v>160</v>
      </c>
      <c r="D196" s="23"/>
      <c r="E196" s="8"/>
      <c r="F196" s="12"/>
      <c r="G196" s="12">
        <f aca="true" t="shared" si="9" ref="G196:G206">F196+D196</f>
        <v>0</v>
      </c>
      <c r="I196" s="53">
        <f>H196-F196</f>
        <v>0</v>
      </c>
    </row>
    <row r="197" spans="1:9" s="26" customFormat="1" ht="84.75" customHeight="1">
      <c r="A197" s="24" t="s">
        <v>14</v>
      </c>
      <c r="B197" s="7" t="s">
        <v>15</v>
      </c>
      <c r="C197" s="7" t="s">
        <v>278</v>
      </c>
      <c r="D197" s="23">
        <f>'[1]Місто'!$C$376</f>
        <v>2179800</v>
      </c>
      <c r="E197" s="7"/>
      <c r="F197" s="25">
        <f>'[1]Місто'!$F$376</f>
        <v>0</v>
      </c>
      <c r="G197" s="12">
        <f t="shared" si="9"/>
        <v>2179800</v>
      </c>
      <c r="I197" s="53"/>
    </row>
    <row r="198" spans="1:9" s="26" customFormat="1" ht="72.75" customHeight="1">
      <c r="A198" s="24" t="s">
        <v>65</v>
      </c>
      <c r="B198" s="7" t="s">
        <v>66</v>
      </c>
      <c r="C198" s="7" t="s">
        <v>229</v>
      </c>
      <c r="D198" s="23">
        <f>'[1]Місто'!$C$382</f>
        <v>17500000</v>
      </c>
      <c r="E198" s="7"/>
      <c r="F198" s="12"/>
      <c r="G198" s="12">
        <f t="shared" si="9"/>
        <v>17500000</v>
      </c>
      <c r="I198" s="53"/>
    </row>
    <row r="199" spans="1:9" s="26" customFormat="1" ht="78.75" hidden="1">
      <c r="A199" s="78" t="s">
        <v>67</v>
      </c>
      <c r="B199" s="74" t="s">
        <v>68</v>
      </c>
      <c r="C199" s="7"/>
      <c r="D199" s="23"/>
      <c r="E199" s="7" t="s">
        <v>229</v>
      </c>
      <c r="F199" s="25">
        <f>'[1]Місто'!$F$378-98000</f>
        <v>0</v>
      </c>
      <c r="G199" s="12">
        <f t="shared" si="9"/>
        <v>0</v>
      </c>
      <c r="I199" s="53"/>
    </row>
    <row r="200" spans="1:9" s="26" customFormat="1" ht="63">
      <c r="A200" s="79"/>
      <c r="B200" s="75"/>
      <c r="C200" s="7"/>
      <c r="D200" s="23"/>
      <c r="E200" s="7" t="s">
        <v>244</v>
      </c>
      <c r="F200" s="25">
        <v>98000</v>
      </c>
      <c r="G200" s="12">
        <f t="shared" si="9"/>
        <v>98000</v>
      </c>
      <c r="I200" s="53"/>
    </row>
    <row r="201" spans="1:9" s="26" customFormat="1" ht="62.25" customHeight="1">
      <c r="A201" s="76" t="s">
        <v>81</v>
      </c>
      <c r="B201" s="77" t="s">
        <v>197</v>
      </c>
      <c r="C201" s="77"/>
      <c r="D201" s="23"/>
      <c r="E201" s="7" t="s">
        <v>229</v>
      </c>
      <c r="F201" s="25">
        <f>'[1]Місто'!$F$384-F202-F203</f>
        <v>443943</v>
      </c>
      <c r="G201" s="12">
        <f t="shared" si="9"/>
        <v>443943</v>
      </c>
      <c r="I201" s="53"/>
    </row>
    <row r="202" spans="1:9" s="26" customFormat="1" ht="63">
      <c r="A202" s="76"/>
      <c r="B202" s="77"/>
      <c r="C202" s="77"/>
      <c r="D202" s="87"/>
      <c r="E202" s="7" t="s">
        <v>260</v>
      </c>
      <c r="F202" s="25">
        <f>634942+794570+900000-614570</f>
        <v>1714942</v>
      </c>
      <c r="G202" s="12">
        <f t="shared" si="9"/>
        <v>1714942</v>
      </c>
      <c r="I202" s="53"/>
    </row>
    <row r="203" spans="1:9" s="26" customFormat="1" ht="47.25" hidden="1">
      <c r="A203" s="76"/>
      <c r="B203" s="77"/>
      <c r="C203" s="77"/>
      <c r="D203" s="87"/>
      <c r="E203" s="7" t="s">
        <v>286</v>
      </c>
      <c r="F203" s="12">
        <f>1469660-1469660</f>
        <v>0</v>
      </c>
      <c r="G203" s="12">
        <f t="shared" si="9"/>
        <v>0</v>
      </c>
      <c r="I203" s="53"/>
    </row>
    <row r="204" spans="1:9" s="26" customFormat="1" ht="69" customHeight="1">
      <c r="A204" s="24" t="s">
        <v>186</v>
      </c>
      <c r="B204" s="7" t="s">
        <v>187</v>
      </c>
      <c r="C204" s="7" t="s">
        <v>229</v>
      </c>
      <c r="D204" s="23">
        <f>'[1]Місто'!$C$381</f>
        <v>217929</v>
      </c>
      <c r="E204" s="7" t="s">
        <v>260</v>
      </c>
      <c r="F204" s="25">
        <f>'[1]Місто'!$F$381</f>
        <v>883500</v>
      </c>
      <c r="G204" s="12">
        <f t="shared" si="9"/>
        <v>1101429</v>
      </c>
      <c r="I204" s="53"/>
    </row>
    <row r="205" spans="1:9" s="26" customFormat="1" ht="63">
      <c r="A205" s="76" t="s">
        <v>60</v>
      </c>
      <c r="B205" s="77" t="s">
        <v>75</v>
      </c>
      <c r="C205" s="7" t="s">
        <v>260</v>
      </c>
      <c r="D205" s="23">
        <f>'[1]Місто'!$C$387</f>
        <v>5450274</v>
      </c>
      <c r="E205" s="7"/>
      <c r="F205" s="12"/>
      <c r="G205" s="12">
        <f t="shared" si="9"/>
        <v>5450274</v>
      </c>
      <c r="I205" s="53"/>
    </row>
    <row r="206" spans="1:9" s="26" customFormat="1" ht="63">
      <c r="A206" s="76"/>
      <c r="B206" s="77"/>
      <c r="C206" s="7" t="s">
        <v>292</v>
      </c>
      <c r="D206" s="23">
        <f>'[1]Місто'!$C$390</f>
        <v>30340</v>
      </c>
      <c r="E206" s="7" t="s">
        <v>292</v>
      </c>
      <c r="F206" s="25">
        <f>'[1]Місто'!$F$386</f>
        <v>1469660</v>
      </c>
      <c r="G206" s="12">
        <f t="shared" si="9"/>
        <v>1500000</v>
      </c>
      <c r="I206" s="53"/>
    </row>
    <row r="207" spans="1:9" s="26" customFormat="1" ht="78.75" customHeight="1">
      <c r="A207" s="28" t="s">
        <v>119</v>
      </c>
      <c r="B207" s="29" t="s">
        <v>35</v>
      </c>
      <c r="C207" s="7"/>
      <c r="D207" s="30">
        <f>SUM(D208:D210)</f>
        <v>6190989</v>
      </c>
      <c r="E207" s="8"/>
      <c r="F207" s="34">
        <f>SUM(F208:F210)</f>
        <v>6891045</v>
      </c>
      <c r="G207" s="34">
        <f>SUM(G208:G210)</f>
        <v>13082034</v>
      </c>
      <c r="H207" s="54">
        <f>H209+H210</f>
        <v>6891045</v>
      </c>
      <c r="I207" s="53">
        <f>H207-F207</f>
        <v>0</v>
      </c>
    </row>
    <row r="208" spans="1:9" s="26" customFormat="1" ht="65.25" customHeight="1" hidden="1">
      <c r="A208" s="24" t="s">
        <v>140</v>
      </c>
      <c r="B208" s="7" t="s">
        <v>141</v>
      </c>
      <c r="C208" s="7" t="s">
        <v>151</v>
      </c>
      <c r="D208" s="23"/>
      <c r="E208" s="7"/>
      <c r="F208" s="18"/>
      <c r="G208" s="12">
        <f>F208+D208</f>
        <v>0</v>
      </c>
      <c r="I208" s="53">
        <f>H208-F208</f>
        <v>0</v>
      </c>
    </row>
    <row r="209" spans="1:9" s="26" customFormat="1" ht="78.75" customHeight="1">
      <c r="A209" s="24" t="s">
        <v>71</v>
      </c>
      <c r="B209" s="7" t="s">
        <v>72</v>
      </c>
      <c r="C209" s="7" t="s">
        <v>249</v>
      </c>
      <c r="D209" s="23">
        <f>'[1]Місто'!$C$395</f>
        <v>3263537</v>
      </c>
      <c r="E209" s="7" t="s">
        <v>249</v>
      </c>
      <c r="F209" s="18">
        <f>'[1]Місто'!$F$395</f>
        <v>6768604</v>
      </c>
      <c r="G209" s="12">
        <f>F209+D209</f>
        <v>10032141</v>
      </c>
      <c r="H209" s="54">
        <f>'[1]Місто'!$F$395</f>
        <v>6768604</v>
      </c>
      <c r="I209" s="53">
        <f>H209-F209</f>
        <v>0</v>
      </c>
    </row>
    <row r="210" spans="1:9" s="26" customFormat="1" ht="78.75">
      <c r="A210" s="76" t="s">
        <v>73</v>
      </c>
      <c r="B210" s="77" t="s">
        <v>74</v>
      </c>
      <c r="C210" s="7" t="s">
        <v>249</v>
      </c>
      <c r="D210" s="23">
        <f>'[1]Місто'!$C$398-D211</f>
        <v>2927452</v>
      </c>
      <c r="E210" s="7" t="s">
        <v>249</v>
      </c>
      <c r="F210" s="18">
        <f>'[1]Місто'!$F$398</f>
        <v>122441</v>
      </c>
      <c r="G210" s="12">
        <f>F210+D210</f>
        <v>3049893</v>
      </c>
      <c r="H210" s="54">
        <f>'[1]Місто'!$F$398</f>
        <v>122441</v>
      </c>
      <c r="I210" s="53">
        <f>H210-F210</f>
        <v>0</v>
      </c>
    </row>
    <row r="211" spans="1:9" s="26" customFormat="1" ht="68.25" customHeight="1">
      <c r="A211" s="76"/>
      <c r="B211" s="77"/>
      <c r="C211" s="7" t="s">
        <v>279</v>
      </c>
      <c r="D211" s="23">
        <f>1957+364-957</f>
        <v>1364</v>
      </c>
      <c r="E211" s="7"/>
      <c r="F211" s="18"/>
      <c r="G211" s="25">
        <f>F211+D211</f>
        <v>1364</v>
      </c>
      <c r="I211" s="53"/>
    </row>
    <row r="212" spans="1:9" s="26" customFormat="1" ht="47.25">
      <c r="A212" s="28" t="s">
        <v>128</v>
      </c>
      <c r="B212" s="29" t="s">
        <v>41</v>
      </c>
      <c r="C212" s="7"/>
      <c r="D212" s="30">
        <f>SUM(D213:D217)</f>
        <v>629895</v>
      </c>
      <c r="E212" s="8"/>
      <c r="F212" s="30">
        <f>SUM(F213:F217)</f>
        <v>4309448</v>
      </c>
      <c r="G212" s="38">
        <f>SUM(G213:G217)</f>
        <v>4939343</v>
      </c>
      <c r="H212" s="54">
        <f>'[1]Місто'!$K$399</f>
        <v>4309448</v>
      </c>
      <c r="I212" s="53">
        <f>H212-F212</f>
        <v>0</v>
      </c>
    </row>
    <row r="213" spans="1:9" s="26" customFormat="1" ht="47.25">
      <c r="A213" s="24" t="s">
        <v>140</v>
      </c>
      <c r="B213" s="7" t="s">
        <v>141</v>
      </c>
      <c r="C213" s="7"/>
      <c r="D213" s="23"/>
      <c r="E213" s="7" t="s">
        <v>228</v>
      </c>
      <c r="F213" s="23">
        <f>'[1]Місто'!$F$401</f>
        <v>30000</v>
      </c>
      <c r="G213" s="12">
        <f>F213+D213</f>
        <v>30000</v>
      </c>
      <c r="I213" s="53"/>
    </row>
    <row r="214" spans="1:9" s="26" customFormat="1" ht="63">
      <c r="A214" s="24" t="s">
        <v>67</v>
      </c>
      <c r="B214" s="7" t="s">
        <v>68</v>
      </c>
      <c r="C214" s="7"/>
      <c r="D214" s="8"/>
      <c r="E214" s="7" t="s">
        <v>250</v>
      </c>
      <c r="F214" s="18">
        <f>'[1]Місто'!$F$406</f>
        <v>1624545</v>
      </c>
      <c r="G214" s="12">
        <f>F214+D214</f>
        <v>1624545</v>
      </c>
      <c r="I214" s="53"/>
    </row>
    <row r="215" spans="1:9" s="26" customFormat="1" ht="79.5" customHeight="1">
      <c r="A215" s="24" t="s">
        <v>82</v>
      </c>
      <c r="B215" s="7" t="s">
        <v>83</v>
      </c>
      <c r="C215" s="7"/>
      <c r="D215" s="8"/>
      <c r="E215" s="7" t="s">
        <v>250</v>
      </c>
      <c r="F215" s="25">
        <f>'[1]Місто'!$F$411</f>
        <v>2654903</v>
      </c>
      <c r="G215" s="12">
        <f>F215+D215</f>
        <v>2654903</v>
      </c>
      <c r="I215" s="53"/>
    </row>
    <row r="216" spans="1:9" s="26" customFormat="1" ht="78.75" hidden="1">
      <c r="A216" s="24" t="s">
        <v>71</v>
      </c>
      <c r="B216" s="7" t="s">
        <v>191</v>
      </c>
      <c r="C216" s="7"/>
      <c r="D216" s="23"/>
      <c r="E216" s="7" t="s">
        <v>249</v>
      </c>
      <c r="F216" s="25">
        <f>'[1]Місто'!$F$413</f>
        <v>0</v>
      </c>
      <c r="G216" s="12">
        <f>F216+D216</f>
        <v>0</v>
      </c>
      <c r="I216" s="53"/>
    </row>
    <row r="217" spans="1:9" s="26" customFormat="1" ht="53.25" customHeight="1">
      <c r="A217" s="24" t="s">
        <v>60</v>
      </c>
      <c r="B217" s="7" t="s">
        <v>75</v>
      </c>
      <c r="C217" s="7" t="s">
        <v>233</v>
      </c>
      <c r="D217" s="23">
        <f>'[1]Місто'!$C$416</f>
        <v>629895</v>
      </c>
      <c r="E217" s="7"/>
      <c r="F217" s="25"/>
      <c r="G217" s="12">
        <f>F217+D217</f>
        <v>629895</v>
      </c>
      <c r="I217" s="53"/>
    </row>
    <row r="218" spans="1:9" s="26" customFormat="1" ht="46.5" customHeight="1">
      <c r="A218" s="28" t="s">
        <v>127</v>
      </c>
      <c r="B218" s="29" t="s">
        <v>20</v>
      </c>
      <c r="C218" s="7"/>
      <c r="D218" s="30">
        <f>SUM(D219:D223)</f>
        <v>12327377</v>
      </c>
      <c r="E218" s="8"/>
      <c r="F218" s="33">
        <f>SUM(F219:F223)</f>
        <v>0</v>
      </c>
      <c r="G218" s="34">
        <f>SUM(G219:G223)</f>
        <v>12327377</v>
      </c>
      <c r="I218" s="53"/>
    </row>
    <row r="219" spans="1:9" s="26" customFormat="1" ht="46.5" customHeight="1" hidden="1">
      <c r="A219" s="32" t="s">
        <v>140</v>
      </c>
      <c r="B219" s="7" t="s">
        <v>141</v>
      </c>
      <c r="C219" s="7" t="s">
        <v>161</v>
      </c>
      <c r="D219" s="27"/>
      <c r="E219" s="8"/>
      <c r="F219" s="25"/>
      <c r="G219" s="25">
        <f>F219+D219</f>
        <v>0</v>
      </c>
      <c r="I219" s="53"/>
    </row>
    <row r="220" spans="1:9" s="26" customFormat="1" ht="70.5" customHeight="1">
      <c r="A220" s="24" t="s">
        <v>140</v>
      </c>
      <c r="B220" s="7" t="s">
        <v>141</v>
      </c>
      <c r="C220" s="7" t="s">
        <v>263</v>
      </c>
      <c r="D220" s="27">
        <f>2068+56</f>
        <v>2124</v>
      </c>
      <c r="E220" s="8"/>
      <c r="F220" s="25"/>
      <c r="G220" s="25">
        <f>F220+D220</f>
        <v>2124</v>
      </c>
      <c r="I220" s="53"/>
    </row>
    <row r="221" spans="1:9" s="26" customFormat="1" ht="15.75">
      <c r="A221" s="32">
        <v>230000</v>
      </c>
      <c r="B221" s="7" t="s">
        <v>170</v>
      </c>
      <c r="C221" s="77" t="s">
        <v>297</v>
      </c>
      <c r="D221" s="27">
        <f>'[1]Місто'!$C$420</f>
        <v>12273000</v>
      </c>
      <c r="E221" s="8"/>
      <c r="F221" s="33"/>
      <c r="G221" s="25">
        <f>F221+D221</f>
        <v>12273000</v>
      </c>
      <c r="I221" s="53"/>
    </row>
    <row r="222" spans="1:9" s="26" customFormat="1" ht="48" customHeight="1" hidden="1">
      <c r="A222" s="32">
        <v>210105</v>
      </c>
      <c r="B222" s="7"/>
      <c r="C222" s="77"/>
      <c r="D222" s="27">
        <f>'[1]Місто'!$C$425</f>
        <v>0</v>
      </c>
      <c r="E222" s="8"/>
      <c r="F222" s="25">
        <f>'[1]Місто'!$F$425</f>
        <v>0</v>
      </c>
      <c r="G222" s="25">
        <f>F222+D222</f>
        <v>0</v>
      </c>
      <c r="I222" s="53"/>
    </row>
    <row r="223" spans="1:9" s="26" customFormat="1" ht="33" customHeight="1">
      <c r="A223" s="24" t="s">
        <v>60</v>
      </c>
      <c r="B223" s="7" t="s">
        <v>75</v>
      </c>
      <c r="C223" s="77"/>
      <c r="D223" s="23">
        <f>'[1]Місто'!$C$427</f>
        <v>52253</v>
      </c>
      <c r="E223" s="7"/>
      <c r="F223" s="12"/>
      <c r="G223" s="25">
        <f>F223+D223</f>
        <v>52253</v>
      </c>
      <c r="I223" s="53"/>
    </row>
    <row r="224" spans="1:9" s="26" customFormat="1" ht="47.25">
      <c r="A224" s="28" t="s">
        <v>169</v>
      </c>
      <c r="B224" s="29" t="s">
        <v>20</v>
      </c>
      <c r="C224" s="7"/>
      <c r="D224" s="38">
        <f>SUM(D225:D227)</f>
        <v>0</v>
      </c>
      <c r="E224" s="7"/>
      <c r="F224" s="30">
        <f>SUM(F225:F227)</f>
        <v>760407</v>
      </c>
      <c r="G224" s="38">
        <f>SUM(G225:G227)</f>
        <v>760407</v>
      </c>
      <c r="H224" s="54">
        <f>'[1]Місто'!$K$430</f>
        <v>760407</v>
      </c>
      <c r="I224" s="53">
        <f>H224-F224</f>
        <v>0</v>
      </c>
    </row>
    <row r="225" spans="1:9" s="26" customFormat="1" ht="45" customHeight="1" hidden="1">
      <c r="A225" s="24" t="s">
        <v>84</v>
      </c>
      <c r="B225" s="7" t="s">
        <v>171</v>
      </c>
      <c r="C225" s="7"/>
      <c r="D225" s="8"/>
      <c r="E225" s="7" t="s">
        <v>179</v>
      </c>
      <c r="F225" s="18">
        <f>'[1]Місто'!$F$432</f>
        <v>0</v>
      </c>
      <c r="G225" s="12">
        <f>D225+F225</f>
        <v>0</v>
      </c>
      <c r="I225" s="53">
        <f>H225-F225</f>
        <v>0</v>
      </c>
    </row>
    <row r="226" spans="1:9" s="26" customFormat="1" ht="51.75" customHeight="1">
      <c r="A226" s="88">
        <v>250380</v>
      </c>
      <c r="B226" s="74" t="s">
        <v>271</v>
      </c>
      <c r="C226" s="7"/>
      <c r="D226" s="8"/>
      <c r="E226" s="7" t="s">
        <v>248</v>
      </c>
      <c r="F226" s="25">
        <f>'[1]Місто'!$F$433-140000</f>
        <v>620407</v>
      </c>
      <c r="G226" s="12">
        <f>F226+D226</f>
        <v>620407</v>
      </c>
      <c r="I226" s="53"/>
    </row>
    <row r="227" spans="1:9" s="26" customFormat="1" ht="51.75" customHeight="1">
      <c r="A227" s="89"/>
      <c r="B227" s="75"/>
      <c r="C227" s="7"/>
      <c r="D227" s="8"/>
      <c r="E227" s="7" t="s">
        <v>274</v>
      </c>
      <c r="F227" s="25">
        <v>140000</v>
      </c>
      <c r="G227" s="12">
        <f>F227+D227</f>
        <v>140000</v>
      </c>
      <c r="I227" s="53"/>
    </row>
    <row r="228" spans="1:9" s="26" customFormat="1" ht="47.25">
      <c r="A228" s="28" t="s">
        <v>109</v>
      </c>
      <c r="B228" s="29" t="s">
        <v>23</v>
      </c>
      <c r="C228" s="7"/>
      <c r="D228" s="30">
        <f>SUM(D231:D242)</f>
        <v>1187524</v>
      </c>
      <c r="E228" s="7"/>
      <c r="F228" s="30">
        <f>SUM(F229:F242)</f>
        <v>119269</v>
      </c>
      <c r="G228" s="38">
        <f>SUM(G229:G242)</f>
        <v>1306793</v>
      </c>
      <c r="H228" s="54">
        <f>'[1]Місто'!$K$434+'[1]Місто'!$F$442</f>
        <v>119269</v>
      </c>
      <c r="I228" s="53">
        <f>H228-F228</f>
        <v>0</v>
      </c>
    </row>
    <row r="229" spans="1:9" s="26" customFormat="1" ht="49.5" customHeight="1" hidden="1">
      <c r="A229" s="24" t="s">
        <v>140</v>
      </c>
      <c r="B229" s="7" t="s">
        <v>141</v>
      </c>
      <c r="C229" s="7" t="s">
        <v>146</v>
      </c>
      <c r="D229" s="23"/>
      <c r="E229" s="7" t="s">
        <v>146</v>
      </c>
      <c r="F229" s="25"/>
      <c r="G229" s="12">
        <f aca="true" t="shared" si="10" ref="G229:G236">D229+F229</f>
        <v>0</v>
      </c>
      <c r="I229" s="53">
        <f>H229-F229</f>
        <v>0</v>
      </c>
    </row>
    <row r="230" spans="1:9" s="26" customFormat="1" ht="72" customHeight="1" hidden="1">
      <c r="A230" s="76" t="s">
        <v>140</v>
      </c>
      <c r="B230" s="77" t="s">
        <v>141</v>
      </c>
      <c r="C230" s="7" t="s">
        <v>263</v>
      </c>
      <c r="D230" s="23">
        <f>300-300</f>
        <v>0</v>
      </c>
      <c r="E230" s="7"/>
      <c r="F230" s="25"/>
      <c r="G230" s="25">
        <f>D230+F230</f>
        <v>0</v>
      </c>
      <c r="I230" s="53"/>
    </row>
    <row r="231" spans="1:9" s="26" customFormat="1" ht="63" customHeight="1">
      <c r="A231" s="76"/>
      <c r="B231" s="77"/>
      <c r="C231" s="7"/>
      <c r="D231" s="23"/>
      <c r="E231" s="7" t="s">
        <v>243</v>
      </c>
      <c r="F231" s="25">
        <f>'[1]Місто'!$K$436</f>
        <v>112012</v>
      </c>
      <c r="G231" s="25">
        <f>D231+F231</f>
        <v>112012</v>
      </c>
      <c r="I231" s="53"/>
    </row>
    <row r="232" spans="1:9" s="26" customFormat="1" ht="47.25" customHeight="1">
      <c r="A232" s="24" t="s">
        <v>77</v>
      </c>
      <c r="B232" s="7" t="s">
        <v>78</v>
      </c>
      <c r="C232" s="7" t="s">
        <v>248</v>
      </c>
      <c r="D232" s="23">
        <f>'[1]Місто'!$C$438</f>
        <v>658754</v>
      </c>
      <c r="E232" s="7"/>
      <c r="F232" s="25">
        <f>'[1]Місто'!$F$438</f>
        <v>0</v>
      </c>
      <c r="G232" s="25">
        <f>D232+F232</f>
        <v>658754</v>
      </c>
      <c r="I232" s="53"/>
    </row>
    <row r="233" spans="1:9" s="26" customFormat="1" ht="42.75" customHeight="1" hidden="1">
      <c r="A233" s="24" t="s">
        <v>67</v>
      </c>
      <c r="B233" s="7" t="s">
        <v>68</v>
      </c>
      <c r="C233" s="7"/>
      <c r="D233" s="23"/>
      <c r="E233" s="7" t="s">
        <v>175</v>
      </c>
      <c r="F233" s="25">
        <f>'[1]Місто'!$K$440</f>
        <v>0</v>
      </c>
      <c r="G233" s="12">
        <f t="shared" si="10"/>
        <v>0</v>
      </c>
      <c r="I233" s="53"/>
    </row>
    <row r="234" spans="1:9" s="26" customFormat="1" ht="95.25" customHeight="1">
      <c r="A234" s="24" t="s">
        <v>54</v>
      </c>
      <c r="B234" s="7" t="s">
        <v>193</v>
      </c>
      <c r="C234" s="7"/>
      <c r="D234" s="23"/>
      <c r="E234" s="7" t="s">
        <v>259</v>
      </c>
      <c r="F234" s="25">
        <f>'[1]Місто'!$F$442</f>
        <v>7257</v>
      </c>
      <c r="G234" s="12">
        <f t="shared" si="10"/>
        <v>7257</v>
      </c>
      <c r="I234" s="53"/>
    </row>
    <row r="235" spans="1:9" s="26" customFormat="1" ht="47.25">
      <c r="A235" s="76" t="s">
        <v>60</v>
      </c>
      <c r="B235" s="77" t="s">
        <v>75</v>
      </c>
      <c r="C235" s="7" t="s">
        <v>230</v>
      </c>
      <c r="D235" s="23">
        <f>'[1]Місто'!$C$445</f>
        <v>132118</v>
      </c>
      <c r="E235" s="7"/>
      <c r="F235" s="12"/>
      <c r="G235" s="12">
        <f t="shared" si="10"/>
        <v>132118</v>
      </c>
      <c r="I235" s="53"/>
    </row>
    <row r="236" spans="1:9" s="26" customFormat="1" ht="47.25">
      <c r="A236" s="76"/>
      <c r="B236" s="77"/>
      <c r="C236" s="7" t="s">
        <v>248</v>
      </c>
      <c r="D236" s="23">
        <f>'[1]Місто'!$C$446</f>
        <v>233100</v>
      </c>
      <c r="E236" s="7"/>
      <c r="F236" s="12"/>
      <c r="G236" s="12">
        <f t="shared" si="10"/>
        <v>233100</v>
      </c>
      <c r="I236" s="53"/>
    </row>
    <row r="237" spans="1:9" s="26" customFormat="1" ht="63">
      <c r="A237" s="76"/>
      <c r="B237" s="77"/>
      <c r="C237" s="7" t="s">
        <v>234</v>
      </c>
      <c r="D237" s="23">
        <f>'[1]Місто'!$C$447</f>
        <v>134250</v>
      </c>
      <c r="E237" s="7"/>
      <c r="F237" s="12"/>
      <c r="G237" s="12">
        <f aca="true" t="shared" si="11" ref="G237:G242">D237+F237</f>
        <v>134250</v>
      </c>
      <c r="I237" s="53"/>
    </row>
    <row r="238" spans="1:9" s="26" customFormat="1" ht="47.25">
      <c r="A238" s="76"/>
      <c r="B238" s="77"/>
      <c r="C238" s="7" t="s">
        <v>240</v>
      </c>
      <c r="D238" s="23">
        <f>'[1]Місто'!$C$448</f>
        <v>8337</v>
      </c>
      <c r="E238" s="7"/>
      <c r="F238" s="12"/>
      <c r="G238" s="25">
        <f t="shared" si="11"/>
        <v>8337</v>
      </c>
      <c r="I238" s="53"/>
    </row>
    <row r="239" spans="1:9" s="26" customFormat="1" ht="45.75" customHeight="1" hidden="1">
      <c r="A239" s="76"/>
      <c r="B239" s="77"/>
      <c r="C239" s="7"/>
      <c r="D239" s="8"/>
      <c r="E239" s="7"/>
      <c r="F239" s="12"/>
      <c r="G239" s="25">
        <f t="shared" si="11"/>
        <v>0</v>
      </c>
      <c r="I239" s="53">
        <f>H239-F239</f>
        <v>0</v>
      </c>
    </row>
    <row r="240" spans="1:9" s="26" customFormat="1" ht="56.25" customHeight="1" hidden="1">
      <c r="A240" s="76"/>
      <c r="B240" s="77"/>
      <c r="C240" s="7"/>
      <c r="D240" s="8"/>
      <c r="E240" s="7"/>
      <c r="F240" s="12"/>
      <c r="G240" s="25">
        <f t="shared" si="11"/>
        <v>0</v>
      </c>
      <c r="I240" s="53">
        <f>H240-F240</f>
        <v>0</v>
      </c>
    </row>
    <row r="241" spans="1:9" s="26" customFormat="1" ht="63">
      <c r="A241" s="76"/>
      <c r="B241" s="77"/>
      <c r="C241" s="7" t="s">
        <v>251</v>
      </c>
      <c r="D241" s="23">
        <f>'[1]Місто'!$C$449</f>
        <v>20000</v>
      </c>
      <c r="E241" s="7"/>
      <c r="F241" s="12"/>
      <c r="G241" s="25">
        <f t="shared" si="11"/>
        <v>20000</v>
      </c>
      <c r="I241" s="53"/>
    </row>
    <row r="242" spans="1:9" s="26" customFormat="1" ht="63.75" customHeight="1">
      <c r="A242" s="76"/>
      <c r="B242" s="77"/>
      <c r="C242" s="7" t="s">
        <v>263</v>
      </c>
      <c r="D242" s="23">
        <f>4114-3149</f>
        <v>965</v>
      </c>
      <c r="E242" s="7"/>
      <c r="F242" s="12"/>
      <c r="G242" s="25">
        <f t="shared" si="11"/>
        <v>965</v>
      </c>
      <c r="I242" s="53"/>
    </row>
    <row r="243" spans="1:9" s="26" customFormat="1" ht="47.25">
      <c r="A243" s="28" t="s">
        <v>110</v>
      </c>
      <c r="B243" s="29" t="s">
        <v>26</v>
      </c>
      <c r="C243" s="7"/>
      <c r="D243" s="30">
        <f>SUM(D244:D254)</f>
        <v>660440</v>
      </c>
      <c r="E243" s="29"/>
      <c r="F243" s="30">
        <f>SUM(F244:F252)</f>
        <v>47124</v>
      </c>
      <c r="G243" s="38">
        <f>SUM(G244:G254)</f>
        <v>707564</v>
      </c>
      <c r="H243" s="54">
        <f>'[1]Місто'!$K$451+'[1]Місто'!$F$459+'[1]Місто'!$G$455</f>
        <v>47124</v>
      </c>
      <c r="I243" s="53">
        <f>H243-F243</f>
        <v>0</v>
      </c>
    </row>
    <row r="244" spans="1:9" s="26" customFormat="1" ht="43.5" customHeight="1">
      <c r="A244" s="24" t="s">
        <v>140</v>
      </c>
      <c r="B244" s="7" t="s">
        <v>141</v>
      </c>
      <c r="C244" s="7"/>
      <c r="D244" s="23"/>
      <c r="E244" s="7" t="s">
        <v>243</v>
      </c>
      <c r="F244" s="25">
        <f>'[1]Місто'!$F$453</f>
        <v>6975</v>
      </c>
      <c r="G244" s="12">
        <f>D244+F244</f>
        <v>6975</v>
      </c>
      <c r="I244" s="53">
        <f>H244-F244</f>
        <v>-6975</v>
      </c>
    </row>
    <row r="245" spans="1:9" s="26" customFormat="1" ht="50.25" customHeight="1">
      <c r="A245" s="76" t="s">
        <v>77</v>
      </c>
      <c r="B245" s="77" t="s">
        <v>78</v>
      </c>
      <c r="C245" s="7" t="s">
        <v>248</v>
      </c>
      <c r="D245" s="23">
        <f>'[1]Місто'!$C$455</f>
        <v>494518</v>
      </c>
      <c r="E245" s="7" t="s">
        <v>248</v>
      </c>
      <c r="F245" s="25">
        <f>'[1]Місто'!$F$455-F246</f>
        <v>4901</v>
      </c>
      <c r="G245" s="25">
        <f>F245+D245</f>
        <v>499419</v>
      </c>
      <c r="I245" s="53"/>
    </row>
    <row r="246" spans="1:9" s="26" customFormat="1" ht="47.25">
      <c r="A246" s="76"/>
      <c r="B246" s="77"/>
      <c r="C246" s="7"/>
      <c r="D246" s="23"/>
      <c r="E246" s="41" t="s">
        <v>242</v>
      </c>
      <c r="F246" s="46">
        <v>11000</v>
      </c>
      <c r="G246" s="46">
        <f>F246+D246</f>
        <v>11000</v>
      </c>
      <c r="I246" s="53"/>
    </row>
    <row r="247" spans="1:9" s="26" customFormat="1" ht="21.75" customHeight="1" hidden="1">
      <c r="A247" s="24" t="s">
        <v>67</v>
      </c>
      <c r="B247" s="7" t="s">
        <v>68</v>
      </c>
      <c r="C247" s="7"/>
      <c r="D247" s="23"/>
      <c r="E247" s="7"/>
      <c r="F247" s="25"/>
      <c r="G247" s="25">
        <f>F247+D247</f>
        <v>0</v>
      </c>
      <c r="I247" s="53"/>
    </row>
    <row r="248" spans="1:9" s="26" customFormat="1" ht="99.75" customHeight="1">
      <c r="A248" s="24" t="s">
        <v>54</v>
      </c>
      <c r="B248" s="7" t="s">
        <v>193</v>
      </c>
      <c r="C248" s="7"/>
      <c r="D248" s="23"/>
      <c r="E248" s="7" t="s">
        <v>259</v>
      </c>
      <c r="F248" s="25">
        <f>'[1]Місто'!$F$459</f>
        <v>24248</v>
      </c>
      <c r="G248" s="25">
        <f>F248+D248</f>
        <v>24248</v>
      </c>
      <c r="I248" s="53"/>
    </row>
    <row r="249" spans="1:9" s="26" customFormat="1" ht="47.25">
      <c r="A249" s="76" t="s">
        <v>60</v>
      </c>
      <c r="B249" s="77" t="s">
        <v>75</v>
      </c>
      <c r="C249" s="7" t="s">
        <v>230</v>
      </c>
      <c r="D249" s="23">
        <f>'[1]Місто'!$C$462</f>
        <v>5735</v>
      </c>
      <c r="E249" s="7"/>
      <c r="F249" s="12"/>
      <c r="G249" s="12">
        <f>F249+D249</f>
        <v>5735</v>
      </c>
      <c r="I249" s="53"/>
    </row>
    <row r="250" spans="1:9" s="26" customFormat="1" ht="34.5" customHeight="1" hidden="1">
      <c r="A250" s="76"/>
      <c r="B250" s="77"/>
      <c r="C250" s="7"/>
      <c r="D250" s="23"/>
      <c r="E250" s="7"/>
      <c r="F250" s="12"/>
      <c r="G250" s="12"/>
      <c r="I250" s="53"/>
    </row>
    <row r="251" spans="1:9" s="26" customFormat="1" ht="63">
      <c r="A251" s="76"/>
      <c r="B251" s="77"/>
      <c r="C251" s="7" t="s">
        <v>234</v>
      </c>
      <c r="D251" s="23">
        <f>'[1]Місто'!$C$463</f>
        <v>31950</v>
      </c>
      <c r="E251" s="7"/>
      <c r="F251" s="12"/>
      <c r="G251" s="12">
        <f>F251+D251</f>
        <v>31950</v>
      </c>
      <c r="I251" s="53"/>
    </row>
    <row r="252" spans="1:9" s="26" customFormat="1" ht="47.25">
      <c r="A252" s="76"/>
      <c r="B252" s="77"/>
      <c r="C252" s="7" t="s">
        <v>240</v>
      </c>
      <c r="D252" s="23">
        <f>'[1]Місто'!$C$465</f>
        <v>8337</v>
      </c>
      <c r="E252" s="7"/>
      <c r="F252" s="12"/>
      <c r="G252" s="25">
        <f>F252+D252</f>
        <v>8337</v>
      </c>
      <c r="I252" s="53"/>
    </row>
    <row r="253" spans="1:9" s="26" customFormat="1" ht="47.25">
      <c r="A253" s="76"/>
      <c r="B253" s="77"/>
      <c r="C253" s="7" t="s">
        <v>248</v>
      </c>
      <c r="D253" s="23">
        <f>'[1]Місто'!$C$464</f>
        <v>99900</v>
      </c>
      <c r="E253" s="7"/>
      <c r="F253" s="12"/>
      <c r="G253" s="25">
        <f>F253+D253</f>
        <v>99900</v>
      </c>
      <c r="I253" s="53"/>
    </row>
    <row r="254" spans="1:9" s="26" customFormat="1" ht="63">
      <c r="A254" s="76"/>
      <c r="B254" s="77"/>
      <c r="C254" s="7" t="s">
        <v>251</v>
      </c>
      <c r="D254" s="23">
        <f>'[1]Місто'!$C$466</f>
        <v>20000</v>
      </c>
      <c r="E254" s="7"/>
      <c r="F254" s="12"/>
      <c r="G254" s="25">
        <f>F254+D254</f>
        <v>20000</v>
      </c>
      <c r="I254" s="53"/>
    </row>
    <row r="255" spans="1:9" s="26" customFormat="1" ht="47.25">
      <c r="A255" s="28" t="s">
        <v>111</v>
      </c>
      <c r="B255" s="29" t="s">
        <v>27</v>
      </c>
      <c r="C255" s="7"/>
      <c r="D255" s="30">
        <f>SUM(D256:D266)</f>
        <v>1201651</v>
      </c>
      <c r="E255" s="29"/>
      <c r="F255" s="30">
        <f>SUM(F256:F266)</f>
        <v>2317868</v>
      </c>
      <c r="G255" s="30">
        <f>SUM(G256:G266)</f>
        <v>3519519</v>
      </c>
      <c r="H255" s="54">
        <f>'[1]Місто'!$K$468+'[1]Місто'!$F$475+'[1]Місто'!$G$472</f>
        <v>2317868</v>
      </c>
      <c r="I255" s="53">
        <f>H255-F255</f>
        <v>0</v>
      </c>
    </row>
    <row r="256" spans="1:9" s="26" customFormat="1" ht="52.5" customHeight="1">
      <c r="A256" s="24" t="s">
        <v>140</v>
      </c>
      <c r="B256" s="7" t="s">
        <v>141</v>
      </c>
      <c r="C256" s="7"/>
      <c r="D256" s="23"/>
      <c r="E256" s="7" t="s">
        <v>243</v>
      </c>
      <c r="F256" s="25">
        <f>'[1]Місто'!$K$470</f>
        <v>6975</v>
      </c>
      <c r="G256" s="12">
        <f>D256+F256</f>
        <v>6975</v>
      </c>
      <c r="I256" s="53">
        <f>H256-F256</f>
        <v>-6975</v>
      </c>
    </row>
    <row r="257" spans="1:9" s="26" customFormat="1" ht="56.25" customHeight="1">
      <c r="A257" s="24" t="s">
        <v>77</v>
      </c>
      <c r="B257" s="7" t="s">
        <v>78</v>
      </c>
      <c r="C257" s="7" t="s">
        <v>248</v>
      </c>
      <c r="D257" s="23">
        <f>'[1]Місто'!$C$472</f>
        <v>813709</v>
      </c>
      <c r="E257" s="7" t="s">
        <v>248</v>
      </c>
      <c r="F257" s="25">
        <f>'[1]Місто'!$F$472</f>
        <v>147972</v>
      </c>
      <c r="G257" s="12">
        <f aca="true" t="shared" si="12" ref="G257:G276">D257+F257</f>
        <v>961681</v>
      </c>
      <c r="I257" s="53"/>
    </row>
    <row r="258" spans="1:9" s="26" customFormat="1" ht="47.25">
      <c r="A258" s="24" t="s">
        <v>67</v>
      </c>
      <c r="B258" s="7" t="s">
        <v>68</v>
      </c>
      <c r="C258" s="7"/>
      <c r="D258" s="23"/>
      <c r="E258" s="7" t="s">
        <v>248</v>
      </c>
      <c r="F258" s="25">
        <f>'[1]Місто'!$F$474</f>
        <v>2140238</v>
      </c>
      <c r="G258" s="12">
        <f t="shared" si="12"/>
        <v>2140238</v>
      </c>
      <c r="I258" s="53"/>
    </row>
    <row r="259" spans="1:9" s="26" customFormat="1" ht="99.75" customHeight="1">
      <c r="A259" s="24" t="s">
        <v>54</v>
      </c>
      <c r="B259" s="7" t="s">
        <v>193</v>
      </c>
      <c r="C259" s="7"/>
      <c r="D259" s="23"/>
      <c r="E259" s="7" t="s">
        <v>259</v>
      </c>
      <c r="F259" s="25">
        <f>'[1]Місто'!$F$476</f>
        <v>22683</v>
      </c>
      <c r="G259" s="12">
        <f t="shared" si="12"/>
        <v>22683</v>
      </c>
      <c r="I259" s="53"/>
    </row>
    <row r="260" spans="1:9" s="26" customFormat="1" ht="47.25">
      <c r="A260" s="76" t="s">
        <v>60</v>
      </c>
      <c r="B260" s="77" t="s">
        <v>75</v>
      </c>
      <c r="C260" s="7" t="s">
        <v>230</v>
      </c>
      <c r="D260" s="23">
        <f>'[1]Місто'!$C$479</f>
        <v>86135</v>
      </c>
      <c r="E260" s="7"/>
      <c r="F260" s="12"/>
      <c r="G260" s="12">
        <f t="shared" si="12"/>
        <v>86135</v>
      </c>
      <c r="I260" s="53"/>
    </row>
    <row r="261" spans="1:9" s="26" customFormat="1" ht="47.25">
      <c r="A261" s="76"/>
      <c r="B261" s="77"/>
      <c r="C261" s="7" t="s">
        <v>248</v>
      </c>
      <c r="D261" s="23">
        <f>'[1]Місто'!$C$480</f>
        <v>233100</v>
      </c>
      <c r="E261" s="7"/>
      <c r="F261" s="12"/>
      <c r="G261" s="12">
        <f t="shared" si="12"/>
        <v>233100</v>
      </c>
      <c r="I261" s="53"/>
    </row>
    <row r="262" spans="1:9" s="26" customFormat="1" ht="63">
      <c r="A262" s="76"/>
      <c r="B262" s="77"/>
      <c r="C262" s="7" t="s">
        <v>234</v>
      </c>
      <c r="D262" s="23">
        <f>'[1]Місто'!$C$481</f>
        <v>38505</v>
      </c>
      <c r="E262" s="7"/>
      <c r="F262" s="12"/>
      <c r="G262" s="12">
        <f t="shared" si="12"/>
        <v>38505</v>
      </c>
      <c r="I262" s="53"/>
    </row>
    <row r="263" spans="1:9" s="26" customFormat="1" ht="47.25">
      <c r="A263" s="76"/>
      <c r="B263" s="77"/>
      <c r="C263" s="7" t="s">
        <v>240</v>
      </c>
      <c r="D263" s="23">
        <f>'[1]Місто'!$C$482</f>
        <v>7527</v>
      </c>
      <c r="E263" s="7"/>
      <c r="F263" s="12"/>
      <c r="G263" s="25">
        <f>D263+F263</f>
        <v>7527</v>
      </c>
      <c r="I263" s="53"/>
    </row>
    <row r="264" spans="1:9" s="26" customFormat="1" ht="21.75" customHeight="1" hidden="1">
      <c r="A264" s="76"/>
      <c r="B264" s="77"/>
      <c r="C264" s="7"/>
      <c r="D264" s="8"/>
      <c r="E264" s="7"/>
      <c r="F264" s="12"/>
      <c r="G264" s="25">
        <f>D264+F264</f>
        <v>0</v>
      </c>
      <c r="I264" s="53"/>
    </row>
    <row r="265" spans="1:9" s="26" customFormat="1" ht="63">
      <c r="A265" s="76"/>
      <c r="B265" s="77"/>
      <c r="C265" s="7" t="s">
        <v>251</v>
      </c>
      <c r="D265" s="23">
        <f>'[1]Місто'!$C$483</f>
        <v>20000</v>
      </c>
      <c r="E265" s="7"/>
      <c r="F265" s="12"/>
      <c r="G265" s="25">
        <f>D265+F265</f>
        <v>20000</v>
      </c>
      <c r="I265" s="53"/>
    </row>
    <row r="266" spans="1:9" s="26" customFormat="1" ht="66.75" customHeight="1">
      <c r="A266" s="76"/>
      <c r="B266" s="77"/>
      <c r="C266" s="7" t="s">
        <v>263</v>
      </c>
      <c r="D266" s="23">
        <f>7356-4681</f>
        <v>2675</v>
      </c>
      <c r="E266" s="7"/>
      <c r="F266" s="12"/>
      <c r="G266" s="25">
        <f>D266+F266</f>
        <v>2675</v>
      </c>
      <c r="I266" s="53"/>
    </row>
    <row r="267" spans="1:9" s="26" customFormat="1" ht="47.25">
      <c r="A267" s="28" t="s">
        <v>112</v>
      </c>
      <c r="B267" s="29" t="s">
        <v>28</v>
      </c>
      <c r="C267" s="7"/>
      <c r="D267" s="30">
        <f>SUM(D268:D276)</f>
        <v>837548</v>
      </c>
      <c r="E267" s="29"/>
      <c r="F267" s="30">
        <f>SUM(F268:F276)</f>
        <v>77592</v>
      </c>
      <c r="G267" s="34">
        <f>SUM(G268:G276)</f>
        <v>915140</v>
      </c>
      <c r="H267" s="55">
        <f>'[1]Місто'!$K$485+'[1]Місто'!$G$489</f>
        <v>77592</v>
      </c>
      <c r="I267" s="53">
        <f>H267-F267</f>
        <v>0</v>
      </c>
    </row>
    <row r="268" spans="1:9" s="26" customFormat="1" ht="47.25">
      <c r="A268" s="24" t="s">
        <v>140</v>
      </c>
      <c r="B268" s="7" t="s">
        <v>141</v>
      </c>
      <c r="C268" s="7"/>
      <c r="D268" s="23"/>
      <c r="E268" s="7" t="s">
        <v>243</v>
      </c>
      <c r="F268" s="25">
        <f>'[1]Місто'!$K$487</f>
        <v>21375</v>
      </c>
      <c r="G268" s="25">
        <f>D268+F268</f>
        <v>21375</v>
      </c>
      <c r="H268" s="39"/>
      <c r="I268" s="53">
        <f>H268-F268</f>
        <v>-21375</v>
      </c>
    </row>
    <row r="269" spans="1:9" s="26" customFormat="1" ht="66" customHeight="1">
      <c r="A269" s="24" t="s">
        <v>77</v>
      </c>
      <c r="B269" s="7" t="s">
        <v>78</v>
      </c>
      <c r="C269" s="7" t="s">
        <v>248</v>
      </c>
      <c r="D269" s="23">
        <f>'[1]Місто'!$C$489</f>
        <v>584023</v>
      </c>
      <c r="E269" s="7" t="s">
        <v>248</v>
      </c>
      <c r="F269" s="25">
        <f>'[1]Місто'!$F$489</f>
        <v>9330</v>
      </c>
      <c r="G269" s="12">
        <f t="shared" si="12"/>
        <v>593353</v>
      </c>
      <c r="I269" s="53"/>
    </row>
    <row r="270" spans="1:9" s="26" customFormat="1" ht="55.5" customHeight="1">
      <c r="A270" s="24" t="s">
        <v>67</v>
      </c>
      <c r="B270" s="7" t="s">
        <v>68</v>
      </c>
      <c r="C270" s="7"/>
      <c r="D270" s="23"/>
      <c r="E270" s="7" t="s">
        <v>248</v>
      </c>
      <c r="F270" s="25">
        <f>'[1]Місто'!$F$491</f>
        <v>46887</v>
      </c>
      <c r="G270" s="12">
        <f t="shared" si="12"/>
        <v>46887</v>
      </c>
      <c r="I270" s="53"/>
    </row>
    <row r="271" spans="1:9" s="26" customFormat="1" ht="47.25">
      <c r="A271" s="76" t="s">
        <v>60</v>
      </c>
      <c r="B271" s="77" t="s">
        <v>75</v>
      </c>
      <c r="C271" s="7" t="s">
        <v>230</v>
      </c>
      <c r="D271" s="23">
        <f>'[1]Місто'!$C$496</f>
        <v>86135</v>
      </c>
      <c r="E271" s="7"/>
      <c r="F271" s="12"/>
      <c r="G271" s="12">
        <f t="shared" si="12"/>
        <v>86135</v>
      </c>
      <c r="I271" s="53"/>
    </row>
    <row r="272" spans="1:9" s="26" customFormat="1" ht="47.25">
      <c r="A272" s="76"/>
      <c r="B272" s="77"/>
      <c r="C272" s="7" t="s">
        <v>248</v>
      </c>
      <c r="D272" s="23">
        <f>'[1]Місто'!$C$497</f>
        <v>116748</v>
      </c>
      <c r="E272" s="7"/>
      <c r="F272" s="12"/>
      <c r="G272" s="12">
        <f t="shared" si="12"/>
        <v>116748</v>
      </c>
      <c r="I272" s="53"/>
    </row>
    <row r="273" spans="1:9" s="26" customFormat="1" ht="63">
      <c r="A273" s="76"/>
      <c r="B273" s="77"/>
      <c r="C273" s="7" t="s">
        <v>234</v>
      </c>
      <c r="D273" s="23">
        <f>'[1]Місто'!$C$498</f>
        <v>20991</v>
      </c>
      <c r="E273" s="7"/>
      <c r="F273" s="12"/>
      <c r="G273" s="12">
        <f t="shared" si="12"/>
        <v>20991</v>
      </c>
      <c r="I273" s="53"/>
    </row>
    <row r="274" spans="1:9" s="26" customFormat="1" ht="47.25">
      <c r="A274" s="76"/>
      <c r="B274" s="77"/>
      <c r="C274" s="7" t="s">
        <v>240</v>
      </c>
      <c r="D274" s="23">
        <f>'[1]Місто'!$C$499</f>
        <v>8336</v>
      </c>
      <c r="E274" s="7"/>
      <c r="F274" s="12"/>
      <c r="G274" s="12">
        <f t="shared" si="12"/>
        <v>8336</v>
      </c>
      <c r="I274" s="53"/>
    </row>
    <row r="275" spans="1:9" s="26" customFormat="1" ht="63">
      <c r="A275" s="76"/>
      <c r="B275" s="77"/>
      <c r="C275" s="7" t="s">
        <v>251</v>
      </c>
      <c r="D275" s="23">
        <f>'[1]Місто'!$C$500</f>
        <v>20000</v>
      </c>
      <c r="E275" s="7"/>
      <c r="F275" s="12"/>
      <c r="G275" s="12">
        <f t="shared" si="12"/>
        <v>20000</v>
      </c>
      <c r="I275" s="53"/>
    </row>
    <row r="276" spans="1:9" s="26" customFormat="1" ht="63.75" customHeight="1">
      <c r="A276" s="76"/>
      <c r="B276" s="77"/>
      <c r="C276" s="7" t="s">
        <v>263</v>
      </c>
      <c r="D276" s="23">
        <f>6865-5550</f>
        <v>1315</v>
      </c>
      <c r="E276" s="7"/>
      <c r="F276" s="12"/>
      <c r="G276" s="12">
        <f t="shared" si="12"/>
        <v>1315</v>
      </c>
      <c r="I276" s="53"/>
    </row>
    <row r="277" spans="1:9" s="39" customFormat="1" ht="47.25">
      <c r="A277" s="28" t="s">
        <v>113</v>
      </c>
      <c r="B277" s="29" t="s">
        <v>29</v>
      </c>
      <c r="C277" s="29"/>
      <c r="D277" s="30">
        <f>SUM(D278:D292)</f>
        <v>1572023</v>
      </c>
      <c r="E277" s="29"/>
      <c r="F277" s="30">
        <f>SUM(F278:F292)</f>
        <v>55385</v>
      </c>
      <c r="G277" s="30">
        <f>SUM(G278:G292)</f>
        <v>1627408</v>
      </c>
      <c r="H277" s="55">
        <f>'[1]Місто'!$K$502+'[1]Місто'!$F$510</f>
        <v>55385</v>
      </c>
      <c r="I277" s="53">
        <f>H277-F277</f>
        <v>0</v>
      </c>
    </row>
    <row r="278" spans="1:9" s="39" customFormat="1" ht="55.5" customHeight="1" hidden="1">
      <c r="A278" s="24" t="s">
        <v>140</v>
      </c>
      <c r="B278" s="7" t="s">
        <v>141</v>
      </c>
      <c r="C278" s="7" t="s">
        <v>147</v>
      </c>
      <c r="D278" s="23"/>
      <c r="E278" s="7" t="s">
        <v>147</v>
      </c>
      <c r="F278" s="25"/>
      <c r="G278" s="25">
        <f>D278+F278</f>
        <v>0</v>
      </c>
      <c r="I278" s="53">
        <f>H278-F278</f>
        <v>0</v>
      </c>
    </row>
    <row r="279" spans="1:9" s="39" customFormat="1" ht="69" customHeight="1">
      <c r="A279" s="78" t="s">
        <v>140</v>
      </c>
      <c r="B279" s="74" t="s">
        <v>141</v>
      </c>
      <c r="C279" s="7" t="s">
        <v>263</v>
      </c>
      <c r="D279" s="23">
        <f>7270+979-346</f>
        <v>7903</v>
      </c>
      <c r="E279" s="7"/>
      <c r="F279" s="25"/>
      <c r="G279" s="12">
        <f aca="true" t="shared" si="13" ref="G279:G298">D279+F279</f>
        <v>7903</v>
      </c>
      <c r="I279" s="53"/>
    </row>
    <row r="280" spans="1:9" s="39" customFormat="1" ht="54.75" customHeight="1">
      <c r="A280" s="79"/>
      <c r="B280" s="75"/>
      <c r="C280" s="7"/>
      <c r="D280" s="23"/>
      <c r="E280" s="7" t="s">
        <v>243</v>
      </c>
      <c r="F280" s="25">
        <f>'[1]Місто'!$K$504</f>
        <v>6975</v>
      </c>
      <c r="G280" s="12">
        <f t="shared" si="13"/>
        <v>6975</v>
      </c>
      <c r="I280" s="53"/>
    </row>
    <row r="281" spans="1:9" s="26" customFormat="1" ht="49.5" customHeight="1">
      <c r="A281" s="76" t="s">
        <v>77</v>
      </c>
      <c r="B281" s="77" t="s">
        <v>78</v>
      </c>
      <c r="C281" s="7" t="s">
        <v>248</v>
      </c>
      <c r="D281" s="23">
        <f>'[1]Місто'!$C$506</f>
        <v>858449</v>
      </c>
      <c r="E281" s="7"/>
      <c r="F281" s="25">
        <f>'[1]Місто'!$F$506-F282</f>
        <v>0</v>
      </c>
      <c r="G281" s="12">
        <f t="shared" si="13"/>
        <v>858449</v>
      </c>
      <c r="I281" s="53"/>
    </row>
    <row r="282" spans="1:9" s="26" customFormat="1" ht="47.25" hidden="1">
      <c r="A282" s="76"/>
      <c r="B282" s="77"/>
      <c r="C282" s="7"/>
      <c r="D282" s="23"/>
      <c r="E282" s="41" t="s">
        <v>242</v>
      </c>
      <c r="F282" s="46">
        <f>5200-5200</f>
        <v>0</v>
      </c>
      <c r="G282" s="46">
        <f t="shared" si="13"/>
        <v>0</v>
      </c>
      <c r="I282" s="53"/>
    </row>
    <row r="283" spans="1:9" s="26" customFormat="1" ht="47.25">
      <c r="A283" s="24" t="s">
        <v>210</v>
      </c>
      <c r="B283" s="7" t="s">
        <v>75</v>
      </c>
      <c r="C283" s="7" t="s">
        <v>237</v>
      </c>
      <c r="D283" s="23">
        <f>'[1]Місто'!$C$508</f>
        <v>246500</v>
      </c>
      <c r="E283" s="7"/>
      <c r="F283" s="25"/>
      <c r="G283" s="12">
        <f t="shared" si="13"/>
        <v>246500</v>
      </c>
      <c r="I283" s="53"/>
    </row>
    <row r="284" spans="1:9" s="26" customFormat="1" ht="93.75" customHeight="1">
      <c r="A284" s="24" t="s">
        <v>54</v>
      </c>
      <c r="B284" s="7" t="s">
        <v>193</v>
      </c>
      <c r="C284" s="7"/>
      <c r="D284" s="23"/>
      <c r="E284" s="7" t="s">
        <v>259</v>
      </c>
      <c r="F284" s="25">
        <f>'[1]Місто'!$F$510</f>
        <v>48410</v>
      </c>
      <c r="G284" s="12">
        <f t="shared" si="13"/>
        <v>48410</v>
      </c>
      <c r="I284" s="53"/>
    </row>
    <row r="285" spans="1:9" s="26" customFormat="1" ht="47.25">
      <c r="A285" s="76" t="s">
        <v>60</v>
      </c>
      <c r="B285" s="77" t="s">
        <v>75</v>
      </c>
      <c r="C285" s="7" t="s">
        <v>230</v>
      </c>
      <c r="D285" s="23">
        <f>'[1]Місто'!$C$513</f>
        <v>195238</v>
      </c>
      <c r="E285" s="7"/>
      <c r="F285" s="12"/>
      <c r="G285" s="12">
        <f t="shared" si="13"/>
        <v>195238</v>
      </c>
      <c r="I285" s="53"/>
    </row>
    <row r="286" spans="1:9" s="26" customFormat="1" ht="21" customHeight="1" hidden="1">
      <c r="A286" s="76"/>
      <c r="B286" s="77"/>
      <c r="C286" s="7"/>
      <c r="D286" s="23"/>
      <c r="E286" s="7"/>
      <c r="F286" s="12"/>
      <c r="G286" s="12"/>
      <c r="I286" s="53"/>
    </row>
    <row r="287" spans="1:9" s="26" customFormat="1" ht="63">
      <c r="A287" s="76"/>
      <c r="B287" s="77"/>
      <c r="C287" s="7" t="s">
        <v>235</v>
      </c>
      <c r="D287" s="23">
        <f>'[1]Місто'!$C$514</f>
        <v>1000</v>
      </c>
      <c r="E287" s="7"/>
      <c r="F287" s="12"/>
      <c r="G287" s="12">
        <f t="shared" si="13"/>
        <v>1000</v>
      </c>
      <c r="I287" s="53"/>
    </row>
    <row r="288" spans="1:9" s="26" customFormat="1" ht="63">
      <c r="A288" s="76"/>
      <c r="B288" s="77"/>
      <c r="C288" s="7" t="s">
        <v>234</v>
      </c>
      <c r="D288" s="23">
        <f>'[1]Місто'!$C$515</f>
        <v>63468</v>
      </c>
      <c r="E288" s="7"/>
      <c r="F288" s="12"/>
      <c r="G288" s="12">
        <f t="shared" si="13"/>
        <v>63468</v>
      </c>
      <c r="I288" s="53"/>
    </row>
    <row r="289" spans="1:9" s="26" customFormat="1" ht="47.25">
      <c r="A289" s="76"/>
      <c r="B289" s="77"/>
      <c r="C289" s="7" t="s">
        <v>240</v>
      </c>
      <c r="D289" s="23">
        <f>'[1]Місто'!$C$517</f>
        <v>12424</v>
      </c>
      <c r="E289" s="7"/>
      <c r="F289" s="12"/>
      <c r="G289" s="12">
        <f t="shared" si="13"/>
        <v>12424</v>
      </c>
      <c r="I289" s="53"/>
    </row>
    <row r="290" spans="1:9" s="26" customFormat="1" ht="63">
      <c r="A290" s="76"/>
      <c r="B290" s="77"/>
      <c r="C290" s="7" t="s">
        <v>251</v>
      </c>
      <c r="D290" s="23">
        <f>'[1]Місто'!$C$518</f>
        <v>20000</v>
      </c>
      <c r="E290" s="7"/>
      <c r="F290" s="12"/>
      <c r="G290" s="12">
        <f t="shared" si="13"/>
        <v>20000</v>
      </c>
      <c r="I290" s="53"/>
    </row>
    <row r="291" spans="1:9" s="26" customFormat="1" ht="47.25">
      <c r="A291" s="76"/>
      <c r="B291" s="77"/>
      <c r="C291" s="7" t="s">
        <v>248</v>
      </c>
      <c r="D291" s="23">
        <f>'[1]Місто'!$C$516</f>
        <v>166154</v>
      </c>
      <c r="E291" s="7"/>
      <c r="F291" s="12"/>
      <c r="G291" s="12">
        <f t="shared" si="13"/>
        <v>166154</v>
      </c>
      <c r="I291" s="53"/>
    </row>
    <row r="292" spans="1:9" s="26" customFormat="1" ht="65.25" customHeight="1">
      <c r="A292" s="76"/>
      <c r="B292" s="77"/>
      <c r="C292" s="7" t="s">
        <v>263</v>
      </c>
      <c r="D292" s="23">
        <f>1447-560</f>
        <v>887</v>
      </c>
      <c r="E292" s="7"/>
      <c r="F292" s="12"/>
      <c r="G292" s="12">
        <f t="shared" si="13"/>
        <v>887</v>
      </c>
      <c r="I292" s="53"/>
    </row>
    <row r="293" spans="1:9" s="39" customFormat="1" ht="47.25">
      <c r="A293" s="28" t="s">
        <v>114</v>
      </c>
      <c r="B293" s="29" t="s">
        <v>30</v>
      </c>
      <c r="C293" s="29"/>
      <c r="D293" s="30">
        <f>SUM(D294:D304)</f>
        <v>1096545</v>
      </c>
      <c r="E293" s="29"/>
      <c r="F293" s="30">
        <f>SUM(F294:F304)</f>
        <v>1148747</v>
      </c>
      <c r="G293" s="34">
        <f>SUM(G294:G304)</f>
        <v>2245292</v>
      </c>
      <c r="H293" s="55">
        <f>'[1]Місто'!$K$520+'[1]Місто'!$G$528</f>
        <v>1148747</v>
      </c>
      <c r="I293" s="53">
        <f>H293-F293</f>
        <v>0</v>
      </c>
    </row>
    <row r="294" spans="1:9" s="39" customFormat="1" ht="49.5" customHeight="1">
      <c r="A294" s="24" t="s">
        <v>140</v>
      </c>
      <c r="B294" s="7" t="s">
        <v>141</v>
      </c>
      <c r="C294" s="7"/>
      <c r="D294" s="23"/>
      <c r="E294" s="7" t="s">
        <v>243</v>
      </c>
      <c r="F294" s="25">
        <f>2896+5869+6975</f>
        <v>15740</v>
      </c>
      <c r="G294" s="25">
        <f>D294+F294</f>
        <v>15740</v>
      </c>
      <c r="I294" s="53"/>
    </row>
    <row r="295" spans="1:9" s="39" customFormat="1" ht="49.5" customHeight="1">
      <c r="A295" s="24" t="s">
        <v>67</v>
      </c>
      <c r="B295" s="7" t="s">
        <v>68</v>
      </c>
      <c r="C295" s="7"/>
      <c r="D295" s="23"/>
      <c r="E295" s="7" t="s">
        <v>248</v>
      </c>
      <c r="F295" s="25">
        <f>'[1]Місто'!$F$526</f>
        <v>1042845</v>
      </c>
      <c r="G295" s="25">
        <f>D295+F295</f>
        <v>1042845</v>
      </c>
      <c r="I295" s="53"/>
    </row>
    <row r="296" spans="1:9" s="26" customFormat="1" ht="48" customHeight="1">
      <c r="A296" s="24" t="s">
        <v>77</v>
      </c>
      <c r="B296" s="7" t="s">
        <v>78</v>
      </c>
      <c r="C296" s="7" t="s">
        <v>248</v>
      </c>
      <c r="D296" s="23">
        <f>'[1]Місто'!$C$524</f>
        <v>753893</v>
      </c>
      <c r="E296" s="7" t="s">
        <v>248</v>
      </c>
      <c r="F296" s="25">
        <f>'[1]Місто'!$F$524</f>
        <v>20000</v>
      </c>
      <c r="G296" s="12">
        <f t="shared" si="13"/>
        <v>773893</v>
      </c>
      <c r="I296" s="53"/>
    </row>
    <row r="297" spans="1:9" s="26" customFormat="1" ht="100.5" customHeight="1">
      <c r="A297" s="24" t="s">
        <v>54</v>
      </c>
      <c r="B297" s="7" t="s">
        <v>193</v>
      </c>
      <c r="C297" s="7"/>
      <c r="D297" s="23"/>
      <c r="E297" s="7" t="s">
        <v>259</v>
      </c>
      <c r="F297" s="25">
        <f>'[1]Місто'!$F$528</f>
        <v>70162</v>
      </c>
      <c r="G297" s="12">
        <f t="shared" si="13"/>
        <v>70162</v>
      </c>
      <c r="I297" s="53"/>
    </row>
    <row r="298" spans="1:9" s="26" customFormat="1" ht="47.25">
      <c r="A298" s="76" t="s">
        <v>60</v>
      </c>
      <c r="B298" s="77" t="s">
        <v>75</v>
      </c>
      <c r="C298" s="7" t="s">
        <v>230</v>
      </c>
      <c r="D298" s="23">
        <f>'[1]Місто'!$C$531</f>
        <v>57447</v>
      </c>
      <c r="E298" s="7"/>
      <c r="F298" s="12"/>
      <c r="G298" s="12">
        <f t="shared" si="13"/>
        <v>57447</v>
      </c>
      <c r="I298" s="53"/>
    </row>
    <row r="299" spans="1:9" s="26" customFormat="1" ht="30.75" customHeight="1" hidden="1">
      <c r="A299" s="76"/>
      <c r="B299" s="77"/>
      <c r="C299" s="7"/>
      <c r="D299" s="23"/>
      <c r="E299" s="7"/>
      <c r="F299" s="12"/>
      <c r="G299" s="12">
        <f aca="true" t="shared" si="14" ref="G299:G310">D299+F299</f>
        <v>0</v>
      </c>
      <c r="I299" s="53">
        <f>H299-F299</f>
        <v>0</v>
      </c>
    </row>
    <row r="300" spans="1:9" s="26" customFormat="1" ht="63">
      <c r="A300" s="76"/>
      <c r="B300" s="77"/>
      <c r="C300" s="7" t="s">
        <v>234</v>
      </c>
      <c r="D300" s="23">
        <f>'[1]Місто'!$C$533</f>
        <v>22955</v>
      </c>
      <c r="E300" s="7"/>
      <c r="F300" s="12"/>
      <c r="G300" s="12">
        <f t="shared" si="14"/>
        <v>22955</v>
      </c>
      <c r="I300" s="53"/>
    </row>
    <row r="301" spans="1:9" s="26" customFormat="1" ht="47.25">
      <c r="A301" s="76"/>
      <c r="B301" s="77"/>
      <c r="C301" s="7" t="s">
        <v>240</v>
      </c>
      <c r="D301" s="23">
        <f>'[1]Місто'!$C$535</f>
        <v>8336</v>
      </c>
      <c r="E301" s="7"/>
      <c r="F301" s="12"/>
      <c r="G301" s="12">
        <f t="shared" si="14"/>
        <v>8336</v>
      </c>
      <c r="I301" s="53"/>
    </row>
    <row r="302" spans="1:9" s="26" customFormat="1" ht="63">
      <c r="A302" s="76"/>
      <c r="B302" s="77"/>
      <c r="C302" s="7" t="s">
        <v>251</v>
      </c>
      <c r="D302" s="23">
        <f>'[1]Місто'!$C$536</f>
        <v>20000</v>
      </c>
      <c r="E302" s="7"/>
      <c r="F302" s="12"/>
      <c r="G302" s="12">
        <f t="shared" si="14"/>
        <v>20000</v>
      </c>
      <c r="I302" s="53"/>
    </row>
    <row r="303" spans="1:9" s="26" customFormat="1" ht="47.25">
      <c r="A303" s="76"/>
      <c r="B303" s="77"/>
      <c r="C303" s="7" t="s">
        <v>248</v>
      </c>
      <c r="D303" s="23">
        <f>'[1]Місто'!$C$534</f>
        <v>233100</v>
      </c>
      <c r="E303" s="7"/>
      <c r="F303" s="12"/>
      <c r="G303" s="12">
        <f t="shared" si="14"/>
        <v>233100</v>
      </c>
      <c r="I303" s="53"/>
    </row>
    <row r="304" spans="1:9" s="26" customFormat="1" ht="69" customHeight="1">
      <c r="A304" s="76"/>
      <c r="B304" s="77"/>
      <c r="C304" s="7" t="s">
        <v>263</v>
      </c>
      <c r="D304" s="23">
        <f>2218-1404</f>
        <v>814</v>
      </c>
      <c r="E304" s="7"/>
      <c r="F304" s="12"/>
      <c r="G304" s="12">
        <f t="shared" si="14"/>
        <v>814</v>
      </c>
      <c r="I304" s="53"/>
    </row>
    <row r="305" spans="1:9" s="26" customFormat="1" ht="46.5" customHeight="1">
      <c r="A305" s="28" t="s">
        <v>115</v>
      </c>
      <c r="B305" s="29" t="s">
        <v>31</v>
      </c>
      <c r="C305" s="7"/>
      <c r="D305" s="30">
        <f>SUM(D306:D316)</f>
        <v>1055514</v>
      </c>
      <c r="E305" s="7"/>
      <c r="F305" s="30">
        <f>SUM(F306:F316)</f>
        <v>153363</v>
      </c>
      <c r="G305" s="30">
        <f>SUM(G307:G316)</f>
        <v>1204338</v>
      </c>
      <c r="H305" s="54">
        <f>'[1]Місто'!$K$538</f>
        <v>153363</v>
      </c>
      <c r="I305" s="53">
        <f>H305-F305</f>
        <v>0</v>
      </c>
    </row>
    <row r="306" spans="1:9" s="26" customFormat="1" ht="67.5" customHeight="1">
      <c r="A306" s="76" t="s">
        <v>140</v>
      </c>
      <c r="B306" s="77" t="s">
        <v>141</v>
      </c>
      <c r="C306" s="7" t="s">
        <v>263</v>
      </c>
      <c r="D306" s="23">
        <v>4539</v>
      </c>
      <c r="E306" s="7"/>
      <c r="F306" s="30"/>
      <c r="G306" s="25">
        <f>D306+F306</f>
        <v>4539</v>
      </c>
      <c r="H306" s="54"/>
      <c r="I306" s="53"/>
    </row>
    <row r="307" spans="1:9" s="26" customFormat="1" ht="64.5" customHeight="1">
      <c r="A307" s="76"/>
      <c r="B307" s="77"/>
      <c r="C307" s="7"/>
      <c r="D307" s="23"/>
      <c r="E307" s="7" t="s">
        <v>243</v>
      </c>
      <c r="F307" s="25">
        <f>146388+6975</f>
        <v>153363</v>
      </c>
      <c r="G307" s="25">
        <f>D307+F307</f>
        <v>153363</v>
      </c>
      <c r="I307" s="53"/>
    </row>
    <row r="308" spans="1:9" s="26" customFormat="1" ht="45.75" customHeight="1">
      <c r="A308" s="24" t="s">
        <v>77</v>
      </c>
      <c r="B308" s="7" t="s">
        <v>78</v>
      </c>
      <c r="C308" s="7" t="s">
        <v>248</v>
      </c>
      <c r="D308" s="23">
        <f>'[1]Місто'!$C$542</f>
        <v>646283</v>
      </c>
      <c r="E308" s="7"/>
      <c r="F308" s="25">
        <f>'[1]Місто'!$F$542</f>
        <v>0</v>
      </c>
      <c r="G308" s="12">
        <f t="shared" si="14"/>
        <v>646283</v>
      </c>
      <c r="I308" s="53"/>
    </row>
    <row r="309" spans="1:9" s="26" customFormat="1" ht="47.25">
      <c r="A309" s="76" t="s">
        <v>60</v>
      </c>
      <c r="B309" s="77" t="s">
        <v>75</v>
      </c>
      <c r="C309" s="7" t="s">
        <v>230</v>
      </c>
      <c r="D309" s="23">
        <f>'[1]Місто'!$C$547</f>
        <v>80392</v>
      </c>
      <c r="E309" s="7"/>
      <c r="F309" s="12"/>
      <c r="G309" s="12">
        <f t="shared" si="14"/>
        <v>80392</v>
      </c>
      <c r="I309" s="53"/>
    </row>
    <row r="310" spans="1:9" s="26" customFormat="1" ht="15.75" customHeight="1" hidden="1">
      <c r="A310" s="76"/>
      <c r="B310" s="77"/>
      <c r="C310" s="7"/>
      <c r="D310" s="23"/>
      <c r="E310" s="7"/>
      <c r="F310" s="25">
        <f>'[1]Місто'!$F$550</f>
        <v>0</v>
      </c>
      <c r="G310" s="12">
        <f t="shared" si="14"/>
        <v>0</v>
      </c>
      <c r="I310" s="53"/>
    </row>
    <row r="311" spans="1:9" s="26" customFormat="1" ht="63">
      <c r="A311" s="76"/>
      <c r="B311" s="77"/>
      <c r="C311" s="7" t="s">
        <v>234</v>
      </c>
      <c r="D311" s="23">
        <f>'[1]Місто'!$C$548</f>
        <v>60000</v>
      </c>
      <c r="E311" s="7"/>
      <c r="F311" s="12"/>
      <c r="G311" s="25">
        <f aca="true" t="shared" si="15" ref="G311:G316">D311+F311</f>
        <v>60000</v>
      </c>
      <c r="I311" s="53"/>
    </row>
    <row r="312" spans="1:9" s="26" customFormat="1" ht="47.25">
      <c r="A312" s="76"/>
      <c r="B312" s="77"/>
      <c r="C312" s="7" t="s">
        <v>240</v>
      </c>
      <c r="D312" s="23">
        <f>'[1]Місто'!$C$550</f>
        <v>8500</v>
      </c>
      <c r="E312" s="7"/>
      <c r="F312" s="12"/>
      <c r="G312" s="25">
        <f t="shared" si="15"/>
        <v>8500</v>
      </c>
      <c r="I312" s="53"/>
    </row>
    <row r="313" spans="1:9" s="26" customFormat="1" ht="24.75" customHeight="1" hidden="1">
      <c r="A313" s="76"/>
      <c r="B313" s="77"/>
      <c r="C313" s="7"/>
      <c r="D313" s="8"/>
      <c r="E313" s="7"/>
      <c r="F313" s="12"/>
      <c r="G313" s="25">
        <f t="shared" si="15"/>
        <v>0</v>
      </c>
      <c r="I313" s="53"/>
    </row>
    <row r="314" spans="1:9" s="26" customFormat="1" ht="63">
      <c r="A314" s="76"/>
      <c r="B314" s="77"/>
      <c r="C314" s="7" t="s">
        <v>251</v>
      </c>
      <c r="D314" s="23">
        <f>'[1]Місто'!$C$551</f>
        <v>20000</v>
      </c>
      <c r="E314" s="7"/>
      <c r="F314" s="12"/>
      <c r="G314" s="25">
        <f t="shared" si="15"/>
        <v>20000</v>
      </c>
      <c r="I314" s="53"/>
    </row>
    <row r="315" spans="1:9" s="26" customFormat="1" ht="47.25">
      <c r="A315" s="76"/>
      <c r="B315" s="77"/>
      <c r="C315" s="7" t="s">
        <v>248</v>
      </c>
      <c r="D315" s="23">
        <f>'[1]Місто'!$C$549</f>
        <v>233100</v>
      </c>
      <c r="E315" s="7"/>
      <c r="F315" s="12"/>
      <c r="G315" s="25">
        <f t="shared" si="15"/>
        <v>233100</v>
      </c>
      <c r="I315" s="53"/>
    </row>
    <row r="316" spans="1:9" s="26" customFormat="1" ht="68.25" customHeight="1">
      <c r="A316" s="76"/>
      <c r="B316" s="77"/>
      <c r="C316" s="7" t="s">
        <v>263</v>
      </c>
      <c r="D316" s="23">
        <f>4134-1434</f>
        <v>2700</v>
      </c>
      <c r="E316" s="7"/>
      <c r="F316" s="12"/>
      <c r="G316" s="25">
        <f t="shared" si="15"/>
        <v>2700</v>
      </c>
      <c r="I316" s="53"/>
    </row>
    <row r="317" spans="1:11" s="40" customFormat="1" ht="15.75">
      <c r="A317" s="29"/>
      <c r="B317" s="29" t="s">
        <v>49</v>
      </c>
      <c r="C317" s="29"/>
      <c r="D317" s="34">
        <f>D11+D31+D70+D93+D117+D119+D121+D142+D147+D149+D177+D180+D185+D187+D190+D195+D207+D212+D218+D228+D243+D255+D267+D277+D293+D305+D224+D174+D140</f>
        <v>276961733</v>
      </c>
      <c r="E317" s="33"/>
      <c r="F317" s="34">
        <f>F11+F31+F70+F93+F117+F119+F121+F142+F147+F149+F177+F180+F185+F187+F190+F195+F207+F212+F218+F228+F243+F255+F267+F277+F293+F305+F224+F174+F140</f>
        <v>296096649</v>
      </c>
      <c r="G317" s="34">
        <f>F317+D317</f>
        <v>573058382</v>
      </c>
      <c r="I317" s="53"/>
      <c r="K317" s="52"/>
    </row>
    <row r="318" spans="1:7" ht="15" customHeight="1">
      <c r="A318" s="1"/>
      <c r="B318" s="1"/>
      <c r="C318" s="1"/>
      <c r="D318" s="1"/>
      <c r="E318" s="1"/>
      <c r="F318" s="1"/>
      <c r="G318" s="1"/>
    </row>
    <row r="319" spans="1:6" s="15" customFormat="1" ht="35.25" customHeight="1">
      <c r="A319" s="85" t="s">
        <v>176</v>
      </c>
      <c r="B319" s="85"/>
      <c r="C319" s="67"/>
      <c r="D319" s="68"/>
      <c r="E319" s="69"/>
      <c r="F319" s="73" t="s">
        <v>177</v>
      </c>
    </row>
    <row r="320" spans="4:7" ht="18" customHeight="1">
      <c r="D320" s="13">
        <f>D14+D23+D24+D26+D28+D30+D46+D47+D55+D63+D95+D106+D108+D113+D115+D116+D133+D145+D146+D152+D153+D159+D172+D179+D182+D183+D184+D197+D204+D205+D198+D209+D210+D217+D221+D223+D232+D235+D237+D238+D245+D249+D251+D252+D257+D260+D262+D263+D269+D271+D273+D274+D281+D285+D287+D288+D289+D296+D298+D300+D301+D308+D309+D311+D236+D261+D272+D109+D283+D154+D160+D49+D194+D312+D241+D254+D265+D275+D290+D302+D314+D107+D242+D266+D276+D292+D304+D316+D253+D291+D303+D315+D50+D211+D206+D62+D69+D29</f>
        <v>226807453</v>
      </c>
      <c r="F320" s="40">
        <f>('[2]свод'!$D$125+'[2]свод'!$D$202+'[2]свод'!$D$204+'[2]свод'!$D$206+'[2]свод'!$D$208)*1000</f>
        <v>2674640909</v>
      </c>
      <c r="G320" s="52">
        <f>F320-F317</f>
        <v>2378544260</v>
      </c>
    </row>
    <row r="321" spans="4:7" ht="18" customHeight="1">
      <c r="D321" s="13"/>
      <c r="F321" s="40"/>
      <c r="G321" s="52"/>
    </row>
    <row r="322" spans="4:7" ht="18" customHeight="1">
      <c r="D322" s="2">
        <f>'[3]свод'!$D$115*1000</f>
        <v>226807452.99999997</v>
      </c>
      <c r="F322" s="2">
        <f>'[2]свод'!$D$124*1000</f>
        <v>709687613</v>
      </c>
      <c r="G322" s="2" t="s">
        <v>257</v>
      </c>
    </row>
    <row r="323" spans="4:9" ht="18" customHeight="1">
      <c r="D323" s="13">
        <f>D322-D320</f>
        <v>0</v>
      </c>
      <c r="F323" s="48"/>
      <c r="G323" s="49"/>
      <c r="H323" s="48"/>
      <c r="I323" s="13"/>
    </row>
    <row r="324" spans="4:6" ht="18" customHeight="1">
      <c r="D324" s="13"/>
      <c r="F324" s="13"/>
    </row>
    <row r="325" spans="4:6" ht="18" customHeight="1">
      <c r="D325" s="13"/>
      <c r="F325" s="13"/>
    </row>
    <row r="326" spans="4:6" ht="15.75">
      <c r="D326" s="13"/>
      <c r="F326" s="13"/>
    </row>
    <row r="327" spans="3:6" ht="15.75">
      <c r="C327" s="5"/>
      <c r="F327" s="13"/>
    </row>
    <row r="328" ht="15.75">
      <c r="F328" s="13"/>
    </row>
    <row r="329" ht="15.75">
      <c r="F329" s="13"/>
    </row>
    <row r="330" ht="15.75">
      <c r="F330" s="13"/>
    </row>
    <row r="331" ht="15.75">
      <c r="F331" s="13"/>
    </row>
    <row r="332" ht="15.75">
      <c r="F332" s="13"/>
    </row>
    <row r="333" ht="15.75">
      <c r="F333" s="13"/>
    </row>
    <row r="334" ht="15.75">
      <c r="F334" s="13"/>
    </row>
    <row r="335" ht="15.75">
      <c r="F335" s="13"/>
    </row>
    <row r="336" ht="15.75">
      <c r="F336" s="13"/>
    </row>
    <row r="337" ht="15.75">
      <c r="F337" s="13"/>
    </row>
    <row r="338" ht="15.75">
      <c r="F338" s="13"/>
    </row>
    <row r="339" ht="15.75">
      <c r="F339" s="13"/>
    </row>
    <row r="340" ht="15.75">
      <c r="F340" s="13"/>
    </row>
    <row r="341" spans="5:8" ht="15.75">
      <c r="E341" s="10"/>
      <c r="F341" s="13"/>
      <c r="H341" s="13"/>
    </row>
    <row r="343" spans="3:7" ht="15.75">
      <c r="C343" s="50"/>
      <c r="D343" s="51"/>
      <c r="E343" s="50"/>
      <c r="F343" s="51"/>
      <c r="G343" s="50"/>
    </row>
    <row r="344" spans="3:7" ht="15.75">
      <c r="C344" s="50"/>
      <c r="D344" s="51"/>
      <c r="E344" s="50"/>
      <c r="F344" s="51"/>
      <c r="G344" s="50"/>
    </row>
    <row r="345" spans="3:7" ht="15.75">
      <c r="C345" s="50"/>
      <c r="D345" s="50"/>
      <c r="E345" s="50"/>
      <c r="F345" s="50"/>
      <c r="G345" s="51"/>
    </row>
  </sheetData>
  <sheetProtection/>
  <mergeCells count="116">
    <mergeCell ref="D202:D203"/>
    <mergeCell ref="A201:A203"/>
    <mergeCell ref="A230:A231"/>
    <mergeCell ref="C201:C203"/>
    <mergeCell ref="B201:B203"/>
    <mergeCell ref="B230:B231"/>
    <mergeCell ref="C221:C223"/>
    <mergeCell ref="A226:A227"/>
    <mergeCell ref="B226:B227"/>
    <mergeCell ref="A210:A211"/>
    <mergeCell ref="A12:A13"/>
    <mergeCell ref="B12:B13"/>
    <mergeCell ref="B43:B45"/>
    <mergeCell ref="B16:B19"/>
    <mergeCell ref="B37:B42"/>
    <mergeCell ref="A43:A45"/>
    <mergeCell ref="A34:A36"/>
    <mergeCell ref="B249:B254"/>
    <mergeCell ref="A260:A266"/>
    <mergeCell ref="A235:A242"/>
    <mergeCell ref="B260:B266"/>
    <mergeCell ref="A245:A246"/>
    <mergeCell ref="B245:B246"/>
    <mergeCell ref="B123:B124"/>
    <mergeCell ref="B106:B107"/>
    <mergeCell ref="B110:B111"/>
    <mergeCell ref="B97:B98"/>
    <mergeCell ref="B108:B109"/>
    <mergeCell ref="B58:B60"/>
    <mergeCell ref="A58:A60"/>
    <mergeCell ref="B34:B36"/>
    <mergeCell ref="A37:A42"/>
    <mergeCell ref="B46:B50"/>
    <mergeCell ref="A46:A50"/>
    <mergeCell ref="B91:B92"/>
    <mergeCell ref="A91:A92"/>
    <mergeCell ref="A80:A82"/>
    <mergeCell ref="A83:A85"/>
    <mergeCell ref="B83:B85"/>
    <mergeCell ref="A62:A63"/>
    <mergeCell ref="B62:B63"/>
    <mergeCell ref="A64:A66"/>
    <mergeCell ref="B80:B82"/>
    <mergeCell ref="B72:B76"/>
    <mergeCell ref="A72:A76"/>
    <mergeCell ref="B77:B79"/>
    <mergeCell ref="A77:A79"/>
    <mergeCell ref="B64:B66"/>
    <mergeCell ref="A319:B319"/>
    <mergeCell ref="A134:A138"/>
    <mergeCell ref="B134:B138"/>
    <mergeCell ref="A182:A184"/>
    <mergeCell ref="B182:B184"/>
    <mergeCell ref="B271:B276"/>
    <mergeCell ref="B159:B160"/>
    <mergeCell ref="A306:A307"/>
    <mergeCell ref="B306:B307"/>
    <mergeCell ref="A150:A151"/>
    <mergeCell ref="A5:G5"/>
    <mergeCell ref="C16:C19"/>
    <mergeCell ref="A16:A19"/>
    <mergeCell ref="B23:B30"/>
    <mergeCell ref="A23:A30"/>
    <mergeCell ref="A14:A15"/>
    <mergeCell ref="E8:F8"/>
    <mergeCell ref="B8:B9"/>
    <mergeCell ref="C8:D8"/>
    <mergeCell ref="B14:B15"/>
    <mergeCell ref="A94:A96"/>
    <mergeCell ref="B94:B96"/>
    <mergeCell ref="A101:A105"/>
    <mergeCell ref="A123:A124"/>
    <mergeCell ref="A108:A109"/>
    <mergeCell ref="A110:A111"/>
    <mergeCell ref="A106:A107"/>
    <mergeCell ref="A113:A114"/>
    <mergeCell ref="B112:B114"/>
    <mergeCell ref="A97:A98"/>
    <mergeCell ref="A125:A127"/>
    <mergeCell ref="A130:A132"/>
    <mergeCell ref="B130:B132"/>
    <mergeCell ref="A159:A160"/>
    <mergeCell ref="A155:A157"/>
    <mergeCell ref="B150:B151"/>
    <mergeCell ref="B125:B127"/>
    <mergeCell ref="A128:A129"/>
    <mergeCell ref="B128:B129"/>
    <mergeCell ref="A169:A170"/>
    <mergeCell ref="B155:B157"/>
    <mergeCell ref="B169:B170"/>
    <mergeCell ref="A153:A154"/>
    <mergeCell ref="B153:B154"/>
    <mergeCell ref="A164:A166"/>
    <mergeCell ref="B164:B166"/>
    <mergeCell ref="A162:A163"/>
    <mergeCell ref="B162:B163"/>
    <mergeCell ref="A309:A316"/>
    <mergeCell ref="B309:B316"/>
    <mergeCell ref="A298:A304"/>
    <mergeCell ref="A199:A200"/>
    <mergeCell ref="B199:B200"/>
    <mergeCell ref="B298:B304"/>
    <mergeCell ref="B281:B282"/>
    <mergeCell ref="A279:A280"/>
    <mergeCell ref="B279:B280"/>
    <mergeCell ref="A249:A254"/>
    <mergeCell ref="C68:C69"/>
    <mergeCell ref="A271:A276"/>
    <mergeCell ref="B285:B292"/>
    <mergeCell ref="A285:A292"/>
    <mergeCell ref="A205:A206"/>
    <mergeCell ref="B205:B206"/>
    <mergeCell ref="B210:B211"/>
    <mergeCell ref="B235:B242"/>
    <mergeCell ref="A281:A282"/>
    <mergeCell ref="B101:B105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2013-12-03T13:26:15Z</cp:lastPrinted>
  <dcterms:created xsi:type="dcterms:W3CDTF">1996-10-08T23:32:33Z</dcterms:created>
  <dcterms:modified xsi:type="dcterms:W3CDTF">2013-12-10T11:54:21Z</dcterms:modified>
  <cp:category/>
  <cp:version/>
  <cp:contentType/>
  <cp:contentStatus/>
</cp:coreProperties>
</file>