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410" windowWidth="15480" windowHeight="6105" tabRatio="612" activeTab="0"/>
  </bookViews>
  <sheets>
    <sheet name="таб. 4.1" sheetId="1" r:id="rId1"/>
    <sheet name="таб. 4.2" sheetId="2" r:id="rId2"/>
  </sheets>
  <definedNames>
    <definedName name="_xlnm.Print_Titles" localSheetId="0">'таб. 4.1'!$13:$13</definedName>
    <definedName name="_xlnm.Print_Titles" localSheetId="1">'таб. 4.2'!$6:$6</definedName>
    <definedName name="_xlnm.Print_Area" localSheetId="0">'таб. 4.1'!$A$1:$H$429</definedName>
    <definedName name="_xlnm.Print_Area" localSheetId="1">'таб. 4.2'!$A$1:$D$104</definedName>
  </definedNames>
  <calcPr fullCalcOnLoad="1"/>
</workbook>
</file>

<file path=xl/sharedStrings.xml><?xml version="1.0" encoding="utf-8"?>
<sst xmlns="http://schemas.openxmlformats.org/spreadsheetml/2006/main" count="1466" uniqueCount="462">
  <si>
    <t>субвенції з державного бюджету місцевим бюджетам на здійснення заходів щодо соціально-економічного розвитку окремих територій</t>
  </si>
  <si>
    <t>8,765</t>
  </si>
  <si>
    <t xml:space="preserve">Реконструкція прибудови до житлової будівлі під амбулаторію сімейного лікаря по вул. Дорошенко, 3 в Хортицькому районі </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</si>
  <si>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t>
  </si>
  <si>
    <t>вул.Кузнецова, 34б</t>
  </si>
  <si>
    <t xml:space="preserve">Ліквідація аварійного стану на ділянці дороги загального користування М-18 траса Харків-Сімферополь-Алушта-Ялта (в районі "М'ясокомбінату") (проектні роботи, експертиза, будівництво) </t>
  </si>
  <si>
    <t>вул. Ніжинська, 68-а</t>
  </si>
  <si>
    <t>вул. Кузнєцова,34а</t>
  </si>
  <si>
    <t>пр. Моторобудівників, 26</t>
  </si>
  <si>
    <t>Будівництво майданчику для силової гімнастики з благоустроєм в районі будинку №15 по вул. Південноукраїнської в м.Запоріжжі</t>
  </si>
  <si>
    <t>Управління з питань транспортного забезпечення та зв'язку Запорізької міської ради</t>
  </si>
  <si>
    <t>Будівництво мережі каналів оптичного зв'язку по пр. Леніна та прилеглих до нього територій (скверів, парків та площ) - 1 черга (проектні роботи)</t>
  </si>
  <si>
    <t xml:space="preserve">Будівництво котельної по вул. Софіївській в м. Запоріжжя </t>
  </si>
  <si>
    <t>Комунальне підприємство "Водоканал" (придбання екскаваторів-навантажувачів з комплектами навісного обладання - 2 од.)</t>
  </si>
  <si>
    <t>Комунальне підприємство "Титан" (придбання пляжеприбиральної машини "Ondina" (SCAM) - 1 одиниця, міні трактори МТ 6112 -  2 од.)</t>
  </si>
  <si>
    <t>Будівництво малих архітектурних форм по пр. Леніна, 204 з влаштуванням підсвітлення в  м.Запоріжжя</t>
  </si>
  <si>
    <t xml:space="preserve">Реконструкція частини будівлі під амбулаторію сімейного лікаря по вул. Воронезька, 10 в Хортицькому районі </t>
  </si>
  <si>
    <t>Реконструкція пішохідного переходу через балку Маркусова від вул. Історичної до вул. Сеченова в м. Запоріжжі (проектні роботи та експертиза)</t>
  </si>
  <si>
    <t>93</t>
  </si>
  <si>
    <t>21,375</t>
  </si>
  <si>
    <t>Районна адміністрація Запорізької міської ради по Жовтневого району</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</si>
  <si>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</si>
  <si>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Комунальне підприємство "Експлуатаційне лінійне управління автомобільних шляхів" (придбання тротуароприбиральної машини Джонстон CN 101 - 1 одиниця, підмітально-прибиральної машини Brod Sweeden AB Scandia 2 - 1 одиниця, дорожньо-розміточної машини Graco Line Lazer IV 3900 - 1 одиниця)</t>
  </si>
  <si>
    <t>вул. Перемоги, 131а</t>
  </si>
  <si>
    <t>вул. Рубана,13</t>
  </si>
  <si>
    <t>вул. Узбекістанська, 5</t>
  </si>
  <si>
    <t>Реконструкція площі ім. Леніна в м.Запоріжжя (проектно-вишукувальні роботи)</t>
  </si>
  <si>
    <t>Будівництво світлофорного об'єкту на перехресті вул. Північне шосе - дорога на Сталепрокатний завод</t>
  </si>
  <si>
    <t>Будівництво світлофорного об'єкту на перехресті вул.Чумаченка - вул.Олімпійська</t>
  </si>
  <si>
    <t>Попередження створення аварійної ситуації на мостовому переході по вул. Заводській в Орджонікідзевському районі (станція ім. Анатолія Алімова) в м.Запоріжжі- реконструкція (проектні роботи, експертиза)</t>
  </si>
  <si>
    <t>Будівництво дитячого будинку сімейного типу №1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</si>
  <si>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№2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</si>
  <si>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№3 в сел. Тепличне в районі житлової забудови по вул. Центральній в м. Запоріжжі (проектні роботи, експертиза)</t>
  </si>
  <si>
    <t>Будівництво дитячого будинку сімейного типу №4 в сел. Тепличне в районі житлової забудови по вул. Центральній в м. Запоріжжі (проектні роботи, експертиза)</t>
  </si>
  <si>
    <t>Споруди зливової каналізації в межах відновлення берегової території житломасиву Павло-Кічкас м. Запоріжжя</t>
  </si>
  <si>
    <t>Реконструкція вулично-шляхової мережі по вул. Квітучій в межах від вул. Братської до вул. Вінницької в Ленінському районі</t>
  </si>
  <si>
    <r>
      <t xml:space="preserve">Комунальне підприємство "Зеленбуд" (придбання бензопил "STIHL" 341 - 6 од., бензопил  "Мотор-Січ МС 370" - 2 од., </t>
    </r>
    <r>
      <rPr>
        <sz val="14"/>
        <color indexed="10"/>
        <rFont val="Times New Roman"/>
        <family val="1"/>
      </rPr>
      <t>газонокосарок "Мотор-Січ" - 9 од.</t>
    </r>
    <r>
      <rPr>
        <sz val="14"/>
        <rFont val="Times New Roman"/>
        <family val="1"/>
      </rPr>
      <t>, мотоножиць "STIHL" - 4 од., мотокіс "STIHL"  - 15 од., високорізів "STIHL"  - 8 од.)</t>
    </r>
  </si>
  <si>
    <r>
      <t>Міське комунальне підприємство "Основаніє" (придбання деревоподрібнюючої машини - 6 од., піскорозкидувачу - 5 од., відбійних молотків "Макіта" - 13 од., мотокоси "Husqvarna"   - 26 од., інструменту для прочистки каналізації "REMS" Кобра - 11 од., вантажопасажирських автомобілів АС - G2752 ВП 6 - 2 од., бензорізів абразивних "Мотор Січ МБА - 300" - 35 од.,</t>
    </r>
    <r>
      <rPr>
        <sz val="14"/>
        <color indexed="10"/>
        <rFont val="Times New Roman"/>
        <family val="1"/>
      </rPr>
      <t xml:space="preserve"> бензопил "Мотор Січ МС - 370" - 49 од., верстатів для заточування ланцюгів пільних "Мотор Січ СЗ - 150" - 9 од.</t>
    </r>
    <r>
      <rPr>
        <sz val="14"/>
        <color indexed="8"/>
        <rFont val="Times New Roman"/>
        <family val="1"/>
      </rPr>
      <t xml:space="preserve">, візків "Мотор Січ ТС - 1" - 40 од., мотоблоків "Мотор Січ МБ - 4,05" - 40 од., інструментів для роботи з трубами ПВХ - 11 од., </t>
    </r>
    <r>
      <rPr>
        <sz val="14"/>
        <color indexed="10"/>
        <rFont val="Times New Roman"/>
        <family val="1"/>
      </rPr>
      <t>перфораторів - 14 од., наборів інструментів слюсаря-сантехніка - 18 од., зварювальних інверторів - 14 од</t>
    </r>
    <r>
      <rPr>
        <sz val="14"/>
        <color indexed="8"/>
        <rFont val="Times New Roman"/>
        <family val="1"/>
      </rPr>
      <t>.)</t>
    </r>
  </si>
  <si>
    <r>
      <t xml:space="preserve">Міське комунальне підприємство "Основаніє" (придбання вантажопасажирського автомобілю "Соболь" - 10 одиниць, трактору з навісним обладнанням для прибирання території - 9 одиниць, спецобладнання для усунення аварійних ситуацій - 10 одиниць, комплект вимірювальних приладів для лабораторії діагностики деформацій житлових будинків - 1 одиниця, </t>
    </r>
    <r>
      <rPr>
        <sz val="14"/>
        <color indexed="30"/>
        <rFont val="Times New Roman"/>
        <family val="1"/>
      </rPr>
      <t>навісне обладнання для прибирання снігу -  погашення заборгованості за минулі роки)</t>
    </r>
  </si>
  <si>
    <t>Будівництво дитячого будинку сімейного типу в сел. Тепличне по вул. Центральній між будинками №№ 7а та 7 в м.Запоріжжі (проектні роботи, експертиза)</t>
  </si>
  <si>
    <t>КП "Водоканал"</t>
  </si>
  <si>
    <t>КП "Зеленбуд"</t>
  </si>
  <si>
    <t>Будівництво дороги до каналізаційної насосної станції №3 по вул. Лізи Чайкіної в м. Запоріжжі</t>
  </si>
  <si>
    <t>Департамент архітектури та містобудування Запорізької міської ради</t>
  </si>
  <si>
    <t>Періодичні видання (газети та журнали)</t>
  </si>
  <si>
    <t>Будівництво мереж зовнішнього освітлення по вул.Прияружна, 4а-12 (проектні роботи та експертиза)</t>
  </si>
  <si>
    <t>Ремонтні та реставраційні роботи по будівлі комунального закладу охорони здоров’я «Студентська поліклініка» по пр. Леніна, 59 м.Запоріжжя</t>
  </si>
  <si>
    <t>Попередження створення аварійної ситуації в районі незавершеного будівництва житлового будинку по вул.Горького, 167 в м. Запоріжжя</t>
  </si>
  <si>
    <t>Реконструкція скверу з влаштуванням фонтанів на площі Маяковського в м. Запоріжжі, присвячених ліквідаторам Чорнобильської катастрофи (проектні роботи, експертиза)</t>
  </si>
  <si>
    <t>20.12.2013 №5</t>
  </si>
  <si>
    <t>Реконструкція мереж зовнішнього освітлення по вул. Теплова</t>
  </si>
  <si>
    <t xml:space="preserve">Реконструкція мереж зовнішнього освітлення по вул. Деповська </t>
  </si>
  <si>
    <t>Реконструкція мереж зовнішнього освітлення по вул. Армавірська</t>
  </si>
  <si>
    <t>в тому числі</t>
  </si>
  <si>
    <t>Комунальне підприємство "Експлуатаційне лінійне управління автомобільних шляхів" (придбання вантажно-пасажирського фургону типу ГАЗ 2705 "Газель" - 3 одиниці, вантажного автомобілю для перевезення сміття типу ГАЗ 3309 - 6 одиниць)</t>
  </si>
  <si>
    <t>Внески у статутні капітали комунальних підприємств міста  - погашення заборгованості за минулі роки</t>
  </si>
  <si>
    <t>Внески у статутні капітали комунальних підприємств міста</t>
  </si>
  <si>
    <t>КП "ЕЛУАШ"</t>
  </si>
  <si>
    <t>Концерн "Міські теплові мережі"</t>
  </si>
  <si>
    <t>КП "Міжнародний аеропорт Запоріжжя"</t>
  </si>
  <si>
    <t xml:space="preserve">Реконструкція ділянки пішохідної алеї від вул. Правда до вул. Патріотична (проектні та будівельні роботи)  </t>
  </si>
  <si>
    <t>Будівництво декоративних підпірних стін від вул. Правда до вул. Перемога (проектні та будівельні роботи)</t>
  </si>
  <si>
    <t xml:space="preserve">Реконструкція будівлі загальноосвітньої школи І-ІІІ ступенів № 75 по вул.Історична,92 Заводського району </t>
  </si>
  <si>
    <t>Житловий будинок по пр. Леніна, 133  м. Запоріжжя - ліквідація  аварійного стану надбудови над аркою</t>
  </si>
  <si>
    <t>Назва головного розпорядника коштів</t>
  </si>
  <si>
    <t>150101</t>
  </si>
  <si>
    <t>Загальний обсяг фінансування будівництва (інших капітальних вкладень, кошторисна вартість</t>
  </si>
  <si>
    <t>Капітальні вкладення</t>
  </si>
  <si>
    <t xml:space="preserve">Магістральна теплова мережа по вул. Героїв Сталінграду, м. Запоріжжя - реконструкція </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</si>
  <si>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</si>
  <si>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</si>
  <si>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Департамент економічного розвитку Запорізької міської ради</t>
  </si>
  <si>
    <t>Водогін Д=800 мм в балці "Панська" у районі кладовища "Бугайова", м.Запоріжжя - реконструкція</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</si>
  <si>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</si>
  <si>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 xml:space="preserve">Реконструкція будівлі дошкільного навчального закладу № 220 по вул. Давидова, 11 Ленінського району м.Запоріжжя - реконструкція (проектні та будівельні роботи) </t>
  </si>
  <si>
    <t>Реконструкція будівлі дошкільного навчального закладу №294 по вул. Лассаля, 52а Заводського району, м.Запоріжжя (проектні та будівельні роботи)</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</si>
  <si>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</si>
  <si>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</si>
  <si>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</si>
  <si>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Газифікація житлових будинків по вул. Шушенська в Ленінському районі м.Запоріжжя (проектні та будівельні роботи)</t>
  </si>
  <si>
    <t>Районна адміністрація Запорізької міської ради по Орджонікідзевському району</t>
  </si>
  <si>
    <t>Реконструкція парку "Трудової слави" в м. Запоріжжі</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</si>
  <si>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</si>
  <si>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Реконструкція дороги по вул. Південноукраїнська та вул. Панфіловців з влаштуванням гостьових автомобільних стоянок (проектні роботи, експертиза)</t>
  </si>
  <si>
    <t>Реконструкція дороги по вул. Чубаря з влаштуванням гостьових автомобільних стоянок (проектні роботи, експертиза)</t>
  </si>
  <si>
    <t>Будівництво світлофорного об'єкту на перехресті вул. Леппіка - вул. Дзержинського</t>
  </si>
  <si>
    <t>Будівництво світлофорного об'єкту на перехресті вул. Гоголя - вул. Комунарівська</t>
  </si>
  <si>
    <t>Будівництво теплиці "Запорізького міського ботанічного саду" І черга (проектні роботи та будівництво)</t>
  </si>
  <si>
    <t>Житловий будинок № 149 по вул. Гоголя ІІ корпус - реконструкція нежитлового приміщення в житлове</t>
  </si>
  <si>
    <t>180409</t>
  </si>
  <si>
    <t xml:space="preserve">Газифікація житлових будинків № 7, 9, 10, 11, 12, 14 по вул. Пшеничній сел. Будівельників Шевченківського району м.Запоріжжя </t>
  </si>
  <si>
    <t>Реконструкція тротуару по вул. Новокузнецькій (непарна сторона)</t>
  </si>
  <si>
    <t>Будівництво світлофорного об'єкту на перехресті вул. Сєдова - виїзд з 7 медсанчастини</t>
  </si>
  <si>
    <t>Житловий будинок по вул. Республіканській,185 - реконструкція  системи теплопостачання</t>
  </si>
  <si>
    <t>Районна адміністрація Запорізької міської ради по Заводському району</t>
  </si>
  <si>
    <t>Реконструкція скверу, прилеглого до ПК "Заводський" з улаштуванням дитячого майданчику</t>
  </si>
  <si>
    <t>210105</t>
  </si>
  <si>
    <t>Реконструкція хлораторної ДВС-2,  м. Запоріжжя (проектні та будівельні роботи)</t>
  </si>
  <si>
    <t>ЗАТВЕРДЖЕНО</t>
  </si>
  <si>
    <t>Рішення міської ради</t>
  </si>
  <si>
    <t>Додаток 4</t>
  </si>
  <si>
    <t>Таблиця 4.1</t>
  </si>
  <si>
    <t>(тис.грн.)</t>
  </si>
  <si>
    <t>Код типової відомчої класифікації видатків місцевих бюджетів</t>
  </si>
  <si>
    <t>Назва об'єктів відповідно до проектно-кошторисної документації, тощо</t>
  </si>
  <si>
    <t xml:space="preserve">Відсоток завершеності будівництва об'єкта на майбутні роки </t>
  </si>
  <si>
    <t>Всього видатків на завершення будівництва об'єктів на майбутні роки</t>
  </si>
  <si>
    <t>Замовник / розпорядник бюджетних коштів нижчого рівня / одержувач бюджетних коштів</t>
  </si>
  <si>
    <t>Код тимчасової класифікації та кредитування місцевих бюджетів</t>
  </si>
  <si>
    <t>Найменування коду тимчасової класифікації видатків та кредитування місцевих бюджетів</t>
  </si>
  <si>
    <t>Всього</t>
  </si>
  <si>
    <t>Видатки на 2013 рік</t>
  </si>
  <si>
    <t xml:space="preserve">Перелік видатків,  які у 2013 році будуть проводитися за рахунок коштів бюджету розвитку міста </t>
  </si>
  <si>
    <t xml:space="preserve">Перелік першочергових об'єктів будівництва, реконструкції та ліквідації аварійного стану об'єктів, видатки на які у 2013 році будуть проводитися за рахунок коштів бюджету розвитку міста </t>
  </si>
  <si>
    <t>Видатки на запобігання та ліквідацію надзвичайних ситуацій та наслідків стихійного лиха</t>
  </si>
  <si>
    <t>Погашення основної суми боргу за запозиченням у формі VІІ випуску облігацій  внутрішньої місцевої позики</t>
  </si>
  <si>
    <t xml:space="preserve">Управління розвитку підприємництва та дозвільних послуг Запорізької міської ради </t>
  </si>
  <si>
    <t>до Програми економічного і соціального розвитку                                                                                   м. Запоріжжя на 2013 рік</t>
  </si>
  <si>
    <t>КП "УКБ"</t>
  </si>
  <si>
    <t>Таблиця 4.2</t>
  </si>
  <si>
    <t>03</t>
  </si>
  <si>
    <t>Виконавчий комітет міської ради</t>
  </si>
  <si>
    <t>010116</t>
  </si>
  <si>
    <t>Органи місцевого самоврядування</t>
  </si>
  <si>
    <t>капітальні видатки</t>
  </si>
  <si>
    <t>Інші видатки</t>
  </si>
  <si>
    <t>070101</t>
  </si>
  <si>
    <t>Дошкільні заклади освіти</t>
  </si>
  <si>
    <t>070201</t>
  </si>
  <si>
    <t xml:space="preserve">Загальноосвітні школи (в т.ч. школа-дитячий садок, інтернат при школі), спеціалізовані школи, ліцеї, гімназії, колегіуми </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</si>
  <si>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</si>
  <si>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</si>
  <si>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</si>
  <si>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</si>
  <si>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</si>
  <si>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</si>
  <si>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</si>
  <si>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</si>
  <si>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</si>
  <si>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</si>
  <si>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</si>
  <si>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090203</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</si>
  <si>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</si>
  <si>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</si>
  <si>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</si>
  <si>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</si>
  <si>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</si>
  <si>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</si>
  <si>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</si>
  <si>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</si>
  <si>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</si>
  <si>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</si>
  <si>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</si>
  <si>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</si>
  <si>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Управління розвитку підприємництва та дозвільних послуг Запорізької міської ради</t>
  </si>
  <si>
    <t>100102</t>
  </si>
  <si>
    <t>Капітальний ремонт житлового фонду місцевих органів ради</t>
  </si>
  <si>
    <t>250404</t>
  </si>
  <si>
    <t xml:space="preserve">                                                                                                                                                                                                                                                                                                                                                                                                                                                                                                                                                                                                                                                                                                                                                                                                                                                                                                                                                                                                                                                                                </t>
  </si>
  <si>
    <t>100203</t>
  </si>
  <si>
    <t>Департамент комунальної власності та приватизації Запорізької міської ради</t>
  </si>
  <si>
    <t>Секретар міської ради</t>
  </si>
  <si>
    <t>Р.О. Таран</t>
  </si>
  <si>
    <t>Перелік капітальних видатків, які у 2013 році будуть проводитися за рахунок коштів бюджету розвитку  міста</t>
  </si>
  <si>
    <t xml:space="preserve">Будівництво систем відеоспостереження у місцях масового перебування громадян </t>
  </si>
  <si>
    <t>Прибудова до загальноосвітньої школи І-ІІІ ступенів № 104 по вул. Кремлівська, 65в Ленінського району - будівництво (проектні та будівельні роботи)</t>
  </si>
  <si>
    <t>Реконструкція будівлі по вул. Таганська, 8 під соціальний готель (проектні та будівельні роботи)</t>
  </si>
  <si>
    <t>Будівництво дитячих майданчиків  (проектні та будівельні роботи)</t>
  </si>
  <si>
    <t xml:space="preserve">Будівництво спортивних майданчиків </t>
  </si>
  <si>
    <t>Винос водогону з під житлової забудови по вул. Первомайській (від вул. Кооперативної до вул. Української, 92) (проектні та будівельні роботи)</t>
  </si>
  <si>
    <t>Попередження створення аварійної ситуацій житлових будинків по вул. Нагнибіди, 11, 11а (проектні та будівельні роботи)</t>
  </si>
  <si>
    <t>Управління з питань земельних відносин Запорізької міської ради</t>
  </si>
  <si>
    <t>65</t>
  </si>
  <si>
    <t>Управління з питань транспортного забезпечення та зв"язку Запорізької міської ради</t>
  </si>
  <si>
    <t>210110</t>
  </si>
  <si>
    <t>Заходи з організації рятування на водах</t>
  </si>
  <si>
    <t>Реконструкція будівлі дошкільного навчального закладу №186 по вул.12 Квітня, 2а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</si>
  <si>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</si>
  <si>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t>
  </si>
  <si>
    <t>Реконструкція автодороги Запоріжжя-Підпорожнянка в районі шлакових відвалів ВАТ "Запоріжсталь"</t>
  </si>
  <si>
    <t>091204</t>
  </si>
  <si>
    <t>Територіальні центри соціального обслуговування (надання соціальних послуг)</t>
  </si>
  <si>
    <t>Реконструкція зовнішнього електропостачання будівлі Палацу спорту "Юність" (проектні роботи, експертиза)</t>
  </si>
  <si>
    <t>Інженерне забезпечення (електропостачання) об'єкту "Будівництво та облаштування притулку для утримання безпритульних тварин м.Запоріжжя"</t>
  </si>
  <si>
    <t>95</t>
  </si>
  <si>
    <t>Районна адміністрація Запорізької міської ради по Жовтневому району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</si>
  <si>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</si>
  <si>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Департамент житлово-комунального господарства Запорізької міської ради</t>
  </si>
  <si>
    <t>Департамент житлово-комунального  господарства Запорізької міської ради</t>
  </si>
  <si>
    <t>Благоустрій міст, сіл, селищ</t>
  </si>
  <si>
    <t>Реконструкція водопроводу Д-630 мм по вул. Первомайській (від ЗЦП до вул. Кооперативної) (проектні та будівельні роботи)</t>
  </si>
  <si>
    <t>Реконструкція інженерних мереж на перехресті пр.Леніна та пр.Металургів м.Запоріжжя (проектні та будівельні роботи)</t>
  </si>
  <si>
    <t>Будівництво теплової мережі до 3-ої секції житлового будинку по вул.Дзержинського, 114 (проектні та будівельні роботи)</t>
  </si>
  <si>
    <t>Внески органів місцевого самоврядування у статутні капітали суб'єктів підприємницької діяльності</t>
  </si>
  <si>
    <t xml:space="preserve">Управління з питань попередження надзвичайних ситуацій та цивільного захисту населення Запорізької міської ради </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</si>
  <si>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</si>
  <si>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Реконструкція вул. Лермонтова (від вул.Правди до вул.Заводської) м.Запоріжжя (проектні та будівельні роботи)</t>
  </si>
  <si>
    <t>Будівля навчального комплексу "Запорізька Січ" о.Хортиця, м.Запоріжжя - реконструкція</t>
  </si>
  <si>
    <t xml:space="preserve">Виконавчий комітет міської ради </t>
  </si>
  <si>
    <t>33</t>
  </si>
  <si>
    <t xml:space="preserve">Управління реєстрації та єдиного реєстру Запорізької міської ради </t>
  </si>
  <si>
    <t>92</t>
  </si>
  <si>
    <t>38,907</t>
  </si>
  <si>
    <t>96</t>
  </si>
  <si>
    <t>в тому числі погашення заборгованості за минулі роки</t>
  </si>
  <si>
    <t>Реконструкція ринку Соцміста КП "Запоріжринок" вул. Рекордна, 2, м. Запоріжжя (проектні та будівельні роботи)</t>
  </si>
  <si>
    <t>Реконструкція приміщень навчально-виховного оздоровчого комплексу  № 110  по вул.Стешенка,19 Комунарського району під позашкільний підрозділ - погашення заборгованості за минулі роки</t>
  </si>
  <si>
    <t>Реконструкція підстанції швидкої та медичної допомоги комунальної установи "Міська клінічна лікарня екстреної та швидкої медичної допомоги м.Запоріжжя" по вул.Демократичній, 127 в Заводському районі (проектні роботи) - погашення заборгованості за минулі роки</t>
  </si>
  <si>
    <t>Реконструкція приміщень управління праці та соціального захисту населення Запорізької міської ради по  Хортицькому району за адресою: вул. Лахтинська, 4-Б (проектні та будівельні роботи) - погашення заборгованості за минулі роки</t>
  </si>
  <si>
    <t>Реконструкція будівлі міського геріатричного стаціонару по вул. Кузнєцова, 28а (проектні та будівельні роботи) - погашення заборгованості за минулі роки</t>
  </si>
  <si>
    <t>Реконструкція, переобладнання та перепланування гуртожитку під житловий будинок  по вул. Нахімова, 6  - погашення заборгованості за минулі роки</t>
  </si>
  <si>
    <t>Будівництво мереж зовнішнього освітлення по вул. Горького (від вул. Радянської до вул. Червоногвардійської) (проектні та будівельні роботи) -  погашення заборгованості за минулі роки</t>
  </si>
  <si>
    <t>Будівництво мереж зовнішнього освітлення по вул. Свердлова (від вул.Жуковського до вул. Гоголя) (проектні та будівельні роботи) -  погашення заборгованості за минулі роки</t>
  </si>
  <si>
    <t>Будівництво мереж зовнішнього освітлення вулиці Історична від буд. 1 до буд. 5 (проектні роботи) -  погашення заборгованості за минулі роки</t>
  </si>
  <si>
    <t>Будівництво мереж зовнішнього освітлення вулиці  Косарєва (проектні роботи) -  погашення заборгованості за минулі роки</t>
  </si>
  <si>
    <t>Будівництво мереж зовнішнього освітлення  пров.Кедровий (проектні роботи) -  погашення заборгованості за минулі роки</t>
  </si>
  <si>
    <t>Будівництво мереж зовнішнього освітлення пров.Якутський (проектні роботи) -  погашення заборгованості за минулі роки</t>
  </si>
  <si>
    <t>Будівництво дорожнього полотна провулку Ставропольського (проектні та будівельні роботи) -  погашення заборгованості за минулі роки</t>
  </si>
  <si>
    <t>Реконструкція пр. Леніна на ділянці від вул. Кірова до залізничній станції «Запоріжжя-1» (ділянка від вул. Кірова до вул. Космічної) -  погашення заборгованості за минулі роки</t>
  </si>
  <si>
    <t>Реконструкція вул. Шамотної в межах від вул. Електричної до вул. Шламової (проектні та будівельні роботи) -  погашення заборгованості за минулі роки</t>
  </si>
  <si>
    <t>Реконструкція вул. Фінальної в межах від вул. Північне шосе до вул. Історичної (проектні та будівельні роботи) -  погашення заборгованості за минулі роки</t>
  </si>
  <si>
    <t>Реконструкція вул.Ніжинської в межах від вул. Олександра Невського до вул. Шмідта (проектні та будівельні роботи) -  погашення заборгованості за минулі роки</t>
  </si>
  <si>
    <t>Реконструкція вул. Кияшка в межах від бул. Вінтера до вул. Михайлова (проектні та будівельні роботи) -  погашення заборгованості за минулі роки</t>
  </si>
  <si>
    <t>Реконструкція вул.Медичної в межах від вул.Айвазовського до вул. Панаса Мирного (проектні та будівельні роботи) -  погашення заборгованості за минулі роки</t>
  </si>
  <si>
    <t>Реконструкція парку   «Перемоги» в м. Запоріжжя (ІІ черга) -  погашення заборгованості за минулі роки</t>
  </si>
  <si>
    <t>Котельня по вул. Панфьорова, 146а - технічне переоснащення -  погашення заборгованості за минулі роки</t>
  </si>
  <si>
    <t>Розширення і реконструкція центральних каналізаційних очисних споруд Лівого берега (ЦОС-1). Технологічні трубопроводи. (Колектор К-28)  -  погашення заборгованості за минулі роки</t>
  </si>
  <si>
    <t>Реконструкція  пам'ятника "Металургам" в м. Запоріжжя (проектні та будівельні роботи)  -  погашення заборгованості за минулі роки</t>
  </si>
  <si>
    <t>Реконструкція дитячого містечка в районі вул. Південноукраїнська з установкою малих архітектурних форм (проектні та будівельні роботи) -  погашення заборгованості за минулі роки</t>
  </si>
  <si>
    <t>Реконструкція зовнішнього освітлення в районі вул. Правда - вул. Чубаря, м.Запоріжжя (проектні та будівельні роботи)  -  погашення заборгованості за минулі роки</t>
  </si>
  <si>
    <t>Реконструкція Палацу спорту "Юність" в м.Запоріжжя (проектні роботи)</t>
  </si>
  <si>
    <t>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</si>
  <si>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</si>
  <si>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 xml:space="preserve">Житловий будинок  по вул.Республіканській, 88 - реконструкція </t>
  </si>
  <si>
    <t xml:space="preserve">Ліквідація аварійного стану житлового будинку по вул.Ракетній, 38а </t>
  </si>
  <si>
    <t xml:space="preserve">Житловий будинок по бул. Вінтера,50 - реконструкція  </t>
  </si>
  <si>
    <t xml:space="preserve">Житловий будинок по вул. Нагнибіди,15 – реконструкція системи тепло-, водопостачання </t>
  </si>
  <si>
    <t xml:space="preserve">Житловий будинок по вул. Ленській, 1б – реконструкція системи теплопостачання </t>
  </si>
  <si>
    <t>Реконструкція контейнерного майданчика по вул. Маяковського, 10</t>
  </si>
  <si>
    <t>Реконструкція контейнерного майданчика по вул. Перемоги, 59</t>
  </si>
  <si>
    <t>Реконструкція контейнерного майданчика по вул. Південноукраїнська, 19</t>
  </si>
  <si>
    <t>Реконструкція контейнерного майданчика по вул. Південноукраїнська, 13</t>
  </si>
  <si>
    <t>Реконструкція контейнерного майданчика по вул. Патріотична, 64б</t>
  </si>
  <si>
    <t xml:space="preserve">Реконструкція контейнерного майданчика по пр. Леніна,133 </t>
  </si>
  <si>
    <t xml:space="preserve">Реконструкція контейнерного майданчика по бул. Шевченко, 42 </t>
  </si>
  <si>
    <t xml:space="preserve">Реконструкція контейнерного майданчика по вул. Тбіліська, 9 </t>
  </si>
  <si>
    <t>Ліквідація аварійного стану автодороги, зливової та побутової каналізації по вул. М.Судця, м.Запоріжжя</t>
  </si>
  <si>
    <t xml:space="preserve">Ліквідація аварійного стану на дорожній насипі проїзної частини дороги по вул. Перемоги (в р-ні міської лікарні №6) (проектні роботи, будівництво) </t>
  </si>
  <si>
    <t xml:space="preserve">Будівництво водогону Д=315 мм по вул.Сапожнікова, м.Запоріжжя </t>
  </si>
  <si>
    <r>
      <t>Газифікація житлових будинків по вул. Воєнбуд м.Запоріжжя</t>
    </r>
  </si>
  <si>
    <t>20,000</t>
  </si>
  <si>
    <t xml:space="preserve">Реконструкція системи диспетчеризації ліфтового господарства в Комунарському районі м. Запоріжжя </t>
  </si>
  <si>
    <t xml:space="preserve">120201 </t>
  </si>
  <si>
    <t>080500</t>
  </si>
  <si>
    <t>Загальні і спеціалізовані стоматологічні поліклініки</t>
  </si>
  <si>
    <t>Попередження створенню аварійного стану прибудови комунального підприємства Палац культури "Орбіта" (проектні та будівельні роботи)</t>
  </si>
  <si>
    <t>Будівництво трамвайної колії від пр. Леніна до вул. Жовтневої в м. Запоріжжі (проектно-вишукувальні роботи, експертиза)</t>
  </si>
  <si>
    <t xml:space="preserve">Реконструкція  приміщень комунальної установи  "Міська клінічна лікарня №2", м. Запоріжжя (проектні та будівельні роботи) </t>
  </si>
  <si>
    <t>Комунальна установа "Центральна лікарня Орджонікідзевського району" по бул. Шевченко, 25 м. Запоріжжя - реконструкція  - погашення заборгованості за минулі роки</t>
  </si>
  <si>
    <t>МКП "Основаніє"</t>
  </si>
  <si>
    <t>КП "УКБ", МКП "Основаніє"</t>
  </si>
  <si>
    <t>КП "Титан"</t>
  </si>
  <si>
    <t>Районна адміністрація Запорізької міської ради по Шевченківському району</t>
  </si>
  <si>
    <t>070202</t>
  </si>
  <si>
    <t>Вечірні (змінні) школи</t>
  </si>
  <si>
    <t>130107</t>
  </si>
  <si>
    <t>Утримання та навчально-тренувальна робота дитячо-юнацьких спортивних шкіл</t>
  </si>
  <si>
    <t xml:space="preserve">Комунальна установа «Запорізька міська багатопрофільна дитяча лікарня №5»  (відділення недоношених новонароджених)  - реконструкція </t>
  </si>
  <si>
    <t>в тому числі за адресами:</t>
  </si>
  <si>
    <t>вул. Перемоги, 65</t>
  </si>
  <si>
    <t>вул. Гагаріна, 8</t>
  </si>
  <si>
    <t>вул. Н.Містечка, 19 гол. фасад.</t>
  </si>
  <si>
    <t>вул. Запорізька, 6</t>
  </si>
  <si>
    <t>вул. Бочарова, 8</t>
  </si>
  <si>
    <t>вул.Косигіна, 9</t>
  </si>
  <si>
    <t>вул.Авраменко, 7</t>
  </si>
  <si>
    <t>вул.Центральна, 5</t>
  </si>
  <si>
    <t>вул.Фільтрова, 25</t>
  </si>
  <si>
    <t>вул.Фундаментальна, 17</t>
  </si>
  <si>
    <t>вул.Магнітна, 2</t>
  </si>
  <si>
    <t>вул.Алмазна, 45</t>
  </si>
  <si>
    <t>вул.Історична, 73</t>
  </si>
  <si>
    <t>вул.Республіканська, 51</t>
  </si>
  <si>
    <t>вул.Гудименко,9</t>
  </si>
  <si>
    <t>пр.Ювілейний,23А</t>
  </si>
  <si>
    <t>вул.Рубана,24</t>
  </si>
  <si>
    <t>вул.Задніпровська,21</t>
  </si>
  <si>
    <t>вул.Задніпровська,27</t>
  </si>
  <si>
    <t>вул.Зестафонська,10-б</t>
  </si>
  <si>
    <t>вул.Дніпровські пороги,21</t>
  </si>
  <si>
    <t>вул.Зернова,30а</t>
  </si>
  <si>
    <t>вул.Кремлівська,81</t>
  </si>
  <si>
    <t xml:space="preserve">вул. Портова, буд. 2                                                                                                                                          </t>
  </si>
  <si>
    <t xml:space="preserve">вул.Чарівна,95   </t>
  </si>
  <si>
    <t>вул.Військбуд,84</t>
  </si>
  <si>
    <t>вул.Памірська,91</t>
  </si>
  <si>
    <t>вул. Бочарова, 16-б</t>
  </si>
  <si>
    <t>вул.Космічна,112 б</t>
  </si>
  <si>
    <t>вул.Новокузнецька,36а</t>
  </si>
  <si>
    <t>вул.Чумаченко,36а</t>
  </si>
  <si>
    <t>вул.Автозаводська,4</t>
  </si>
  <si>
    <t>вул.Чумаченко,13</t>
  </si>
  <si>
    <t>пр.40 річчя Перемоги,63</t>
  </si>
  <si>
    <t>вул.Олімпійська,10</t>
  </si>
  <si>
    <t>вул.Космічна,101</t>
  </si>
  <si>
    <t>вул.Антарктична,15а</t>
  </si>
  <si>
    <t>вул.Садова,101</t>
  </si>
  <si>
    <t>вул. 40 років Радянської    України, 49</t>
  </si>
  <si>
    <t>вул. Миру, 5</t>
  </si>
  <si>
    <t>бул. Центральний, 3</t>
  </si>
  <si>
    <t>вул. Лермонтова, 6</t>
  </si>
  <si>
    <t>вул. Перемоги, 119-б;</t>
  </si>
  <si>
    <t>вул. Магістральна,  72а</t>
  </si>
  <si>
    <t>вул. Магістральна, 92а</t>
  </si>
  <si>
    <t>вул. Чарівна, 127</t>
  </si>
  <si>
    <t>вул.Ніжинській,66</t>
  </si>
  <si>
    <t>вул. Історична, 29</t>
  </si>
  <si>
    <t>вул.Глазунова,6</t>
  </si>
  <si>
    <t>вул.Історичній,34</t>
  </si>
  <si>
    <t>вул.Ентузіастів,3</t>
  </si>
  <si>
    <t>вул. М.Чуйкова,32</t>
  </si>
  <si>
    <t>вул. Дудикіна,9а</t>
  </si>
  <si>
    <t>вул. Верхня, 10</t>
  </si>
  <si>
    <t xml:space="preserve">вул.Вороніхіна,8  </t>
  </si>
  <si>
    <t>вул.Чумаченко,37</t>
  </si>
  <si>
    <t>вул.Дослідна станція,84</t>
  </si>
  <si>
    <t>вул.Рязанська,11</t>
  </si>
  <si>
    <t>пр.40 річчя Перемоги,57</t>
  </si>
  <si>
    <t>вул.Космічна,130 б</t>
  </si>
  <si>
    <t xml:space="preserve">вул. Лермонтова, 14                                                                                                                                           </t>
  </si>
  <si>
    <t>Реконструкція мереж зовнішнього освітлення на внутрішньоквартальній території по вул. Малиновського ТП-118</t>
  </si>
  <si>
    <t>Реконструкція мереж зовнішнього освітлення по вул. Тополіна ТП-52</t>
  </si>
  <si>
    <t>Реконструкція мереж зовнішнього освітлення по вул. Володарського</t>
  </si>
  <si>
    <t>Реконструкція мереж зовнішнього освітлення скверу кінотеатру "Южний" (сквер по вул. Калініна - вул. Культурна)</t>
  </si>
  <si>
    <t>Реконструкція мереж зовнішнього освітлення на внутрішньоквартальній території по пр. Радянський (5 мікрорайон) ТП-612</t>
  </si>
  <si>
    <t>Реконструкція мереж зовнішнього освітлення на внутрішньоквартальній території по пр. Радянський (5 мікрорайон) ТП-611</t>
  </si>
  <si>
    <t>Реконструкція мереж зовнішнього освітлення на внутрішньоквартальній території по вул. Задніпровська - вул. Гудименка</t>
  </si>
  <si>
    <t>Реконструкція мереж зовнішнього освітлення на внутрішньоквартальній території по вул. Бородинська 2 етап ТП-885</t>
  </si>
  <si>
    <t xml:space="preserve">Реконструкція мереж зовнішнього освітлення по вул. Третьої п’ятирічки </t>
  </si>
  <si>
    <t>Реконструкція мереж зовнішнього освітлення по вул. Логінова</t>
  </si>
  <si>
    <t>Реконструкція мереж зовнішнього освітлення по вул. Метрополітенівській</t>
  </si>
  <si>
    <t>Реконструкція мереж зовнішнього освітлення по вул. Станіславського</t>
  </si>
  <si>
    <t>Реконструкція мереж зовнішнього освітлення по пров. Арбатський</t>
  </si>
  <si>
    <t>Реконструкція мереж зовнішнього освітлення по вул. Оборонна</t>
  </si>
  <si>
    <t xml:space="preserve"> </t>
  </si>
  <si>
    <t>пр.Леніна, 143</t>
  </si>
  <si>
    <t>Реконструкція мереж зовнішнього освітлення по вул. Пілотів - погашення заборгованості за минулі роки</t>
  </si>
  <si>
    <t>Реконструкція мереж зовнішнього освітлення на внутрішньоквартальній території вул. Бородинська - погашення заборгованості за минулі роки</t>
  </si>
  <si>
    <t>Будівництво мереж зовнішнього освітлення по вул. Вогнетривка, 1-11 (проектні роботи та експертиза)</t>
  </si>
  <si>
    <t xml:space="preserve">Реконструкція будівель та інженерних мереж комунальної установи "Міська клінічна лікарня екстреної та швидкої медичної допомоги м.Запоріжжя" по вул.Перемоги, 80  м. Запоріжжя (проектні роботи та експертиза) </t>
  </si>
  <si>
    <t>Реконструкція мереж зовнішнього освітлення по вул. Новгородська (гуртожиток по вул. Новгородська)</t>
  </si>
  <si>
    <t>Реконструкція частини центральної пішохідної алеї по пр. Ювілейному в м. Запоріжжі  (проектні роботи, експертиза)</t>
  </si>
  <si>
    <t>Будівництво спортивного майданчику у парку  «Перемоги» (проектні та будівельні роботи)</t>
  </si>
  <si>
    <t xml:space="preserve">Благоустрій міста </t>
  </si>
  <si>
    <t>Реконструкція скверу біля пам"ятника Ф.Е. Дзержинського, в м. Запоріжжі</t>
  </si>
  <si>
    <t>Благоустрій міста</t>
  </si>
  <si>
    <t xml:space="preserve">Органи місцевого самоврядування </t>
  </si>
  <si>
    <t>Районна адміністрація Запорізької міської ради по Комунарському  району</t>
  </si>
  <si>
    <t>100106</t>
  </si>
  <si>
    <t>Капітальний ремонт житлового фонду об'єднань співвласників багатоквартирних будинків</t>
  </si>
  <si>
    <t>Районна адміністрація Запорізької міської ради по Ленінському району</t>
  </si>
  <si>
    <t>90</t>
  </si>
  <si>
    <t>091209</t>
  </si>
  <si>
    <t>Фінансова підтримка громадських організацій інвалідів і ветеранів</t>
  </si>
  <si>
    <t>91</t>
  </si>
  <si>
    <t>Районна адміністрація Запорізької міської ради по Хортицькому району</t>
  </si>
  <si>
    <t>Реконструкція житлових будинків по пр. Леніна, 171, пр. Леніна, 171а, пр. Леніна, 173 (проектні роботи та експертиза)</t>
  </si>
  <si>
    <t>вул. Грязнова, 2</t>
  </si>
  <si>
    <t>вул. Козача, 47</t>
  </si>
  <si>
    <t>пр. Леніна, 148</t>
  </si>
  <si>
    <t>вул. Комунарівська, 64</t>
  </si>
  <si>
    <t>вул. Свердлова, 39</t>
  </si>
  <si>
    <t>пр. Леніна, 96</t>
  </si>
  <si>
    <t>вул. Історична, 37а</t>
  </si>
  <si>
    <t>вул. Молодіжна, 85</t>
  </si>
  <si>
    <t>вул. Чернівецька, 5</t>
  </si>
  <si>
    <t>вуд. Дніпропетровське шосе, 54</t>
  </si>
  <si>
    <t>вул. Ладозька, 14</t>
  </si>
  <si>
    <t>вул. Кремлівська, 17</t>
  </si>
  <si>
    <t>вул. Гребельна, 1</t>
  </si>
  <si>
    <t>пр. Леніна, 192</t>
  </si>
  <si>
    <t>вул. 14 Жовтня, 9</t>
  </si>
  <si>
    <t>пр. Ювілейний, 29</t>
  </si>
  <si>
    <t>пр. Ювілейний, 24/1</t>
  </si>
  <si>
    <t>вул. Задніпровська, 36</t>
  </si>
  <si>
    <t>вул. Лахтинська, 7</t>
  </si>
  <si>
    <t>пр. Моторобудівників, 3</t>
  </si>
  <si>
    <t>вул. Грязнова, 90а</t>
  </si>
  <si>
    <t>вул. Уральська, 27</t>
  </si>
  <si>
    <t>вул. Деповська, 85</t>
  </si>
  <si>
    <t>вул. Перемоги, 87а</t>
  </si>
  <si>
    <t>вул. Українська,8</t>
  </si>
  <si>
    <t>вул. Гоголя, 124</t>
  </si>
  <si>
    <t>вул. Горького, 55</t>
  </si>
  <si>
    <t>вул. Грязнова, 1а</t>
  </si>
  <si>
    <t>вул. Грязнова, 4</t>
  </si>
  <si>
    <t>вул. Історична, 20а</t>
  </si>
  <si>
    <t>вул. Зестафонська, 1</t>
  </si>
  <si>
    <t>вул. Ладозька, 32</t>
  </si>
  <si>
    <t>вул. Руставі, 3а</t>
  </si>
  <si>
    <t>бул. Гвардійський, 136</t>
  </si>
  <si>
    <t>вул. Запорізького козацтва,3</t>
  </si>
  <si>
    <t>бул. Будівельників, 19</t>
  </si>
  <si>
    <t>бул. Будівельників, 13</t>
  </si>
  <si>
    <t>вул. Військбуд, 84</t>
  </si>
  <si>
    <t>Реконструкція контейнерного майданчика по вул. Матросова, 25 - погашення заборгованості за минулі роки</t>
  </si>
  <si>
    <t>Реконструкція дороги по вул. Глісерній з автомобільною стоянкою в районі парку «Дубовий гай» м. Запоріжжя - погашення заборгованості за минулі роки</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</si>
  <si>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</si>
  <si>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t>Будівництво інженерних мереж до громадських модульних туалетів на Центральному міському пляжі по Прибрежній магістралі в м.Запоріжжі (проектні та будівельні роботи) - погашення заборгованості за минулі роки</t>
  </si>
  <si>
    <t>Будівництво каналізаційної насосної станції та мереж електропостачання в районі Прибрежної магістралі - вул. Тбіліська (проектні та будівельні роботи)</t>
  </si>
  <si>
    <t>Концерн "Міські теплові мережі" (придбання автомобіль ЗАЗ Lanos - 2 одиниці, автомобіль Chevrolet Lacetti - 2 одиниці, автомобіль Chevrolet Epica - 1 одиниця)</t>
  </si>
  <si>
    <t>Реконструкція мереж зовнішнього освітлення дитячого майданчика по вул. Дорошенка, 6 у м.Запоріжжя  (проектні роботи, експертиза)</t>
  </si>
  <si>
    <t>Реконструкція скверу на пл. Театральній зі спорудженням пам"ятника Т.Г. Шевченку (проектні роботи та експертиза) - погашення заборгованості за минулі роки</t>
  </si>
  <si>
    <t>Реконструкція скверу  Театрального  в м. Запоріжжя (проектні та будівельні роботи)</t>
  </si>
  <si>
    <t>150118</t>
  </si>
  <si>
    <t>Житлове будівництво та придбання житла для окремих категорій населення</t>
  </si>
  <si>
    <t>КП "Запоріжміськсвітло"</t>
  </si>
  <si>
    <t>171000</t>
  </si>
  <si>
    <t>Діяльність і послуги не віднесені до інших категорій</t>
  </si>
  <si>
    <t>ЗКПМЕ "Запоріжелектротранс"</t>
  </si>
  <si>
    <t>Запорізьке комунальне підприємство міського електротранспорту "Запоріжелектротранс" (проведення капітального ремонту понтону, реконструкція 2-х котелень, що обслуговують вагоноремонтні майстерні та тролейбусний парк №1)</t>
  </si>
  <si>
    <t>Будівництво житлового будинку № 25 в кварталі  по вул.Алмазній у сел. Павло-Кічкас м. Запоріжжя (проектні та будівельні роботи)</t>
  </si>
  <si>
    <t>Будівництво житлового будинку № 10 в мікрорайоні 5 житлового масиву "Південний", м. Запоріжжя (пілотний проект)</t>
  </si>
  <si>
    <t>Будівництво позаквартальних інженерних мереж та споруд по вул. Алмазній  (проектні роботи)</t>
  </si>
  <si>
    <t xml:space="preserve">Реконструкція скверу ім. 60-річчя СРСР та прилеглої території в м. Запоріжжі (ескізний проект) </t>
  </si>
  <si>
    <t>Реконструкція будівлі по вул. 40 років Радянської України, 41а</t>
  </si>
  <si>
    <t xml:space="preserve">Реконструкція дороги по вул. Нагнибіди в Комунарському районі (проектні роботи, експертиза) </t>
  </si>
  <si>
    <t>Реконструкція вул.Рекордної від вул. Портова до вул. Алюмінева (проектні роботи)</t>
  </si>
  <si>
    <t xml:space="preserve">Завершення будівництва по вул. Калнишевського, вул. Дорошенко, вул. Рубана (зовнішнє освітлення та дороги) </t>
  </si>
  <si>
    <t>Реконструкція мереж зовнішнього освітлення по бул. Шевченка (центральна алея від пр. Леніна до вул. Перемоги)</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</si>
  <si>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</si>
  <si>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</si>
  <si>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</si>
  <si>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</si>
  <si>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Реконструкція тротуарів з влаштуванням велодоріжок від парку "Дубовий гай" до Ландшафтного парку вздовж Прибрежної магістралі в м. Запоріжжі (проектні роботи та експертиза)</t>
  </si>
  <si>
    <t>Реконструкція вул.Рекордної, м. Запоріжжя (від вул. Заводська до вул.Алюмінева) (проектні та будівельні роботи)</t>
  </si>
  <si>
    <t>Реконструкція скидного зливового колектору в районі насосної станції № 29 в Хортицькому районі (проектні та будівельні роботи)</t>
  </si>
  <si>
    <t>Комунальне підприємство "Запоріжміськсвітло" (придбання комп"ютерної техніки та автомобілів Vida SF 69YO-20 - 23 одиниці)</t>
  </si>
  <si>
    <t>76</t>
  </si>
  <si>
    <t>Департамент фінансової та бюджетної політики Запорізької міської ради</t>
  </si>
  <si>
    <t>250380</t>
  </si>
  <si>
    <t>Інші субвенції</t>
  </si>
  <si>
    <t>Реконструкція автошляхопроводу  по вул. Карпенка-Карого (проектні та будівельні роботи)</t>
  </si>
  <si>
    <t>Реконструкція шляхопроводу через р. Мокра Московка на автошляху Харків-Сімферополь (проектні та будівельні роботи)</t>
  </si>
  <si>
    <t>Реконструкція розділювальної смуги на Прибрежній магістралі від вул. Української до вул. Глісерної з будівництвом світлофорних об"єктів в м. Запоріжжі (проектні та будівельні роботи)</t>
  </si>
  <si>
    <t>Реконструкція  центральної алеї парку "Дубовий гай" в м.Запоріжжя</t>
  </si>
  <si>
    <t>Комунальна установа «Міська клінічна лікарня екстреної та швидкої медичної допомоги м.Запоріжжя» -  реконструкція травматологічного відділення (проектні та будівельні роботи) - погашення заборгованості за минулі роки</t>
  </si>
  <si>
    <t>Будівництво мереж зовнішнього освітлення І мосту ім. Преображенського (новий Дніпро) у м.Запоріжжі (проектні та будівельні роботи)</t>
  </si>
  <si>
    <t>Будівництво мереж зовнішнього освітлення ІІ мосту ім. Преображенського (старий Дніпро) у м.Запоріжжі (проектні та будівельні роботи)</t>
  </si>
  <si>
    <t xml:space="preserve">Ліквідація аварійного стану будівлі навчально-виховного комплексу № 19 по вул. Військбуд, 13 Шевченківського району - реконструкція </t>
  </si>
  <si>
    <t>Термомодернізація будівлі комунальної установи "Центральна поліклініка Жовтневого району" по пр. Леніна, 88, м.Запоріжжя - реконструкція</t>
  </si>
  <si>
    <t>Комунальний заклад "Міська клінічна лікарня №3" - реконструкція відділення очної травми та приймального відділення (проектні роботи)</t>
  </si>
  <si>
    <t>Реконструкція відділення мікрохірургії ока комунальної установи "Запорізька міська багатопрофільна клінічна лікарня №9 м.Запоріжжя"</t>
  </si>
  <si>
    <t>Реконструкція контейнерного майданчика по вул. Патріотична,80</t>
  </si>
  <si>
    <t xml:space="preserve">Реконструкція контейнерного майданчика по вул. Кам"яногірська, 2 </t>
  </si>
  <si>
    <t>вул.Орджонікідзе, 22</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</si>
  <si>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</si>
  <si>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(проектні роботи, експертиза)</t>
  </si>
  <si>
    <t>в тому числі за рахунок</t>
  </si>
  <si>
    <t>співфінансування за рахунок коштів бюджету міста</t>
  </si>
  <si>
    <t>Придбання житла для воїнів - інтернаціоналістів - погашення заборгованості за минулі роки</t>
  </si>
  <si>
    <t>Реконструкція будівлі дошкільного навчального закладу №285  по пр. 40-річчя Перемоги, 15а, Комунарського району (проектні та будівельні роботи)</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</si>
</sst>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
    <numFmt numFmtId="183" formatCode="#&quot; &quot;##0.000"/>
    <numFmt numFmtId="184" formatCode="0.00000"/>
    <numFmt numFmtId="185" formatCode="0.000000000"/>
    <numFmt numFmtId="186" formatCode="0.0000000000"/>
    <numFmt numFmtId="187" formatCode="0.00000000000"/>
    <numFmt numFmtId="188" formatCode="0.00000000"/>
    <numFmt numFmtId="189" formatCode="0.0000000"/>
    <numFmt numFmtId="190" formatCode="0.000000"/>
    <numFmt numFmtId="191" formatCode="0.0000"/>
    <numFmt numFmtId="192" formatCode="#,##0.000"/>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00"/>
    <numFmt numFmtId="198" formatCode="#,##0.00000"/>
    <numFmt numFmtId="199" formatCode="[$-422]d\ mmmm\ yyyy&quot; р.&quot;"/>
  </numFmts>
  <fonts count="35">
    <font>
      <sz val="11"/>
      <color indexed="8"/>
      <name val="Calibri"/>
      <family val="2"/>
    </font>
    <font>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3"/>
      <name val="Times New Roman"/>
      <family val="1"/>
    </font>
    <font>
      <sz val="18"/>
      <name val="Times New Roman"/>
      <family val="1"/>
    </font>
    <font>
      <sz val="14"/>
      <name val="Times New Roman"/>
      <family val="1"/>
    </font>
    <font>
      <sz val="16"/>
      <name val="Times New Roman"/>
      <family val="1"/>
    </font>
    <font>
      <sz val="12"/>
      <name val="Times New Roman"/>
      <family val="1"/>
    </font>
    <font>
      <sz val="11"/>
      <name val="Times New Roman"/>
      <family val="1"/>
    </font>
    <font>
      <sz val="14"/>
      <color indexed="8"/>
      <name val="Times New Roman"/>
      <family val="1"/>
    </font>
    <font>
      <sz val="10"/>
      <name val="Times New Roman"/>
      <family val="1"/>
    </font>
    <font>
      <sz val="18"/>
      <color indexed="8"/>
      <name val="Times New Roman"/>
      <family val="1"/>
    </font>
    <font>
      <sz val="8"/>
      <name val="Calibri"/>
      <family val="2"/>
    </font>
    <font>
      <sz val="11"/>
      <color indexed="8"/>
      <name val="Times New Roman"/>
      <family val="1"/>
    </font>
    <font>
      <sz val="13"/>
      <name val="Times New Roman"/>
      <family val="1"/>
    </font>
    <font>
      <sz val="14"/>
      <color indexed="10"/>
      <name val="Times New Roman"/>
      <family val="1"/>
    </font>
    <font>
      <sz val="14"/>
      <color indexed="30"/>
      <name val="Times New Roman"/>
      <family val="1"/>
    </font>
    <font>
      <u val="single"/>
      <sz val="11"/>
      <color indexed="12"/>
      <name val="Calibri"/>
      <family val="2"/>
    </font>
    <font>
      <u val="single"/>
      <sz val="11"/>
      <color indexed="20"/>
      <name val="Calibri"/>
      <family val="2"/>
    </font>
    <font>
      <b/>
      <u val="single"/>
      <sz val="16"/>
      <name val="Times New Roman"/>
      <family val="1"/>
    </font>
  </fonts>
  <fills count="49">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medium"/>
      <right style="thin"/>
      <top style="medium"/>
      <bottom style="thin"/>
    </border>
    <border>
      <left style="medium"/>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style="thin"/>
      <bottom style="medium"/>
    </border>
    <border>
      <left style="thin"/>
      <right style="medium"/>
      <top style="thin"/>
      <bottom>
        <color indexed="63"/>
      </bottom>
    </border>
    <border>
      <left style="medium"/>
      <right style="thin"/>
      <top>
        <color indexed="63"/>
      </top>
      <bottom style="thin"/>
    </border>
    <border>
      <left style="thin"/>
      <right style="thin"/>
      <top style="medium"/>
      <bottom style="thin"/>
    </border>
    <border>
      <left style="thin"/>
      <right>
        <color indexed="63"/>
      </right>
      <top style="thin"/>
      <bottom style="thin"/>
    </border>
    <border>
      <left style="medium"/>
      <right style="thin"/>
      <top style="thin"/>
      <bottom style="medium"/>
    </border>
    <border>
      <left style="thin"/>
      <right style="medium"/>
      <top style="medium"/>
      <bottom style="thin"/>
    </border>
    <border>
      <left style="thin"/>
      <right style="medium"/>
      <top>
        <color indexed="63"/>
      </top>
      <bottom>
        <color indexed="63"/>
      </bottom>
    </border>
    <border>
      <left style="medium"/>
      <right style="thin"/>
      <top>
        <color indexed="63"/>
      </top>
      <bottom>
        <color indexed="63"/>
      </bottom>
    </border>
    <border>
      <left style="thin"/>
      <right style="medium"/>
      <top style="thin"/>
      <bottom style="medium"/>
    </border>
    <border>
      <left style="thin"/>
      <right style="thin"/>
      <top>
        <color indexed="63"/>
      </top>
      <bottom>
        <color indexed="63"/>
      </bottom>
    </border>
  </borders>
  <cellStyleXfs count="9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2" borderId="1" applyNumberFormat="0" applyAlignment="0" applyProtection="0"/>
    <xf numFmtId="0" fontId="3" fillId="13" borderId="1"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8" borderId="2" applyNumberFormat="0" applyAlignment="0" applyProtection="0"/>
    <xf numFmtId="0" fontId="4" fillId="39" borderId="2"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8" borderId="1" applyNumberFormat="0" applyAlignment="0" applyProtection="0"/>
    <xf numFmtId="0" fontId="5" fillId="39"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0" borderId="7" applyNumberFormat="0" applyAlignment="0" applyProtection="0"/>
    <xf numFmtId="0" fontId="10" fillId="41" borderId="7" applyNumberFormat="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2" borderId="0" applyNumberFormat="0" applyBorder="0" applyAlignment="0" applyProtection="0"/>
    <xf numFmtId="0" fontId="12" fillId="4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33"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4" borderId="8" applyNumberFormat="0" applyFont="0" applyAlignment="0" applyProtection="0"/>
    <xf numFmtId="0" fontId="0" fillId="45"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ill="0" applyBorder="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5" fillId="0" borderId="9"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cellStyleXfs>
  <cellXfs count="220">
    <xf numFmtId="0" fontId="0" fillId="0" borderId="0" xfId="0" applyAlignment="1">
      <alignment/>
    </xf>
    <xf numFmtId="192" fontId="20" fillId="46" borderId="10" xfId="0" applyNumberFormat="1" applyFont="1" applyFill="1" applyBorder="1" applyAlignment="1">
      <alignment horizontal="center" vertical="center" wrapText="1"/>
    </xf>
    <xf numFmtId="0" fontId="20" fillId="46" borderId="10" xfId="0" applyFont="1" applyFill="1" applyBorder="1" applyAlignment="1">
      <alignment vertical="center" wrapText="1"/>
    </xf>
    <xf numFmtId="0" fontId="20" fillId="46" borderId="10" xfId="0" applyFont="1" applyFill="1" applyBorder="1" applyAlignment="1">
      <alignment horizontal="left" vertical="top" wrapText="1"/>
    </xf>
    <xf numFmtId="0" fontId="21" fillId="46" borderId="0" xfId="0" applyFont="1" applyFill="1" applyBorder="1" applyAlignment="1">
      <alignment horizontal="center" vertical="center" wrapText="1"/>
    </xf>
    <xf numFmtId="0" fontId="21" fillId="46" borderId="0" xfId="0" applyFont="1" applyFill="1" applyAlignment="1">
      <alignment horizontal="center" wrapText="1"/>
    </xf>
    <xf numFmtId="0" fontId="21" fillId="46" borderId="0" xfId="0" applyFont="1" applyFill="1" applyAlignment="1">
      <alignment wrapText="1"/>
    </xf>
    <xf numFmtId="0" fontId="21" fillId="46" borderId="0" xfId="0" applyFont="1" applyFill="1" applyAlignment="1">
      <alignment horizontal="center" vertical="center" wrapText="1"/>
    </xf>
    <xf numFmtId="0" fontId="21" fillId="46" borderId="0" xfId="0" applyFont="1" applyFill="1" applyAlignment="1">
      <alignment vertical="center" wrapText="1"/>
    </xf>
    <xf numFmtId="49" fontId="21" fillId="46" borderId="0" xfId="0" applyNumberFormat="1" applyFont="1" applyFill="1" applyBorder="1" applyAlignment="1">
      <alignment horizontal="center" vertical="center" wrapText="1"/>
    </xf>
    <xf numFmtId="49" fontId="21" fillId="46" borderId="0" xfId="0" applyNumberFormat="1" applyFont="1" applyFill="1" applyBorder="1" applyAlignment="1">
      <alignment horizontal="left" vertical="center" wrapText="1"/>
    </xf>
    <xf numFmtId="49" fontId="21" fillId="46" borderId="0" xfId="0" applyNumberFormat="1" applyFont="1" applyFill="1" applyBorder="1" applyAlignment="1">
      <alignment vertical="center" wrapText="1"/>
    </xf>
    <xf numFmtId="0" fontId="20" fillId="46" borderId="0" xfId="0" applyFont="1" applyFill="1" applyBorder="1" applyAlignment="1">
      <alignment horizontal="center" vertical="center" wrapText="1"/>
    </xf>
    <xf numFmtId="180" fontId="20" fillId="46" borderId="0" xfId="0" applyNumberFormat="1" applyFont="1" applyFill="1" applyBorder="1" applyAlignment="1">
      <alignment horizontal="center" vertical="center" wrapText="1"/>
    </xf>
    <xf numFmtId="0" fontId="20" fillId="46" borderId="0" xfId="0" applyFont="1" applyFill="1" applyBorder="1" applyAlignment="1">
      <alignment horizontal="center" wrapText="1"/>
    </xf>
    <xf numFmtId="0" fontId="25" fillId="46" borderId="11" xfId="0" applyFont="1" applyFill="1" applyBorder="1" applyAlignment="1">
      <alignment horizontal="center" vertical="center" wrapText="1"/>
    </xf>
    <xf numFmtId="0" fontId="25" fillId="46" borderId="12" xfId="0" applyFont="1" applyFill="1" applyBorder="1" applyAlignment="1">
      <alignment horizontal="center" vertical="center" wrapText="1"/>
    </xf>
    <xf numFmtId="0" fontId="20" fillId="46" borderId="13" xfId="0" applyFont="1" applyFill="1" applyBorder="1" applyAlignment="1">
      <alignment horizontal="center" vertical="center" wrapText="1"/>
    </xf>
    <xf numFmtId="0" fontId="20" fillId="46" borderId="14" xfId="0" applyFont="1" applyFill="1" applyBorder="1" applyAlignment="1">
      <alignment horizontal="center" vertical="center" wrapText="1"/>
    </xf>
    <xf numFmtId="1" fontId="20" fillId="46" borderId="14" xfId="0" applyNumberFormat="1" applyFont="1" applyFill="1" applyBorder="1" applyAlignment="1">
      <alignment horizontal="center" vertical="center" wrapText="1"/>
    </xf>
    <xf numFmtId="0" fontId="20" fillId="46" borderId="15" xfId="0" applyFont="1" applyFill="1" applyBorder="1" applyAlignment="1">
      <alignment horizontal="center" vertical="center" wrapText="1"/>
    </xf>
    <xf numFmtId="0" fontId="20" fillId="46" borderId="16" xfId="0" applyFont="1" applyFill="1" applyBorder="1" applyAlignment="1">
      <alignment horizontal="left" vertical="center" wrapText="1"/>
    </xf>
    <xf numFmtId="192" fontId="20" fillId="46" borderId="16" xfId="0" applyNumberFormat="1" applyFont="1" applyFill="1" applyBorder="1" applyAlignment="1">
      <alignment horizontal="center" vertical="center" wrapText="1"/>
    </xf>
    <xf numFmtId="192" fontId="20" fillId="46" borderId="17" xfId="0" applyNumberFormat="1" applyFont="1" applyFill="1" applyBorder="1" applyAlignment="1">
      <alignment horizontal="center" vertical="center" wrapText="1"/>
    </xf>
    <xf numFmtId="192" fontId="20" fillId="46" borderId="0" xfId="0" applyNumberFormat="1" applyFont="1" applyFill="1" applyBorder="1" applyAlignment="1">
      <alignment horizontal="center" vertical="center" wrapText="1"/>
    </xf>
    <xf numFmtId="192" fontId="20" fillId="46" borderId="18" xfId="0" applyNumberFormat="1" applyFont="1" applyFill="1" applyBorder="1" applyAlignment="1">
      <alignment horizontal="center" vertical="center" wrapText="1"/>
    </xf>
    <xf numFmtId="49" fontId="20" fillId="46" borderId="19" xfId="0" applyNumberFormat="1" applyFont="1" applyFill="1" applyBorder="1" applyAlignment="1">
      <alignment horizontal="center" vertical="center"/>
    </xf>
    <xf numFmtId="0" fontId="20" fillId="46" borderId="0" xfId="0" applyFont="1" applyFill="1" applyBorder="1" applyAlignment="1">
      <alignment horizontal="center" vertical="center" textRotation="90"/>
    </xf>
    <xf numFmtId="0" fontId="20" fillId="46" borderId="0" xfId="0" applyFont="1" applyFill="1" applyBorder="1" applyAlignment="1">
      <alignment horizontal="center" vertical="center"/>
    </xf>
    <xf numFmtId="182" fontId="20" fillId="46" borderId="10" xfId="865" applyNumberFormat="1" applyFont="1" applyFill="1" applyBorder="1" applyAlignment="1">
      <alignment horizontal="center" vertical="center" wrapText="1"/>
    </xf>
    <xf numFmtId="0" fontId="25" fillId="46" borderId="10" xfId="0" applyFont="1" applyFill="1" applyBorder="1" applyAlignment="1">
      <alignment horizontal="left" vertical="top" wrapText="1"/>
    </xf>
    <xf numFmtId="182" fontId="20" fillId="46" borderId="10" xfId="885" applyNumberFormat="1" applyFont="1" applyFill="1" applyBorder="1" applyAlignment="1">
      <alignment horizontal="center" vertical="center" wrapText="1"/>
    </xf>
    <xf numFmtId="0" fontId="20" fillId="46" borderId="0" xfId="0" applyFont="1" applyFill="1" applyBorder="1" applyAlignment="1">
      <alignment horizontal="right" vertical="center" wrapText="1"/>
    </xf>
    <xf numFmtId="0" fontId="20" fillId="46" borderId="10" xfId="791" applyFont="1" applyFill="1" applyBorder="1" applyAlignment="1">
      <alignment horizontal="left" vertical="center" wrapText="1"/>
      <protection/>
    </xf>
    <xf numFmtId="192" fontId="30" fillId="46" borderId="10" xfId="0" applyNumberFormat="1" applyFont="1" applyFill="1" applyBorder="1" applyAlignment="1">
      <alignment horizontal="center" vertical="center" wrapText="1"/>
    </xf>
    <xf numFmtId="49" fontId="20" fillId="46" borderId="10" xfId="791" applyNumberFormat="1" applyFont="1" applyFill="1" applyBorder="1" applyAlignment="1">
      <alignment horizontal="left" vertical="center" wrapText="1"/>
      <protection/>
    </xf>
    <xf numFmtId="0" fontId="20" fillId="46" borderId="10" xfId="0" applyNumberFormat="1" applyFont="1" applyFill="1" applyBorder="1" applyAlignment="1">
      <alignment horizontal="left" vertical="center" wrapText="1"/>
    </xf>
    <xf numFmtId="192" fontId="20" fillId="46" borderId="10" xfId="791" applyNumberFormat="1" applyFont="1" applyFill="1" applyBorder="1" applyAlignment="1">
      <alignment horizontal="center" vertical="center" wrapText="1"/>
      <protection/>
    </xf>
    <xf numFmtId="0" fontId="20" fillId="46" borderId="20" xfId="0" applyFont="1" applyFill="1" applyBorder="1" applyAlignment="1">
      <alignment horizontal="left" vertical="center" wrapText="1"/>
    </xf>
    <xf numFmtId="182" fontId="20" fillId="46" borderId="16" xfId="865" applyNumberFormat="1" applyFont="1" applyFill="1" applyBorder="1" applyAlignment="1">
      <alignment horizontal="center" vertical="center" wrapText="1"/>
    </xf>
    <xf numFmtId="0" fontId="20" fillId="46" borderId="21" xfId="0" applyFont="1" applyFill="1" applyBorder="1" applyAlignment="1">
      <alignment vertical="center" wrapText="1"/>
    </xf>
    <xf numFmtId="0" fontId="24" fillId="46" borderId="10" xfId="0" applyFont="1" applyFill="1" applyBorder="1" applyAlignment="1">
      <alignment horizontal="left" wrapText="1"/>
    </xf>
    <xf numFmtId="0" fontId="20" fillId="46" borderId="10" xfId="0" applyFont="1" applyFill="1" applyBorder="1" applyAlignment="1">
      <alignment horizontal="left" wrapText="1"/>
    </xf>
    <xf numFmtId="3" fontId="20" fillId="46" borderId="10" xfId="0" applyNumberFormat="1" applyFont="1" applyFill="1" applyBorder="1" applyAlignment="1">
      <alignment horizontal="center" vertical="center" wrapText="1"/>
    </xf>
    <xf numFmtId="182" fontId="20" fillId="46" borderId="10" xfId="0" applyNumberFormat="1" applyFont="1" applyFill="1" applyBorder="1" applyAlignment="1">
      <alignment horizontal="center" vertical="center" wrapText="1"/>
    </xf>
    <xf numFmtId="1" fontId="20" fillId="46" borderId="0" xfId="0" applyNumberFormat="1" applyFont="1" applyFill="1" applyAlignment="1">
      <alignment horizontal="center" vertical="center" wrapText="1"/>
    </xf>
    <xf numFmtId="0" fontId="20" fillId="46" borderId="0" xfId="0" applyFont="1" applyFill="1" applyAlignment="1">
      <alignment horizontal="center" vertical="center" wrapText="1"/>
    </xf>
    <xf numFmtId="2" fontId="24" fillId="46" borderId="0" xfId="0" applyNumberFormat="1" applyFont="1" applyFill="1" applyAlignment="1">
      <alignment vertical="top" wrapText="1"/>
    </xf>
    <xf numFmtId="0" fontId="20" fillId="46" borderId="10" xfId="797" applyFont="1" applyFill="1" applyBorder="1" applyAlignment="1">
      <alignment horizontal="left" vertical="center" wrapText="1"/>
      <protection/>
    </xf>
    <xf numFmtId="0" fontId="20" fillId="46" borderId="22" xfId="0" applyFont="1" applyFill="1" applyBorder="1" applyAlignment="1">
      <alignment vertical="center" wrapText="1"/>
    </xf>
    <xf numFmtId="192" fontId="20" fillId="46" borderId="10" xfId="797" applyNumberFormat="1" applyFont="1" applyFill="1" applyBorder="1" applyAlignment="1">
      <alignment horizontal="center" vertical="center" wrapText="1"/>
      <protection/>
    </xf>
    <xf numFmtId="0" fontId="24" fillId="47" borderId="21" xfId="0" applyFont="1" applyFill="1" applyBorder="1" applyAlignment="1">
      <alignment horizontal="left" wrapText="1"/>
    </xf>
    <xf numFmtId="181" fontId="20" fillId="46" borderId="10" xfId="0" applyNumberFormat="1" applyFont="1" applyFill="1" applyBorder="1" applyAlignment="1">
      <alignment horizontal="center" vertical="center" wrapText="1"/>
    </xf>
    <xf numFmtId="0" fontId="20" fillId="46" borderId="0" xfId="0" applyFont="1" applyFill="1" applyBorder="1" applyAlignment="1">
      <alignment vertical="center" wrapText="1"/>
    </xf>
    <xf numFmtId="3" fontId="20" fillId="46" borderId="10" xfId="0" applyNumberFormat="1" applyFont="1" applyFill="1" applyBorder="1" applyAlignment="1">
      <alignment horizontal="right" wrapText="1"/>
    </xf>
    <xf numFmtId="182" fontId="20" fillId="46" borderId="10" xfId="0" applyNumberFormat="1" applyFont="1" applyFill="1" applyBorder="1" applyAlignment="1">
      <alignment horizontal="right" wrapText="1"/>
    </xf>
    <xf numFmtId="0" fontId="20" fillId="46" borderId="18" xfId="0" applyFont="1" applyFill="1" applyBorder="1" applyAlignment="1">
      <alignment wrapText="1"/>
    </xf>
    <xf numFmtId="1" fontId="20" fillId="46" borderId="0" xfId="0" applyNumberFormat="1" applyFont="1" applyFill="1" applyAlignment="1">
      <alignment wrapText="1"/>
    </xf>
    <xf numFmtId="0" fontId="20" fillId="46" borderId="0" xfId="0" applyFont="1" applyFill="1" applyAlignment="1">
      <alignment wrapText="1"/>
    </xf>
    <xf numFmtId="0" fontId="24" fillId="46" borderId="10" xfId="0" applyFont="1" applyFill="1" applyBorder="1" applyAlignment="1">
      <alignment vertical="center" wrapText="1"/>
    </xf>
    <xf numFmtId="0" fontId="22" fillId="46" borderId="18" xfId="0" applyFont="1" applyFill="1" applyBorder="1" applyAlignment="1">
      <alignment horizontal="center" vertical="center" wrapText="1"/>
    </xf>
    <xf numFmtId="192" fontId="20" fillId="46" borderId="10" xfId="0" applyNumberFormat="1" applyFont="1" applyFill="1" applyBorder="1" applyAlignment="1">
      <alignment horizontal="center" vertical="center"/>
    </xf>
    <xf numFmtId="180" fontId="20" fillId="46" borderId="10" xfId="0" applyNumberFormat="1" applyFont="1" applyFill="1" applyBorder="1" applyAlignment="1">
      <alignment horizontal="center" vertical="center" wrapText="1"/>
    </xf>
    <xf numFmtId="192" fontId="20" fillId="46" borderId="23" xfId="0" applyNumberFormat="1" applyFont="1" applyFill="1" applyBorder="1" applyAlignment="1">
      <alignment horizontal="center" vertical="center" wrapText="1"/>
    </xf>
    <xf numFmtId="182" fontId="20" fillId="46" borderId="23" xfId="865" applyNumberFormat="1" applyFont="1" applyFill="1" applyBorder="1" applyAlignment="1">
      <alignment horizontal="center" vertical="center" wrapText="1"/>
    </xf>
    <xf numFmtId="0" fontId="21" fillId="46" borderId="0" xfId="0" applyFont="1" applyFill="1" applyBorder="1" applyAlignment="1">
      <alignment vertical="center" wrapText="1"/>
    </xf>
    <xf numFmtId="192" fontId="24" fillId="46" borderId="18" xfId="0" applyNumberFormat="1" applyFont="1" applyFill="1" applyBorder="1" applyAlignment="1">
      <alignment horizontal="center" vertical="center" wrapText="1"/>
    </xf>
    <xf numFmtId="0" fontId="20" fillId="47" borderId="10" xfId="0" applyFont="1" applyFill="1" applyBorder="1" applyAlignment="1">
      <alignment horizontal="left" vertical="center" wrapText="1"/>
    </xf>
    <xf numFmtId="0" fontId="20" fillId="47" borderId="21" xfId="0" applyFont="1" applyFill="1" applyBorder="1" applyAlignment="1">
      <alignment horizontal="left" vertical="center" wrapText="1"/>
    </xf>
    <xf numFmtId="0" fontId="20" fillId="46" borderId="24" xfId="0" applyFont="1" applyFill="1" applyBorder="1" applyAlignment="1">
      <alignment horizontal="center" vertical="center" wrapText="1"/>
    </xf>
    <xf numFmtId="0" fontId="20" fillId="46" borderId="17" xfId="0"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20" fillId="46" borderId="16" xfId="0" applyFont="1" applyFill="1" applyBorder="1" applyAlignment="1">
      <alignment horizontal="center" vertical="center" wrapText="1"/>
    </xf>
    <xf numFmtId="49" fontId="20" fillId="46" borderId="12" xfId="0" applyNumberFormat="1" applyFont="1" applyFill="1" applyBorder="1" applyAlignment="1">
      <alignment horizontal="center" vertical="center" wrapText="1"/>
    </xf>
    <xf numFmtId="49" fontId="20" fillId="46" borderId="25" xfId="0" applyNumberFormat="1" applyFont="1" applyFill="1" applyBorder="1" applyAlignment="1">
      <alignment horizontal="center" vertical="center" wrapText="1"/>
    </xf>
    <xf numFmtId="0" fontId="20" fillId="46" borderId="18" xfId="0" applyFont="1" applyFill="1" applyBorder="1" applyAlignment="1">
      <alignment horizontal="center" vertical="center" wrapText="1"/>
    </xf>
    <xf numFmtId="49" fontId="20" fillId="46" borderId="19" xfId="0" applyNumberFormat="1" applyFont="1" applyFill="1" applyBorder="1" applyAlignment="1">
      <alignment horizontal="center" vertical="center" wrapText="1"/>
    </xf>
    <xf numFmtId="0" fontId="20" fillId="46" borderId="10" xfId="0" applyFont="1" applyFill="1" applyBorder="1" applyAlignment="1">
      <alignment horizontal="left" vertical="center" wrapText="1"/>
    </xf>
    <xf numFmtId="0" fontId="20" fillId="46" borderId="19" xfId="0" applyFont="1" applyFill="1" applyBorder="1" applyAlignment="1">
      <alignment horizontal="center" vertical="center" wrapText="1"/>
    </xf>
    <xf numFmtId="0" fontId="20" fillId="46" borderId="23" xfId="0" applyFont="1" applyFill="1" applyBorder="1" applyAlignment="1">
      <alignment horizontal="left" vertical="center" wrapText="1"/>
    </xf>
    <xf numFmtId="0" fontId="20" fillId="46" borderId="10" xfId="0" applyFont="1" applyFill="1" applyBorder="1" applyAlignment="1">
      <alignment horizontal="center" vertical="center" wrapText="1"/>
    </xf>
    <xf numFmtId="0" fontId="21" fillId="46" borderId="0" xfId="0" applyFont="1" applyFill="1" applyAlignment="1">
      <alignment horizontal="left" wrapText="1"/>
    </xf>
    <xf numFmtId="0" fontId="20" fillId="46" borderId="0" xfId="0" applyFont="1" applyFill="1" applyBorder="1" applyAlignment="1">
      <alignment horizontal="left" vertical="center" wrapText="1"/>
    </xf>
    <xf numFmtId="0" fontId="20" fillId="46" borderId="26" xfId="0" applyFont="1" applyFill="1" applyBorder="1" applyAlignment="1">
      <alignment horizontal="center" vertical="center" wrapText="1"/>
    </xf>
    <xf numFmtId="0" fontId="20" fillId="46" borderId="19" xfId="0" applyFont="1" applyFill="1" applyBorder="1" applyAlignment="1">
      <alignment horizontal="center" vertical="center"/>
    </xf>
    <xf numFmtId="180" fontId="21" fillId="46" borderId="0" xfId="0" applyNumberFormat="1" applyFont="1" applyFill="1" applyBorder="1" applyAlignment="1">
      <alignment horizontal="center" vertical="center" wrapText="1"/>
    </xf>
    <xf numFmtId="0" fontId="21" fillId="46" borderId="0" xfId="0" applyFont="1" applyFill="1" applyBorder="1" applyAlignment="1">
      <alignment horizontal="left" wrapText="1"/>
    </xf>
    <xf numFmtId="0" fontId="21" fillId="46" borderId="0" xfId="0" applyFont="1" applyFill="1" applyBorder="1" applyAlignment="1">
      <alignment horizontal="left" vertical="center" wrapText="1"/>
    </xf>
    <xf numFmtId="0" fontId="20" fillId="46" borderId="25" xfId="0" applyFont="1" applyFill="1" applyBorder="1" applyAlignment="1">
      <alignment horizontal="center" vertical="center" wrapText="1"/>
    </xf>
    <xf numFmtId="0" fontId="24" fillId="46" borderId="10" xfId="0" applyFont="1" applyFill="1" applyBorder="1" applyAlignment="1">
      <alignment horizontal="left" vertical="center" wrapText="1"/>
    </xf>
    <xf numFmtId="49" fontId="20" fillId="46" borderId="10" xfId="0" applyNumberFormat="1" applyFont="1" applyFill="1" applyBorder="1" applyAlignment="1">
      <alignment horizontal="left" vertical="center" wrapText="1"/>
    </xf>
    <xf numFmtId="192" fontId="29" fillId="46" borderId="10" xfId="0" applyNumberFormat="1" applyFont="1" applyFill="1" applyBorder="1" applyAlignment="1">
      <alignment horizontal="center" vertical="center" wrapText="1"/>
    </xf>
    <xf numFmtId="0" fontId="20" fillId="46" borderId="10" xfId="783" applyFont="1" applyFill="1" applyBorder="1" applyAlignment="1">
      <alignment horizontal="left" vertical="center" wrapText="1"/>
      <protection/>
    </xf>
    <xf numFmtId="192" fontId="29" fillId="46" borderId="27" xfId="0" applyNumberFormat="1" applyFont="1" applyFill="1" applyBorder="1" applyAlignment="1">
      <alignment horizontal="center" vertical="center" wrapText="1"/>
    </xf>
    <xf numFmtId="192" fontId="20" fillId="48" borderId="10" xfId="0" applyNumberFormat="1" applyFont="1" applyFill="1" applyBorder="1" applyAlignment="1">
      <alignment horizontal="center" vertical="center" wrapText="1"/>
    </xf>
    <xf numFmtId="0" fontId="20" fillId="46" borderId="10" xfId="782" applyFont="1" applyFill="1" applyBorder="1" applyAlignment="1">
      <alignment horizontal="left" vertical="center" wrapText="1"/>
      <protection/>
    </xf>
    <xf numFmtId="0" fontId="20" fillId="0" borderId="10" xfId="0" applyFont="1" applyFill="1" applyBorder="1" applyAlignment="1">
      <alignment horizontal="left" vertical="center" wrapText="1"/>
    </xf>
    <xf numFmtId="0" fontId="20" fillId="47" borderId="21" xfId="782" applyFont="1" applyFill="1" applyBorder="1" applyAlignment="1">
      <alignment horizontal="left" vertical="top" wrapText="1"/>
      <protection/>
    </xf>
    <xf numFmtId="192" fontId="20" fillId="4" borderId="10" xfId="0" applyNumberFormat="1" applyFont="1" applyFill="1" applyBorder="1" applyAlignment="1">
      <alignment horizontal="center" vertical="center" wrapText="1"/>
    </xf>
    <xf numFmtId="49" fontId="20" fillId="4" borderId="19" xfId="0" applyNumberFormat="1" applyFont="1" applyFill="1" applyBorder="1" applyAlignment="1">
      <alignment horizontal="center" vertical="center" wrapText="1"/>
    </xf>
    <xf numFmtId="0" fontId="20" fillId="4" borderId="10" xfId="0" applyFont="1" applyFill="1" applyBorder="1" applyAlignment="1">
      <alignment horizontal="left" vertical="center" wrapText="1"/>
    </xf>
    <xf numFmtId="0" fontId="24" fillId="4" borderId="0" xfId="0" applyFont="1" applyFill="1" applyAlignment="1">
      <alignment wrapText="1"/>
    </xf>
    <xf numFmtId="182" fontId="20" fillId="4" borderId="10" xfId="865" applyNumberFormat="1" applyFont="1" applyFill="1" applyBorder="1" applyAlignment="1">
      <alignment horizontal="center" vertical="center" wrapText="1"/>
    </xf>
    <xf numFmtId="0" fontId="30" fillId="46" borderId="18" xfId="0" applyFont="1" applyFill="1" applyBorder="1" applyAlignment="1">
      <alignment horizontal="center" vertical="center" wrapText="1"/>
    </xf>
    <xf numFmtId="0" fontId="24" fillId="4" borderId="0" xfId="0" applyFont="1" applyFill="1" applyAlignment="1">
      <alignment horizontal="left" vertical="top" wrapText="1"/>
    </xf>
    <xf numFmtId="0" fontId="20" fillId="48" borderId="10" xfId="0" applyFont="1" applyFill="1" applyBorder="1" applyAlignment="1">
      <alignment horizontal="left" vertical="center" wrapText="1"/>
    </xf>
    <xf numFmtId="49" fontId="20" fillId="0" borderId="10" xfId="0" applyNumberFormat="1" applyFont="1" applyFill="1" applyBorder="1" applyAlignment="1">
      <alignment horizontal="left" vertical="center" wrapText="1"/>
    </xf>
    <xf numFmtId="0" fontId="19" fillId="0" borderId="0" xfId="0" applyFont="1" applyFill="1" applyBorder="1" applyAlignment="1">
      <alignment horizontal="left" vertical="top" wrapText="1"/>
    </xf>
    <xf numFmtId="0" fontId="26" fillId="0" borderId="0" xfId="0" applyFont="1" applyFill="1" applyAlignment="1">
      <alignment horizontal="center" vertical="top" wrapText="1"/>
    </xf>
    <xf numFmtId="0" fontId="24" fillId="0" borderId="23" xfId="0" applyFont="1" applyFill="1" applyBorder="1" applyAlignment="1">
      <alignment horizontal="left" vertical="center" wrapText="1"/>
    </xf>
    <xf numFmtId="49" fontId="24" fillId="0" borderId="28" xfId="0" applyNumberFormat="1" applyFont="1" applyFill="1" applyBorder="1" applyAlignment="1">
      <alignment horizontal="center" vertical="center" wrapText="1"/>
    </xf>
    <xf numFmtId="49" fontId="20" fillId="0" borderId="0" xfId="0" applyNumberFormat="1" applyFont="1" applyFill="1" applyBorder="1" applyAlignment="1">
      <alignment horizontal="center" wrapText="1"/>
    </xf>
    <xf numFmtId="0" fontId="20" fillId="0" borderId="26"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4" fillId="46" borderId="0" xfId="0" applyFont="1" applyFill="1" applyAlignment="1">
      <alignment horizontal="left" vertical="center" wrapText="1"/>
    </xf>
    <xf numFmtId="49" fontId="20" fillId="0" borderId="0" xfId="0" applyNumberFormat="1" applyFont="1" applyFill="1" applyBorder="1" applyAlignment="1">
      <alignment horizontal="center" vertical="center" wrapText="1"/>
    </xf>
    <xf numFmtId="192" fontId="20" fillId="0" borderId="0" xfId="0" applyNumberFormat="1" applyFont="1" applyFill="1" applyBorder="1" applyAlignment="1">
      <alignment horizontal="right" vertical="center" wrapText="1"/>
    </xf>
    <xf numFmtId="49" fontId="20" fillId="0" borderId="0" xfId="0" applyNumberFormat="1" applyFont="1" applyFill="1" applyBorder="1" applyAlignment="1">
      <alignment vertical="center" wrapText="1"/>
    </xf>
    <xf numFmtId="0" fontId="20" fillId="0" borderId="0" xfId="0" applyFont="1" applyFill="1" applyBorder="1" applyAlignment="1">
      <alignment horizontal="center" vertical="center" wrapText="1"/>
    </xf>
    <xf numFmtId="2" fontId="20" fillId="0" borderId="0" xfId="0" applyNumberFormat="1"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12" xfId="0"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4" fillId="0" borderId="22" xfId="0" applyFont="1" applyFill="1" applyBorder="1" applyAlignment="1">
      <alignment horizontal="center" vertical="center" wrapText="1"/>
    </xf>
    <xf numFmtId="0" fontId="24" fillId="0" borderId="16" xfId="0" applyFont="1" applyFill="1" applyBorder="1" applyAlignment="1">
      <alignment horizontal="center" vertical="center" wrapText="1"/>
    </xf>
    <xf numFmtId="49" fontId="24" fillId="0" borderId="12" xfId="0" applyNumberFormat="1" applyFont="1" applyFill="1" applyBorder="1" applyAlignment="1">
      <alignment horizontal="center" vertical="center" wrapText="1"/>
    </xf>
    <xf numFmtId="49" fontId="24" fillId="0" borderId="25" xfId="0" applyNumberFormat="1" applyFont="1" applyFill="1" applyBorder="1" applyAlignment="1">
      <alignment horizontal="center" vertical="center" wrapText="1"/>
    </xf>
    <xf numFmtId="49" fontId="24" fillId="0" borderId="19"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0" fontId="20" fillId="0" borderId="2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5" xfId="0" applyFont="1" applyFill="1" applyBorder="1" applyAlignment="1">
      <alignment horizontal="center" vertical="center" wrapText="1"/>
    </xf>
    <xf numFmtId="192" fontId="20" fillId="0" borderId="0"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6" xfId="0" applyFont="1" applyFill="1" applyBorder="1" applyAlignment="1">
      <alignment horizontal="left" vertical="center" wrapText="1"/>
    </xf>
    <xf numFmtId="192" fontId="20" fillId="0" borderId="17"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192" fontId="20" fillId="0" borderId="18" xfId="0" applyNumberFormat="1" applyFont="1" applyFill="1" applyBorder="1" applyAlignment="1">
      <alignment horizontal="center" vertical="center" wrapText="1"/>
    </xf>
    <xf numFmtId="0" fontId="20" fillId="0" borderId="10" xfId="791" applyFont="1" applyFill="1" applyBorder="1" applyAlignment="1">
      <alignment horizontal="left" vertical="center" wrapText="1"/>
      <protection/>
    </xf>
    <xf numFmtId="192" fontId="24" fillId="0" borderId="18" xfId="0" applyNumberFormat="1" applyFont="1" applyFill="1" applyBorder="1" applyAlignment="1">
      <alignment horizontal="center" vertical="center" wrapText="1"/>
    </xf>
    <xf numFmtId="192" fontId="24" fillId="0" borderId="0" xfId="0" applyNumberFormat="1" applyFont="1" applyFill="1" applyBorder="1" applyAlignment="1">
      <alignment horizontal="right" vertical="center" wrapText="1"/>
    </xf>
    <xf numFmtId="3" fontId="24" fillId="0" borderId="0" xfId="0" applyNumberFormat="1" applyFont="1" applyFill="1" applyBorder="1" applyAlignment="1">
      <alignment vertical="center" wrapText="1"/>
    </xf>
    <xf numFmtId="0" fontId="24" fillId="0" borderId="0" xfId="0" applyFont="1" applyFill="1" applyBorder="1" applyAlignment="1">
      <alignment vertical="center" wrapText="1"/>
    </xf>
    <xf numFmtId="0" fontId="20" fillId="0" borderId="0" xfId="0" applyFont="1" applyFill="1" applyBorder="1" applyAlignment="1">
      <alignment horizontal="center" vertical="center" textRotation="90" wrapText="1"/>
    </xf>
    <xf numFmtId="0" fontId="24" fillId="0" borderId="0" xfId="0" applyFont="1" applyFill="1" applyAlignment="1">
      <alignment vertical="center" wrapText="1"/>
    </xf>
    <xf numFmtId="0" fontId="24" fillId="0" borderId="19" xfId="0" applyFont="1" applyFill="1" applyBorder="1" applyAlignment="1">
      <alignment horizontal="center" vertical="center" wrapText="1"/>
    </xf>
    <xf numFmtId="0" fontId="24" fillId="0" borderId="10" xfId="0" applyFont="1" applyFill="1" applyBorder="1" applyAlignment="1">
      <alignment horizontal="left" vertical="center" wrapText="1"/>
    </xf>
    <xf numFmtId="49" fontId="24" fillId="0" borderId="19"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9" xfId="0" applyNumberFormat="1" applyFont="1" applyFill="1" applyBorder="1" applyAlignment="1">
      <alignment horizontal="center" vertical="center"/>
    </xf>
    <xf numFmtId="0" fontId="24" fillId="0" borderId="10" xfId="0" applyFont="1" applyFill="1" applyBorder="1" applyAlignment="1">
      <alignment vertical="center" wrapText="1"/>
    </xf>
    <xf numFmtId="0" fontId="23" fillId="46" borderId="10" xfId="0" applyFont="1" applyFill="1" applyBorder="1" applyAlignment="1">
      <alignment horizontal="left" vertical="center" wrapText="1"/>
    </xf>
    <xf numFmtId="0" fontId="20" fillId="46" borderId="30" xfId="0" applyFont="1" applyFill="1" applyBorder="1" applyAlignment="1">
      <alignment horizontal="center" vertical="center" wrapText="1"/>
    </xf>
    <xf numFmtId="0" fontId="20" fillId="46" borderId="12" xfId="0" applyFont="1" applyFill="1" applyBorder="1" applyAlignment="1">
      <alignment horizontal="center" vertical="center"/>
    </xf>
    <xf numFmtId="0" fontId="20" fillId="46" borderId="31" xfId="0" applyFont="1" applyFill="1" applyBorder="1" applyAlignment="1">
      <alignment horizontal="center" vertical="center"/>
    </xf>
    <xf numFmtId="0" fontId="24" fillId="0" borderId="10" xfId="0" applyFont="1" applyFill="1" applyBorder="1" applyAlignment="1">
      <alignment horizontal="left" vertical="center" wrapText="1"/>
    </xf>
    <xf numFmtId="0" fontId="24" fillId="0" borderId="16" xfId="0" applyFont="1" applyFill="1" applyBorder="1" applyAlignment="1">
      <alignment vertical="center" wrapText="1"/>
    </xf>
    <xf numFmtId="0" fontId="28"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0" xfId="0" applyNumberFormat="1" applyFont="1" applyFill="1" applyBorder="1" applyAlignment="1">
      <alignment horizontal="left" vertical="center" wrapText="1"/>
    </xf>
    <xf numFmtId="3"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Alignment="1">
      <alignment vertical="center" wrapText="1"/>
    </xf>
    <xf numFmtId="0" fontId="20" fillId="0" borderId="19" xfId="0" applyFont="1" applyFill="1" applyBorder="1" applyAlignment="1">
      <alignment horizontal="center" vertical="center" wrapText="1"/>
    </xf>
    <xf numFmtId="49" fontId="20" fillId="0" borderId="10" xfId="0" applyNumberFormat="1" applyFont="1" applyFill="1" applyBorder="1" applyAlignment="1">
      <alignment horizontal="left" vertical="center" wrapText="1"/>
    </xf>
    <xf numFmtId="181" fontId="20" fillId="0" borderId="18" xfId="0" applyNumberFormat="1" applyFont="1" applyFill="1" applyBorder="1" applyAlignment="1">
      <alignment horizontal="center" vertical="center" wrapText="1"/>
    </xf>
    <xf numFmtId="2" fontId="20" fillId="0"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181" fontId="24" fillId="0" borderId="18" xfId="0" applyNumberFormat="1" applyFont="1" applyFill="1" applyBorder="1" applyAlignment="1">
      <alignment horizontal="center" vertical="center" wrapText="1"/>
    </xf>
    <xf numFmtId="181"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0" fontId="20" fillId="0" borderId="23" xfId="791" applyFont="1" applyFill="1" applyBorder="1" applyAlignment="1">
      <alignment horizontal="left" vertical="center" wrapText="1"/>
      <protection/>
    </xf>
    <xf numFmtId="192" fontId="24" fillId="0" borderId="32"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192" fontId="26" fillId="0" borderId="0" xfId="0" applyNumberFormat="1" applyFont="1" applyFill="1" applyBorder="1" applyAlignment="1">
      <alignment horizontal="right" vertical="center" wrapText="1"/>
    </xf>
    <xf numFmtId="0" fontId="26" fillId="0" borderId="0" xfId="0" applyFont="1" applyFill="1" applyBorder="1" applyAlignment="1">
      <alignment vertical="center" wrapText="1"/>
    </xf>
    <xf numFmtId="49" fontId="20" fillId="46" borderId="28" xfId="0" applyNumberFormat="1" applyFont="1" applyFill="1" applyBorder="1" applyAlignment="1">
      <alignment horizontal="center" vertical="center" wrapText="1"/>
    </xf>
    <xf numFmtId="0" fontId="20" fillId="46" borderId="32" xfId="0" applyFont="1" applyFill="1" applyBorder="1" applyAlignment="1">
      <alignment horizontal="center" vertical="center" wrapText="1"/>
    </xf>
    <xf numFmtId="0" fontId="26" fillId="0" borderId="0" xfId="0" applyFont="1" applyFill="1" applyAlignment="1">
      <alignment vertical="center" wrapText="1"/>
    </xf>
    <xf numFmtId="49" fontId="20" fillId="46" borderId="10" xfId="0" applyNumberFormat="1" applyFont="1" applyFill="1" applyBorder="1" applyAlignment="1">
      <alignment horizontal="center" vertical="center" wrapText="1"/>
    </xf>
    <xf numFmtId="0" fontId="20" fillId="46" borderId="22" xfId="0" applyFont="1" applyFill="1" applyBorder="1" applyAlignment="1">
      <alignment horizontal="center" vertical="center" wrapText="1"/>
    </xf>
    <xf numFmtId="0" fontId="20" fillId="46" borderId="33" xfId="0" applyFont="1" applyFill="1" applyBorder="1" applyAlignment="1">
      <alignment horizontal="center" vertical="center" wrapText="1"/>
    </xf>
    <xf numFmtId="0" fontId="20" fillId="46" borderId="16" xfId="0" applyFont="1" applyFill="1" applyBorder="1" applyAlignment="1">
      <alignment horizontal="center" vertical="center" wrapText="1"/>
    </xf>
    <xf numFmtId="0" fontId="20" fillId="46" borderId="12" xfId="0" applyFont="1" applyFill="1" applyBorder="1" applyAlignment="1">
      <alignment horizontal="center" vertical="center" wrapText="1"/>
    </xf>
    <xf numFmtId="0" fontId="20" fillId="46" borderId="31" xfId="0" applyFont="1" applyFill="1" applyBorder="1" applyAlignment="1">
      <alignment horizontal="center" vertical="center" wrapText="1"/>
    </xf>
    <xf numFmtId="0" fontId="20" fillId="46" borderId="25" xfId="0" applyFont="1" applyFill="1" applyBorder="1" applyAlignment="1">
      <alignment horizontal="center" vertical="center" wrapText="1"/>
    </xf>
    <xf numFmtId="0" fontId="20" fillId="46" borderId="10" xfId="0" applyFont="1" applyFill="1" applyBorder="1" applyAlignment="1">
      <alignment horizontal="left" vertical="center" wrapText="1"/>
    </xf>
    <xf numFmtId="49" fontId="20" fillId="46" borderId="19" xfId="0" applyNumberFormat="1" applyFont="1" applyFill="1" applyBorder="1" applyAlignment="1">
      <alignment horizontal="center" vertical="center" wrapText="1"/>
    </xf>
    <xf numFmtId="49" fontId="20" fillId="46" borderId="12" xfId="0" applyNumberFormat="1" applyFont="1" applyFill="1" applyBorder="1" applyAlignment="1">
      <alignment horizontal="center" vertical="center" wrapText="1"/>
    </xf>
    <xf numFmtId="49" fontId="20" fillId="46" borderId="25" xfId="0" applyNumberFormat="1" applyFont="1" applyFill="1" applyBorder="1" applyAlignment="1">
      <alignment horizontal="center" vertical="center" wrapText="1"/>
    </xf>
    <xf numFmtId="180" fontId="21" fillId="46" borderId="0" xfId="0" applyNumberFormat="1" applyFont="1" applyFill="1" applyBorder="1" applyAlignment="1">
      <alignment horizontal="center" vertical="center" wrapText="1"/>
    </xf>
    <xf numFmtId="0" fontId="21" fillId="46" borderId="0" xfId="0" applyFont="1" applyFill="1" applyBorder="1" applyAlignment="1">
      <alignment horizontal="left" wrapText="1"/>
    </xf>
    <xf numFmtId="0" fontId="21" fillId="46" borderId="0" xfId="0" applyFont="1" applyFill="1" applyBorder="1" applyAlignment="1">
      <alignment horizontal="left" vertical="center" wrapText="1"/>
    </xf>
    <xf numFmtId="0" fontId="20" fillId="46" borderId="18" xfId="0" applyFont="1" applyFill="1" applyBorder="1" applyAlignment="1">
      <alignment horizontal="center" vertical="center" wrapText="1"/>
    </xf>
    <xf numFmtId="0" fontId="20" fillId="46" borderId="24" xfId="0" applyFont="1" applyFill="1" applyBorder="1" applyAlignment="1">
      <alignment horizontal="center" vertical="center" wrapText="1"/>
    </xf>
    <xf numFmtId="0" fontId="20" fillId="46" borderId="17" xfId="0" applyFont="1" applyFill="1" applyBorder="1" applyAlignment="1">
      <alignment horizontal="center" vertical="center" wrapText="1"/>
    </xf>
    <xf numFmtId="0" fontId="20" fillId="46" borderId="10" xfId="0" applyFont="1" applyFill="1" applyBorder="1" applyAlignment="1">
      <alignment horizontal="center" vertical="center" wrapText="1"/>
    </xf>
    <xf numFmtId="0" fontId="20" fillId="46" borderId="19" xfId="0" applyFont="1" applyFill="1" applyBorder="1" applyAlignment="1">
      <alignment horizontal="center" vertical="center" wrapText="1"/>
    </xf>
    <xf numFmtId="49" fontId="20" fillId="46" borderId="31" xfId="0" applyNumberFormat="1" applyFont="1" applyFill="1" applyBorder="1" applyAlignment="1">
      <alignment horizontal="center" vertical="center" wrapText="1"/>
    </xf>
    <xf numFmtId="0" fontId="20" fillId="46" borderId="29" xfId="0" applyFont="1" applyFill="1" applyBorder="1" applyAlignment="1">
      <alignment horizontal="center" vertical="center" wrapText="1"/>
    </xf>
    <xf numFmtId="0" fontId="20" fillId="46" borderId="19" xfId="0" applyFont="1" applyFill="1" applyBorder="1" applyAlignment="1">
      <alignment horizontal="center" vertical="center"/>
    </xf>
    <xf numFmtId="0" fontId="20" fillId="46" borderId="0" xfId="0" applyFont="1" applyFill="1" applyBorder="1" applyAlignment="1">
      <alignment horizontal="left" vertical="center" wrapText="1"/>
    </xf>
    <xf numFmtId="0" fontId="20" fillId="46" borderId="26" xfId="0" applyFont="1" applyFill="1" applyBorder="1" applyAlignment="1">
      <alignment horizontal="center" vertical="center" wrapText="1"/>
    </xf>
    <xf numFmtId="180" fontId="20" fillId="46" borderId="26" xfId="0" applyNumberFormat="1" applyFont="1" applyFill="1" applyBorder="1" applyAlignment="1">
      <alignment horizontal="center" vertical="center" textRotation="90" wrapText="1"/>
    </xf>
    <xf numFmtId="180" fontId="20" fillId="46" borderId="22" xfId="0" applyNumberFormat="1" applyFont="1" applyFill="1" applyBorder="1" applyAlignment="1">
      <alignment horizontal="center" vertical="center" textRotation="90" wrapText="1"/>
    </xf>
    <xf numFmtId="0" fontId="21" fillId="46" borderId="0" xfId="0" applyFont="1" applyFill="1" applyAlignment="1">
      <alignment horizontal="left" vertical="center" wrapText="1"/>
    </xf>
    <xf numFmtId="49" fontId="21" fillId="46" borderId="0" xfId="0" applyNumberFormat="1" applyFont="1" applyFill="1" applyBorder="1" applyAlignment="1">
      <alignment horizontal="center" wrapText="1"/>
    </xf>
    <xf numFmtId="49" fontId="21" fillId="46" borderId="0" xfId="0" applyNumberFormat="1" applyFont="1" applyFill="1" applyBorder="1" applyAlignment="1">
      <alignment horizontal="right" wrapText="1"/>
    </xf>
    <xf numFmtId="0" fontId="21" fillId="46" borderId="0" xfId="0" applyFont="1" applyFill="1" applyAlignment="1">
      <alignment horizontal="left" wrapText="1"/>
    </xf>
    <xf numFmtId="0" fontId="20" fillId="46" borderId="23" xfId="0" applyFont="1" applyFill="1" applyBorder="1" applyAlignment="1">
      <alignment horizontal="left" vertical="center" wrapText="1"/>
    </xf>
  </cellXfs>
  <cellStyles count="947">
    <cellStyle name="Normal" xfId="0"/>
    <cellStyle name="20% - Акцент1" xfId="15"/>
    <cellStyle name="20% - Акцент1 2" xfId="16"/>
    <cellStyle name="20% - Акцент1 2 2" xfId="17"/>
    <cellStyle name="20% - Акцент1 2 3" xfId="18"/>
    <cellStyle name="20% - Акцент1 2 4" xfId="19"/>
    <cellStyle name="20% - Акцент1 2 5" xfId="20"/>
    <cellStyle name="20% - Акцент1 3" xfId="21"/>
    <cellStyle name="20% - Акцент1 3 2" xfId="22"/>
    <cellStyle name="20% - Акцент1 3 3" xfId="23"/>
    <cellStyle name="20% - Акцент1 3 4" xfId="24"/>
    <cellStyle name="20% - Акцент1 3 5" xfId="25"/>
    <cellStyle name="20% - Акцент1 4" xfId="26"/>
    <cellStyle name="20% - Акцент1 4 2" xfId="27"/>
    <cellStyle name="20% - Акцент1 4 3" xfId="28"/>
    <cellStyle name="20% - Акцент1 4 4" xfId="29"/>
    <cellStyle name="20% - Акцент1 4 5" xfId="30"/>
    <cellStyle name="20% - Акцент1 5" xfId="31"/>
    <cellStyle name="20% - Акцент1 5 2" xfId="32"/>
    <cellStyle name="20% - Акцент1 5 3" xfId="33"/>
    <cellStyle name="20% - Акцент1 5 4" xfId="34"/>
    <cellStyle name="20% - Акцент1 5 5" xfId="35"/>
    <cellStyle name="20% - Акцент1 6" xfId="36"/>
    <cellStyle name="20% - Акцент2" xfId="37"/>
    <cellStyle name="20% - Акцент2 2" xfId="38"/>
    <cellStyle name="20% - Акцент2 2 2" xfId="39"/>
    <cellStyle name="20% - Акцент2 2 3" xfId="40"/>
    <cellStyle name="20% - Акцент2 2 4" xfId="41"/>
    <cellStyle name="20% - Акцент2 2 5" xfId="42"/>
    <cellStyle name="20% - Акцент2 3" xfId="43"/>
    <cellStyle name="20% - Акцент2 3 2" xfId="44"/>
    <cellStyle name="20% - Акцент2 3 3" xfId="45"/>
    <cellStyle name="20% - Акцент2 3 4" xfId="46"/>
    <cellStyle name="20% - Акцент2 3 5" xfId="47"/>
    <cellStyle name="20% - Акцент2 4" xfId="48"/>
    <cellStyle name="20% - Акцент2 4 2" xfId="49"/>
    <cellStyle name="20% - Акцент2 4 3" xfId="50"/>
    <cellStyle name="20% - Акцент2 4 4" xfId="51"/>
    <cellStyle name="20% - Акцент2 4 5" xfId="52"/>
    <cellStyle name="20% - Акцент2 5" xfId="53"/>
    <cellStyle name="20% - Акцент2 5 2" xfId="54"/>
    <cellStyle name="20% - Акцент2 5 3" xfId="55"/>
    <cellStyle name="20% - Акцент2 5 4" xfId="56"/>
    <cellStyle name="20% - Акцент2 5 5" xfId="57"/>
    <cellStyle name="20% - Акцент2 6" xfId="58"/>
    <cellStyle name="20% - Акцент3" xfId="59"/>
    <cellStyle name="20% - Акцент3 2" xfId="60"/>
    <cellStyle name="20% - Акцент3 2 2" xfId="61"/>
    <cellStyle name="20% - Акцент3 2 3" xfId="62"/>
    <cellStyle name="20% - Акцент3 2 4" xfId="63"/>
    <cellStyle name="20% - Акцент3 2 5" xfId="64"/>
    <cellStyle name="20% - Акцент3 3" xfId="65"/>
    <cellStyle name="20% - Акцент3 3 2" xfId="66"/>
    <cellStyle name="20% - Акцент3 3 3" xfId="67"/>
    <cellStyle name="20% - Акцент3 3 4" xfId="68"/>
    <cellStyle name="20% - Акцент3 3 5" xfId="69"/>
    <cellStyle name="20% - Акцент3 4" xfId="70"/>
    <cellStyle name="20% - Акцент3 4 2" xfId="71"/>
    <cellStyle name="20% - Акцент3 4 3" xfId="72"/>
    <cellStyle name="20% - Акцент3 4 4" xfId="73"/>
    <cellStyle name="20% - Акцент3 4 5" xfId="74"/>
    <cellStyle name="20% - Акцент3 5" xfId="75"/>
    <cellStyle name="20% - Акцент3 5 2" xfId="76"/>
    <cellStyle name="20% - Акцент3 5 3" xfId="77"/>
    <cellStyle name="20% - Акцент3 5 4" xfId="78"/>
    <cellStyle name="20% - Акцент3 5 5" xfId="79"/>
    <cellStyle name="20% - Акцент3 6" xfId="80"/>
    <cellStyle name="20% - Акцент4" xfId="81"/>
    <cellStyle name="20% - Акцент4 2" xfId="82"/>
    <cellStyle name="20% - Акцент4 2 2" xfId="83"/>
    <cellStyle name="20% - Акцент4 2 3" xfId="84"/>
    <cellStyle name="20% - Акцент4 2 4" xfId="85"/>
    <cellStyle name="20% - Акцент4 2 5" xfId="86"/>
    <cellStyle name="20% - Акцент4 3" xfId="87"/>
    <cellStyle name="20% - Акцент4 3 2" xfId="88"/>
    <cellStyle name="20% - Акцент4 3 3" xfId="89"/>
    <cellStyle name="20% - Акцент4 3 4" xfId="90"/>
    <cellStyle name="20% - Акцент4 3 5" xfId="91"/>
    <cellStyle name="20% - Акцент4 4" xfId="92"/>
    <cellStyle name="20% - Акцент4 4 2" xfId="93"/>
    <cellStyle name="20% - Акцент4 4 3" xfId="94"/>
    <cellStyle name="20% - Акцент4 4 4" xfId="95"/>
    <cellStyle name="20% - Акцент4 4 5" xfId="96"/>
    <cellStyle name="20% - Акцент4 5" xfId="97"/>
    <cellStyle name="20% - Акцент4 5 2" xfId="98"/>
    <cellStyle name="20% - Акцент4 5 3" xfId="99"/>
    <cellStyle name="20% - Акцент4 5 4" xfId="100"/>
    <cellStyle name="20% - Акцент4 5 5" xfId="101"/>
    <cellStyle name="20% - Акцент4 6" xfId="102"/>
    <cellStyle name="20% - Акцент5" xfId="103"/>
    <cellStyle name="20% - Акцент5 2" xfId="104"/>
    <cellStyle name="20% - Акцент5 2 2" xfId="105"/>
    <cellStyle name="20% - Акцент5 2 3" xfId="106"/>
    <cellStyle name="20% - Акцент5 2 4" xfId="107"/>
    <cellStyle name="20% - Акцент5 2 5" xfId="108"/>
    <cellStyle name="20% - Акцент5 3" xfId="109"/>
    <cellStyle name="20% - Акцент5 3 2" xfId="110"/>
    <cellStyle name="20% - Акцент5 3 3" xfId="111"/>
    <cellStyle name="20% - Акцент5 3 4" xfId="112"/>
    <cellStyle name="20% - Акцент5 3 5" xfId="113"/>
    <cellStyle name="20% - Акцент5 4" xfId="114"/>
    <cellStyle name="20% - Акцент5 4 2" xfId="115"/>
    <cellStyle name="20% - Акцент5 4 3" xfId="116"/>
    <cellStyle name="20% - Акцент5 4 4" xfId="117"/>
    <cellStyle name="20% - Акцент5 4 5" xfId="118"/>
    <cellStyle name="20% - Акцент5 5" xfId="119"/>
    <cellStyle name="20% - Акцент5 5 2" xfId="120"/>
    <cellStyle name="20% - Акцент5 5 3" xfId="121"/>
    <cellStyle name="20% - Акцент5 5 4" xfId="122"/>
    <cellStyle name="20% - Акцент5 5 5" xfId="123"/>
    <cellStyle name="20% - Акцент5 6" xfId="124"/>
    <cellStyle name="20% - Акцент6" xfId="125"/>
    <cellStyle name="20% - Акцент6 2" xfId="126"/>
    <cellStyle name="20% - Акцент6 2 2" xfId="127"/>
    <cellStyle name="20% - Акцент6 2 3" xfId="128"/>
    <cellStyle name="20% - Акцент6 2 4" xfId="129"/>
    <cellStyle name="20% - Акцент6 2 5" xfId="130"/>
    <cellStyle name="20% - Акцент6 3" xfId="131"/>
    <cellStyle name="20% - Акцент6 3 2" xfId="132"/>
    <cellStyle name="20% - Акцент6 3 3" xfId="133"/>
    <cellStyle name="20% - Акцент6 3 4" xfId="134"/>
    <cellStyle name="20% - Акцент6 3 5" xfId="135"/>
    <cellStyle name="20% - Акцент6 4" xfId="136"/>
    <cellStyle name="20% - Акцент6 4 2" xfId="137"/>
    <cellStyle name="20% - Акцент6 4 3" xfId="138"/>
    <cellStyle name="20% - Акцент6 4 4" xfId="139"/>
    <cellStyle name="20% - Акцент6 4 5" xfId="140"/>
    <cellStyle name="20% - Акцент6 5" xfId="141"/>
    <cellStyle name="20% - Акцент6 5 2" xfId="142"/>
    <cellStyle name="20% - Акцент6 5 3" xfId="143"/>
    <cellStyle name="20% - Акцент6 5 4" xfId="144"/>
    <cellStyle name="20% - Акцент6 5 5" xfId="145"/>
    <cellStyle name="20% - Акцент6 6" xfId="146"/>
    <cellStyle name="40% - Акцент1" xfId="147"/>
    <cellStyle name="40% - Акцент1 2" xfId="148"/>
    <cellStyle name="40% - Акцент1 2 2" xfId="149"/>
    <cellStyle name="40% - Акцент1 2 3" xfId="150"/>
    <cellStyle name="40% - Акцент1 2 4" xfId="151"/>
    <cellStyle name="40% - Акцент1 2 5" xfId="152"/>
    <cellStyle name="40% - Акцент1 3" xfId="153"/>
    <cellStyle name="40% - Акцент1 3 2" xfId="154"/>
    <cellStyle name="40% - Акцент1 3 3" xfId="155"/>
    <cellStyle name="40% - Акцент1 3 4" xfId="156"/>
    <cellStyle name="40% - Акцент1 3 5" xfId="157"/>
    <cellStyle name="40% - Акцент1 4" xfId="158"/>
    <cellStyle name="40% - Акцент1 4 2" xfId="159"/>
    <cellStyle name="40% - Акцент1 4 3" xfId="160"/>
    <cellStyle name="40% - Акцент1 4 4" xfId="161"/>
    <cellStyle name="40% - Акцент1 4 5" xfId="162"/>
    <cellStyle name="40% - Акцент1 5" xfId="163"/>
    <cellStyle name="40% - Акцент1 5 2" xfId="164"/>
    <cellStyle name="40% - Акцент1 5 3" xfId="165"/>
    <cellStyle name="40% - Акцент1 5 4" xfId="166"/>
    <cellStyle name="40% - Акцент1 5 5" xfId="167"/>
    <cellStyle name="40% - Акцент1 6" xfId="168"/>
    <cellStyle name="40% - Акцент2" xfId="169"/>
    <cellStyle name="40% - Акцент2 2" xfId="170"/>
    <cellStyle name="40% - Акцент2 2 2" xfId="171"/>
    <cellStyle name="40% - Акцент2 2 3" xfId="172"/>
    <cellStyle name="40% - Акцент2 2 4" xfId="173"/>
    <cellStyle name="40% - Акцент2 2 5" xfId="174"/>
    <cellStyle name="40% - Акцент2 3" xfId="175"/>
    <cellStyle name="40% - Акцент2 3 2" xfId="176"/>
    <cellStyle name="40% - Акцент2 3 3" xfId="177"/>
    <cellStyle name="40% - Акцент2 3 4" xfId="178"/>
    <cellStyle name="40% - Акцент2 3 5" xfId="179"/>
    <cellStyle name="40% - Акцент2 4" xfId="180"/>
    <cellStyle name="40% - Акцент2 4 2" xfId="181"/>
    <cellStyle name="40% - Акцент2 4 3" xfId="182"/>
    <cellStyle name="40% - Акцент2 4 4" xfId="183"/>
    <cellStyle name="40% - Акцент2 4 5" xfId="184"/>
    <cellStyle name="40% - Акцент2 5" xfId="185"/>
    <cellStyle name="40% - Акцент2 5 2" xfId="186"/>
    <cellStyle name="40% - Акцент2 5 3" xfId="187"/>
    <cellStyle name="40% - Акцент2 5 4" xfId="188"/>
    <cellStyle name="40% - Акцент2 5 5" xfId="189"/>
    <cellStyle name="40% - Акцент2 6" xfId="190"/>
    <cellStyle name="40% - Акцент3" xfId="191"/>
    <cellStyle name="40% - Акцент3 2" xfId="192"/>
    <cellStyle name="40% - Акцент3 2 2" xfId="193"/>
    <cellStyle name="40% - Акцент3 2 3" xfId="194"/>
    <cellStyle name="40% - Акцент3 2 4" xfId="195"/>
    <cellStyle name="40% - Акцент3 2 5" xfId="196"/>
    <cellStyle name="40% - Акцент3 3" xfId="197"/>
    <cellStyle name="40% - Акцент3 3 2" xfId="198"/>
    <cellStyle name="40% - Акцент3 3 3" xfId="199"/>
    <cellStyle name="40% - Акцент3 3 4" xfId="200"/>
    <cellStyle name="40% - Акцент3 3 5" xfId="201"/>
    <cellStyle name="40% - Акцент3 4" xfId="202"/>
    <cellStyle name="40% - Акцент3 4 2" xfId="203"/>
    <cellStyle name="40% - Акцент3 4 3" xfId="204"/>
    <cellStyle name="40% - Акцент3 4 4" xfId="205"/>
    <cellStyle name="40% - Акцент3 4 5" xfId="206"/>
    <cellStyle name="40% - Акцент3 5" xfId="207"/>
    <cellStyle name="40% - Акцент3 5 2" xfId="208"/>
    <cellStyle name="40% - Акцент3 5 3" xfId="209"/>
    <cellStyle name="40% - Акцент3 5 4" xfId="210"/>
    <cellStyle name="40% - Акцент3 5 5" xfId="211"/>
    <cellStyle name="40% - Акцент3 6" xfId="212"/>
    <cellStyle name="40% - Акцент4" xfId="213"/>
    <cellStyle name="40% - Акцент4 2" xfId="214"/>
    <cellStyle name="40% - Акцент4 2 2" xfId="215"/>
    <cellStyle name="40% - Акцент4 2 3" xfId="216"/>
    <cellStyle name="40% - Акцент4 2 4" xfId="217"/>
    <cellStyle name="40% - Акцент4 2 5" xfId="218"/>
    <cellStyle name="40% - Акцент4 3" xfId="219"/>
    <cellStyle name="40% - Акцент4 3 2" xfId="220"/>
    <cellStyle name="40% - Акцент4 3 3" xfId="221"/>
    <cellStyle name="40% - Акцент4 3 4" xfId="222"/>
    <cellStyle name="40% - Акцент4 3 5" xfId="223"/>
    <cellStyle name="40% - Акцент4 4" xfId="224"/>
    <cellStyle name="40% - Акцент4 4 2" xfId="225"/>
    <cellStyle name="40% - Акцент4 4 3" xfId="226"/>
    <cellStyle name="40% - Акцент4 4 4" xfId="227"/>
    <cellStyle name="40% - Акцент4 4 5" xfId="228"/>
    <cellStyle name="40% - Акцент4 5" xfId="229"/>
    <cellStyle name="40% - Акцент4 5 2" xfId="230"/>
    <cellStyle name="40% - Акцент4 5 3" xfId="231"/>
    <cellStyle name="40% - Акцент4 5 4" xfId="232"/>
    <cellStyle name="40% - Акцент4 5 5" xfId="233"/>
    <cellStyle name="40% - Акцент4 6" xfId="234"/>
    <cellStyle name="40% - Акцент5" xfId="235"/>
    <cellStyle name="40% - Акцент5 2" xfId="236"/>
    <cellStyle name="40% - Акцент5 2 2" xfId="237"/>
    <cellStyle name="40% - Акцент5 2 3" xfId="238"/>
    <cellStyle name="40% - Акцент5 2 4" xfId="239"/>
    <cellStyle name="40% - Акцент5 2 5" xfId="240"/>
    <cellStyle name="40% - Акцент5 3" xfId="241"/>
    <cellStyle name="40% - Акцент5 3 2" xfId="242"/>
    <cellStyle name="40% - Акцент5 3 3" xfId="243"/>
    <cellStyle name="40% - Акцент5 3 4" xfId="244"/>
    <cellStyle name="40% - Акцент5 3 5" xfId="245"/>
    <cellStyle name="40% - Акцент5 4" xfId="246"/>
    <cellStyle name="40% - Акцент5 4 2" xfId="247"/>
    <cellStyle name="40% - Акцент5 4 3" xfId="248"/>
    <cellStyle name="40% - Акцент5 4 4" xfId="249"/>
    <cellStyle name="40% - Акцент5 4 5" xfId="250"/>
    <cellStyle name="40% - Акцент5 5" xfId="251"/>
    <cellStyle name="40% - Акцент5 5 2" xfId="252"/>
    <cellStyle name="40% - Акцент5 5 3" xfId="253"/>
    <cellStyle name="40% - Акцент5 5 4" xfId="254"/>
    <cellStyle name="40% - Акцент5 5 5" xfId="255"/>
    <cellStyle name="40% - Акцент5 6" xfId="256"/>
    <cellStyle name="40% - Акцент6" xfId="257"/>
    <cellStyle name="40% - Акцент6 2" xfId="258"/>
    <cellStyle name="40% - Акцент6 2 2" xfId="259"/>
    <cellStyle name="40% - Акцент6 2 3" xfId="260"/>
    <cellStyle name="40% - Акцент6 2 4" xfId="261"/>
    <cellStyle name="40% - Акцент6 2 5" xfId="262"/>
    <cellStyle name="40% - Акцент6 3" xfId="263"/>
    <cellStyle name="40% - Акцент6 3 2" xfId="264"/>
    <cellStyle name="40% - Акцент6 3 3" xfId="265"/>
    <cellStyle name="40% - Акцент6 3 4" xfId="266"/>
    <cellStyle name="40% - Акцент6 3 5" xfId="267"/>
    <cellStyle name="40% - Акцент6 4" xfId="268"/>
    <cellStyle name="40% - Акцент6 4 2" xfId="269"/>
    <cellStyle name="40% - Акцент6 4 3" xfId="270"/>
    <cellStyle name="40% - Акцент6 4 4" xfId="271"/>
    <cellStyle name="40% - Акцент6 4 5" xfId="272"/>
    <cellStyle name="40% - Акцент6 5" xfId="273"/>
    <cellStyle name="40% - Акцент6 5 2" xfId="274"/>
    <cellStyle name="40% - Акцент6 5 3" xfId="275"/>
    <cellStyle name="40% - Акцент6 5 4" xfId="276"/>
    <cellStyle name="40% - Акцент6 5 5" xfId="277"/>
    <cellStyle name="40% - Акцент6 6" xfId="278"/>
    <cellStyle name="60% - Акцент1" xfId="279"/>
    <cellStyle name="60% - Акцент1 2" xfId="280"/>
    <cellStyle name="60% - Акцент1 2 2" xfId="281"/>
    <cellStyle name="60% - Акцент1 2 3" xfId="282"/>
    <cellStyle name="60% - Акцент1 2 4" xfId="283"/>
    <cellStyle name="60% - Акцент1 2 5" xfId="284"/>
    <cellStyle name="60% - Акцент1 3" xfId="285"/>
    <cellStyle name="60% - Акцент1 3 2" xfId="286"/>
    <cellStyle name="60% - Акцент1 3 3" xfId="287"/>
    <cellStyle name="60% - Акцент1 3 4" xfId="288"/>
    <cellStyle name="60% - Акцент1 3 5" xfId="289"/>
    <cellStyle name="60% - Акцент1 4" xfId="290"/>
    <cellStyle name="60% - Акцент1 4 2" xfId="291"/>
    <cellStyle name="60% - Акцент1 4 3" xfId="292"/>
    <cellStyle name="60% - Акцент1 4 4" xfId="293"/>
    <cellStyle name="60% - Акцент1 4 5" xfId="294"/>
    <cellStyle name="60% - Акцент1 5" xfId="295"/>
    <cellStyle name="60% - Акцент1 5 2" xfId="296"/>
    <cellStyle name="60% - Акцент1 5 3" xfId="297"/>
    <cellStyle name="60% - Акцент1 5 4" xfId="298"/>
    <cellStyle name="60% - Акцент1 5 5" xfId="299"/>
    <cellStyle name="60% - Акцент1 6" xfId="300"/>
    <cellStyle name="60% - Акцент2" xfId="301"/>
    <cellStyle name="60% - Акцент2 2" xfId="302"/>
    <cellStyle name="60% - Акцент2 2 2" xfId="303"/>
    <cellStyle name="60% - Акцент2 2 3" xfId="304"/>
    <cellStyle name="60% - Акцент2 2 4" xfId="305"/>
    <cellStyle name="60% - Акцент2 2 5" xfId="306"/>
    <cellStyle name="60% - Акцент2 3" xfId="307"/>
    <cellStyle name="60% - Акцент2 3 2" xfId="308"/>
    <cellStyle name="60% - Акцент2 3 3" xfId="309"/>
    <cellStyle name="60% - Акцент2 3 4" xfId="310"/>
    <cellStyle name="60% - Акцент2 3 5" xfId="311"/>
    <cellStyle name="60% - Акцент2 4" xfId="312"/>
    <cellStyle name="60% - Акцент2 4 2" xfId="313"/>
    <cellStyle name="60% - Акцент2 4 3" xfId="314"/>
    <cellStyle name="60% - Акцент2 4 4" xfId="315"/>
    <cellStyle name="60% - Акцент2 4 5" xfId="316"/>
    <cellStyle name="60% - Акцент2 5" xfId="317"/>
    <cellStyle name="60% - Акцент2 5 2" xfId="318"/>
    <cellStyle name="60% - Акцент2 5 3" xfId="319"/>
    <cellStyle name="60% - Акцент2 5 4" xfId="320"/>
    <cellStyle name="60% - Акцент2 5 5" xfId="321"/>
    <cellStyle name="60% - Акцент2 6" xfId="322"/>
    <cellStyle name="60% - Акцент3" xfId="323"/>
    <cellStyle name="60% - Акцент3 2" xfId="324"/>
    <cellStyle name="60% - Акцент3 2 2" xfId="325"/>
    <cellStyle name="60% - Акцент3 2 3" xfId="326"/>
    <cellStyle name="60% - Акцент3 2 4" xfId="327"/>
    <cellStyle name="60% - Акцент3 2 5" xfId="328"/>
    <cellStyle name="60% - Акцент3 3" xfId="329"/>
    <cellStyle name="60% - Акцент3 3 2" xfId="330"/>
    <cellStyle name="60% - Акцент3 3 3" xfId="331"/>
    <cellStyle name="60% - Акцент3 3 4" xfId="332"/>
    <cellStyle name="60% - Акцент3 3 5" xfId="333"/>
    <cellStyle name="60% - Акцент3 4" xfId="334"/>
    <cellStyle name="60% - Акцент3 4 2" xfId="335"/>
    <cellStyle name="60% - Акцент3 4 3" xfId="336"/>
    <cellStyle name="60% - Акцент3 4 4" xfId="337"/>
    <cellStyle name="60% - Акцент3 4 5" xfId="338"/>
    <cellStyle name="60% - Акцент3 5" xfId="339"/>
    <cellStyle name="60% - Акцент3 5 2" xfId="340"/>
    <cellStyle name="60% - Акцент3 5 3" xfId="341"/>
    <cellStyle name="60% - Акцент3 5 4" xfId="342"/>
    <cellStyle name="60% - Акцент3 5 5" xfId="343"/>
    <cellStyle name="60% - Акцент3 6" xfId="344"/>
    <cellStyle name="60% - Акцент4" xfId="345"/>
    <cellStyle name="60% - Акцент4 2" xfId="346"/>
    <cellStyle name="60% - Акцент4 2 2" xfId="347"/>
    <cellStyle name="60% - Акцент4 2 3" xfId="348"/>
    <cellStyle name="60% - Акцент4 2 4" xfId="349"/>
    <cellStyle name="60% - Акцент4 2 5" xfId="350"/>
    <cellStyle name="60% - Акцент4 3" xfId="351"/>
    <cellStyle name="60% - Акцент4 3 2" xfId="352"/>
    <cellStyle name="60% - Акцент4 3 3" xfId="353"/>
    <cellStyle name="60% - Акцент4 3 4" xfId="354"/>
    <cellStyle name="60% - Акцент4 3 5" xfId="355"/>
    <cellStyle name="60% - Акцент4 4" xfId="356"/>
    <cellStyle name="60% - Акцент4 4 2" xfId="357"/>
    <cellStyle name="60% - Акцент4 4 3" xfId="358"/>
    <cellStyle name="60% - Акцент4 4 4" xfId="359"/>
    <cellStyle name="60% - Акцент4 4 5" xfId="360"/>
    <cellStyle name="60% - Акцент4 5" xfId="361"/>
    <cellStyle name="60% - Акцент4 5 2" xfId="362"/>
    <cellStyle name="60% - Акцент4 5 3" xfId="363"/>
    <cellStyle name="60% - Акцент4 5 4" xfId="364"/>
    <cellStyle name="60% - Акцент4 5 5" xfId="365"/>
    <cellStyle name="60% - Акцент4 6" xfId="366"/>
    <cellStyle name="60% - Акцент5" xfId="367"/>
    <cellStyle name="60% - Акцент5 2" xfId="368"/>
    <cellStyle name="60% - Акцент5 2 2" xfId="369"/>
    <cellStyle name="60% - Акцент5 2 3" xfId="370"/>
    <cellStyle name="60% - Акцент5 2 4" xfId="371"/>
    <cellStyle name="60% - Акцент5 2 5" xfId="372"/>
    <cellStyle name="60% - Акцент5 3" xfId="373"/>
    <cellStyle name="60% - Акцент5 3 2" xfId="374"/>
    <cellStyle name="60% - Акцент5 3 3" xfId="375"/>
    <cellStyle name="60% - Акцент5 3 4" xfId="376"/>
    <cellStyle name="60% - Акцент5 3 5" xfId="377"/>
    <cellStyle name="60% - Акцент5 4" xfId="378"/>
    <cellStyle name="60% - Акцент5 4 2" xfId="379"/>
    <cellStyle name="60% - Акцент5 4 3" xfId="380"/>
    <cellStyle name="60% - Акцент5 4 4" xfId="381"/>
    <cellStyle name="60% - Акцент5 4 5" xfId="382"/>
    <cellStyle name="60% - Акцент5 5" xfId="383"/>
    <cellStyle name="60% - Акцент5 5 2" xfId="384"/>
    <cellStyle name="60% - Акцент5 5 3" xfId="385"/>
    <cellStyle name="60% - Акцент5 5 4" xfId="386"/>
    <cellStyle name="60% - Акцент5 5 5" xfId="387"/>
    <cellStyle name="60% - Акцент5 6" xfId="388"/>
    <cellStyle name="60% - Акцент6" xfId="389"/>
    <cellStyle name="60% - Акцент6 2" xfId="390"/>
    <cellStyle name="60% - Акцент6 2 2" xfId="391"/>
    <cellStyle name="60% - Акцент6 2 3" xfId="392"/>
    <cellStyle name="60% - Акцент6 2 4" xfId="393"/>
    <cellStyle name="60% - Акцент6 2 5" xfId="394"/>
    <cellStyle name="60% - Акцент6 3" xfId="395"/>
    <cellStyle name="60% - Акцент6 3 2" xfId="396"/>
    <cellStyle name="60% - Акцент6 3 3" xfId="397"/>
    <cellStyle name="60% - Акцент6 3 4" xfId="398"/>
    <cellStyle name="60% - Акцент6 3 5" xfId="399"/>
    <cellStyle name="60% - Акцент6 4" xfId="400"/>
    <cellStyle name="60% - Акцент6 4 2" xfId="401"/>
    <cellStyle name="60% - Акцент6 4 3" xfId="402"/>
    <cellStyle name="60% - Акцент6 4 4" xfId="403"/>
    <cellStyle name="60% - Акцент6 4 5" xfId="404"/>
    <cellStyle name="60% - Акцент6 5" xfId="405"/>
    <cellStyle name="60% - Акцент6 5 2" xfId="406"/>
    <cellStyle name="60% - Акцент6 5 3" xfId="407"/>
    <cellStyle name="60% - Акцент6 5 4" xfId="408"/>
    <cellStyle name="60% - Акцент6 5 5" xfId="409"/>
    <cellStyle name="60% - Акцент6 6" xfId="410"/>
    <cellStyle name="Акцент1" xfId="411"/>
    <cellStyle name="Акцент1 2" xfId="412"/>
    <cellStyle name="Акцент1 2 2" xfId="413"/>
    <cellStyle name="Акцент1 2 3" xfId="414"/>
    <cellStyle name="Акцент1 2 4" xfId="415"/>
    <cellStyle name="Акцент1 2 5" xfId="416"/>
    <cellStyle name="Акцент1 3" xfId="417"/>
    <cellStyle name="Акцент1 3 2" xfId="418"/>
    <cellStyle name="Акцент1 3 3" xfId="419"/>
    <cellStyle name="Акцент1 3 4" xfId="420"/>
    <cellStyle name="Акцент1 3 5" xfId="421"/>
    <cellStyle name="Акцент1 4" xfId="422"/>
    <cellStyle name="Акцент1 4 2" xfId="423"/>
    <cellStyle name="Акцент1 4 3" xfId="424"/>
    <cellStyle name="Акцент1 4 4" xfId="425"/>
    <cellStyle name="Акцент1 4 5" xfId="426"/>
    <cellStyle name="Акцент1 5" xfId="427"/>
    <cellStyle name="Акцент1 5 2" xfId="428"/>
    <cellStyle name="Акцент1 5 3" xfId="429"/>
    <cellStyle name="Акцент1 5 4" xfId="430"/>
    <cellStyle name="Акцент1 5 5" xfId="431"/>
    <cellStyle name="Акцент1 6" xfId="432"/>
    <cellStyle name="Акцент2" xfId="433"/>
    <cellStyle name="Акцент2 2" xfId="434"/>
    <cellStyle name="Акцент2 2 2" xfId="435"/>
    <cellStyle name="Акцент2 2 3" xfId="436"/>
    <cellStyle name="Акцент2 2 4" xfId="437"/>
    <cellStyle name="Акцент2 2 5" xfId="438"/>
    <cellStyle name="Акцент2 3" xfId="439"/>
    <cellStyle name="Акцент2 3 2" xfId="440"/>
    <cellStyle name="Акцент2 3 3" xfId="441"/>
    <cellStyle name="Акцент2 3 4" xfId="442"/>
    <cellStyle name="Акцент2 3 5" xfId="443"/>
    <cellStyle name="Акцент2 4" xfId="444"/>
    <cellStyle name="Акцент2 4 2" xfId="445"/>
    <cellStyle name="Акцент2 4 3" xfId="446"/>
    <cellStyle name="Акцент2 4 4" xfId="447"/>
    <cellStyle name="Акцент2 4 5" xfId="448"/>
    <cellStyle name="Акцент2 5" xfId="449"/>
    <cellStyle name="Акцент2 5 2" xfId="450"/>
    <cellStyle name="Акцент2 5 3" xfId="451"/>
    <cellStyle name="Акцент2 5 4" xfId="452"/>
    <cellStyle name="Акцент2 5 5" xfId="453"/>
    <cellStyle name="Акцент2 6" xfId="454"/>
    <cellStyle name="Акцент3" xfId="455"/>
    <cellStyle name="Акцент3 2" xfId="456"/>
    <cellStyle name="Акцент3 2 2" xfId="457"/>
    <cellStyle name="Акцент3 2 3" xfId="458"/>
    <cellStyle name="Акцент3 2 4" xfId="459"/>
    <cellStyle name="Акцент3 2 5" xfId="460"/>
    <cellStyle name="Акцент3 3" xfId="461"/>
    <cellStyle name="Акцент3 3 2" xfId="462"/>
    <cellStyle name="Акцент3 3 3" xfId="463"/>
    <cellStyle name="Акцент3 3 4" xfId="464"/>
    <cellStyle name="Акцент3 3 5" xfId="465"/>
    <cellStyle name="Акцент3 4" xfId="466"/>
    <cellStyle name="Акцент3 4 2" xfId="467"/>
    <cellStyle name="Акцент3 4 3" xfId="468"/>
    <cellStyle name="Акцент3 4 4" xfId="469"/>
    <cellStyle name="Акцент3 4 5" xfId="470"/>
    <cellStyle name="Акцент3 5" xfId="471"/>
    <cellStyle name="Акцент3 5 2" xfId="472"/>
    <cellStyle name="Акцент3 5 3" xfId="473"/>
    <cellStyle name="Акцент3 5 4" xfId="474"/>
    <cellStyle name="Акцент3 5 5" xfId="475"/>
    <cellStyle name="Акцент3 6" xfId="476"/>
    <cellStyle name="Акцент4" xfId="477"/>
    <cellStyle name="Акцент4 2" xfId="478"/>
    <cellStyle name="Акцент4 2 2" xfId="479"/>
    <cellStyle name="Акцент4 2 3" xfId="480"/>
    <cellStyle name="Акцент4 2 4" xfId="481"/>
    <cellStyle name="Акцент4 2 5" xfId="482"/>
    <cellStyle name="Акцент4 3" xfId="483"/>
    <cellStyle name="Акцент4 3 2" xfId="484"/>
    <cellStyle name="Акцент4 3 3" xfId="485"/>
    <cellStyle name="Акцент4 3 4" xfId="486"/>
    <cellStyle name="Акцент4 3 5" xfId="487"/>
    <cellStyle name="Акцент4 4" xfId="488"/>
    <cellStyle name="Акцент4 4 2" xfId="489"/>
    <cellStyle name="Акцент4 4 3" xfId="490"/>
    <cellStyle name="Акцент4 4 4" xfId="491"/>
    <cellStyle name="Акцент4 4 5" xfId="492"/>
    <cellStyle name="Акцент4 5" xfId="493"/>
    <cellStyle name="Акцент4 5 2" xfId="494"/>
    <cellStyle name="Акцент4 5 3" xfId="495"/>
    <cellStyle name="Акцент4 5 4" xfId="496"/>
    <cellStyle name="Акцент4 5 5" xfId="497"/>
    <cellStyle name="Акцент4 6" xfId="498"/>
    <cellStyle name="Акцент5" xfId="499"/>
    <cellStyle name="Акцент5 2" xfId="500"/>
    <cellStyle name="Акцент5 2 2" xfId="501"/>
    <cellStyle name="Акцент5 2 3" xfId="502"/>
    <cellStyle name="Акцент5 2 4" xfId="503"/>
    <cellStyle name="Акцент5 2 5" xfId="504"/>
    <cellStyle name="Акцент5 3" xfId="505"/>
    <cellStyle name="Акцент5 3 2" xfId="506"/>
    <cellStyle name="Акцент5 3 3" xfId="507"/>
    <cellStyle name="Акцент5 3 4" xfId="508"/>
    <cellStyle name="Акцент5 3 5" xfId="509"/>
    <cellStyle name="Акцент5 4" xfId="510"/>
    <cellStyle name="Акцент5 4 2" xfId="511"/>
    <cellStyle name="Акцент5 4 3" xfId="512"/>
    <cellStyle name="Акцент5 4 4" xfId="513"/>
    <cellStyle name="Акцент5 4 5" xfId="514"/>
    <cellStyle name="Акцент5 5" xfId="515"/>
    <cellStyle name="Акцент5 5 2" xfId="516"/>
    <cellStyle name="Акцент5 5 3" xfId="517"/>
    <cellStyle name="Акцент5 5 4" xfId="518"/>
    <cellStyle name="Акцент5 5 5" xfId="519"/>
    <cellStyle name="Акцент5 6" xfId="520"/>
    <cellStyle name="Акцент6" xfId="521"/>
    <cellStyle name="Акцент6 2" xfId="522"/>
    <cellStyle name="Акцент6 2 2" xfId="523"/>
    <cellStyle name="Акцент6 2 3" xfId="524"/>
    <cellStyle name="Акцент6 2 4" xfId="525"/>
    <cellStyle name="Акцент6 2 5" xfId="526"/>
    <cellStyle name="Акцент6 3" xfId="527"/>
    <cellStyle name="Акцент6 3 2" xfId="528"/>
    <cellStyle name="Акцент6 3 3" xfId="529"/>
    <cellStyle name="Акцент6 3 4" xfId="530"/>
    <cellStyle name="Акцент6 3 5" xfId="531"/>
    <cellStyle name="Акцент6 4" xfId="532"/>
    <cellStyle name="Акцент6 4 2" xfId="533"/>
    <cellStyle name="Акцент6 4 3" xfId="534"/>
    <cellStyle name="Акцент6 4 4" xfId="535"/>
    <cellStyle name="Акцент6 4 5" xfId="536"/>
    <cellStyle name="Акцент6 5" xfId="537"/>
    <cellStyle name="Акцент6 5 2" xfId="538"/>
    <cellStyle name="Акцент6 5 3" xfId="539"/>
    <cellStyle name="Акцент6 5 4" xfId="540"/>
    <cellStyle name="Акцент6 5 5" xfId="541"/>
    <cellStyle name="Акцент6 6" xfId="542"/>
    <cellStyle name="Ввод " xfId="543"/>
    <cellStyle name="Ввод  2" xfId="544"/>
    <cellStyle name="Ввод  2 2" xfId="545"/>
    <cellStyle name="Ввод  2 3" xfId="546"/>
    <cellStyle name="Ввод  2 4" xfId="547"/>
    <cellStyle name="Ввод  2 5" xfId="548"/>
    <cellStyle name="Ввод  3" xfId="549"/>
    <cellStyle name="Ввод  3 2" xfId="550"/>
    <cellStyle name="Ввод  3 3" xfId="551"/>
    <cellStyle name="Ввод  3 4" xfId="552"/>
    <cellStyle name="Ввод  3 5" xfId="553"/>
    <cellStyle name="Ввод  4" xfId="554"/>
    <cellStyle name="Ввод  4 2" xfId="555"/>
    <cellStyle name="Ввод  4 3" xfId="556"/>
    <cellStyle name="Ввод  4 4" xfId="557"/>
    <cellStyle name="Ввод  4 5" xfId="558"/>
    <cellStyle name="Ввод  5" xfId="559"/>
    <cellStyle name="Ввод  5 2" xfId="560"/>
    <cellStyle name="Ввод  5 3" xfId="561"/>
    <cellStyle name="Ввод  5 4" xfId="562"/>
    <cellStyle name="Ввод  5 5" xfId="563"/>
    <cellStyle name="Ввод  6" xfId="564"/>
    <cellStyle name="Вывод" xfId="565"/>
    <cellStyle name="Вывод 2" xfId="566"/>
    <cellStyle name="Вывод 2 2" xfId="567"/>
    <cellStyle name="Вывод 2 3" xfId="568"/>
    <cellStyle name="Вывод 2 4" xfId="569"/>
    <cellStyle name="Вывод 2 5" xfId="570"/>
    <cellStyle name="Вывод 3" xfId="571"/>
    <cellStyle name="Вывод 3 2" xfId="572"/>
    <cellStyle name="Вывод 3 3" xfId="573"/>
    <cellStyle name="Вывод 3 4" xfId="574"/>
    <cellStyle name="Вывод 3 5" xfId="575"/>
    <cellStyle name="Вывод 4" xfId="576"/>
    <cellStyle name="Вывод 4 2" xfId="577"/>
    <cellStyle name="Вывод 4 3" xfId="578"/>
    <cellStyle name="Вывод 4 4" xfId="579"/>
    <cellStyle name="Вывод 4 5" xfId="580"/>
    <cellStyle name="Вывод 5" xfId="581"/>
    <cellStyle name="Вывод 5 2" xfId="582"/>
    <cellStyle name="Вывод 5 3" xfId="583"/>
    <cellStyle name="Вывод 5 4" xfId="584"/>
    <cellStyle name="Вывод 5 5" xfId="585"/>
    <cellStyle name="Вывод 6" xfId="586"/>
    <cellStyle name="Вычисление" xfId="587"/>
    <cellStyle name="Вычисление 2" xfId="588"/>
    <cellStyle name="Вычисление 2 2" xfId="589"/>
    <cellStyle name="Вычисление 2 3" xfId="590"/>
    <cellStyle name="Вычисление 2 4" xfId="591"/>
    <cellStyle name="Вычисление 2 5" xfId="592"/>
    <cellStyle name="Вычисление 3" xfId="593"/>
    <cellStyle name="Вычисление 3 2" xfId="594"/>
    <cellStyle name="Вычисление 3 3" xfId="595"/>
    <cellStyle name="Вычисление 3 4" xfId="596"/>
    <cellStyle name="Вычисление 3 5" xfId="597"/>
    <cellStyle name="Вычисление 4" xfId="598"/>
    <cellStyle name="Вычисление 4 2" xfId="599"/>
    <cellStyle name="Вычисление 4 3" xfId="600"/>
    <cellStyle name="Вычисление 4 4" xfId="601"/>
    <cellStyle name="Вычисление 4 5" xfId="602"/>
    <cellStyle name="Вычисление 5" xfId="603"/>
    <cellStyle name="Вычисление 5 2" xfId="604"/>
    <cellStyle name="Вычисление 5 3" xfId="605"/>
    <cellStyle name="Вычисление 5 4" xfId="606"/>
    <cellStyle name="Вычисление 5 5" xfId="607"/>
    <cellStyle name="Вычисление 6" xfId="608"/>
    <cellStyle name="Hyperlink" xfId="609"/>
    <cellStyle name="Currency" xfId="610"/>
    <cellStyle name="Currency [0]" xfId="611"/>
    <cellStyle name="Заголовок 1" xfId="612"/>
    <cellStyle name="Заголовок 1 2" xfId="613"/>
    <cellStyle name="Заголовок 1 2 2" xfId="614"/>
    <cellStyle name="Заголовок 1 2 3" xfId="615"/>
    <cellStyle name="Заголовок 1 2 4" xfId="616"/>
    <cellStyle name="Заголовок 1 2 5" xfId="617"/>
    <cellStyle name="Заголовок 1 3" xfId="618"/>
    <cellStyle name="Заголовок 1 3 2" xfId="619"/>
    <cellStyle name="Заголовок 1 3 3" xfId="620"/>
    <cellStyle name="Заголовок 1 3 4" xfId="621"/>
    <cellStyle name="Заголовок 1 3 5" xfId="622"/>
    <cellStyle name="Заголовок 1 4" xfId="623"/>
    <cellStyle name="Заголовок 1 4 2" xfId="624"/>
    <cellStyle name="Заголовок 1 4 3" xfId="625"/>
    <cellStyle name="Заголовок 1 4 4" xfId="626"/>
    <cellStyle name="Заголовок 1 4 5" xfId="627"/>
    <cellStyle name="Заголовок 1 5" xfId="628"/>
    <cellStyle name="Заголовок 1 5 2" xfId="629"/>
    <cellStyle name="Заголовок 1 5 3" xfId="630"/>
    <cellStyle name="Заголовок 1 5 4" xfId="631"/>
    <cellStyle name="Заголовок 1 5 5" xfId="632"/>
    <cellStyle name="Заголовок 2" xfId="633"/>
    <cellStyle name="Заголовок 2 2" xfId="634"/>
    <cellStyle name="Заголовок 2 2 2" xfId="635"/>
    <cellStyle name="Заголовок 2 2 3" xfId="636"/>
    <cellStyle name="Заголовок 2 2 4" xfId="637"/>
    <cellStyle name="Заголовок 2 2 5" xfId="638"/>
    <cellStyle name="Заголовок 2 3" xfId="639"/>
    <cellStyle name="Заголовок 2 3 2" xfId="640"/>
    <cellStyle name="Заголовок 2 3 3" xfId="641"/>
    <cellStyle name="Заголовок 2 3 4" xfId="642"/>
    <cellStyle name="Заголовок 2 3 5" xfId="643"/>
    <cellStyle name="Заголовок 2 4" xfId="644"/>
    <cellStyle name="Заголовок 2 4 2" xfId="645"/>
    <cellStyle name="Заголовок 2 4 3" xfId="646"/>
    <cellStyle name="Заголовок 2 4 4" xfId="647"/>
    <cellStyle name="Заголовок 2 4 5" xfId="648"/>
    <cellStyle name="Заголовок 2 5" xfId="649"/>
    <cellStyle name="Заголовок 2 5 2" xfId="650"/>
    <cellStyle name="Заголовок 2 5 3" xfId="651"/>
    <cellStyle name="Заголовок 2 5 4" xfId="652"/>
    <cellStyle name="Заголовок 2 5 5" xfId="653"/>
    <cellStyle name="Заголовок 3" xfId="654"/>
    <cellStyle name="Заголовок 3 2" xfId="655"/>
    <cellStyle name="Заголовок 3 2 2" xfId="656"/>
    <cellStyle name="Заголовок 3 2 3" xfId="657"/>
    <cellStyle name="Заголовок 3 2 4" xfId="658"/>
    <cellStyle name="Заголовок 3 2 5" xfId="659"/>
    <cellStyle name="Заголовок 3 3" xfId="660"/>
    <cellStyle name="Заголовок 3 3 2" xfId="661"/>
    <cellStyle name="Заголовок 3 3 3" xfId="662"/>
    <cellStyle name="Заголовок 3 3 4" xfId="663"/>
    <cellStyle name="Заголовок 3 3 5" xfId="664"/>
    <cellStyle name="Заголовок 3 4" xfId="665"/>
    <cellStyle name="Заголовок 3 4 2" xfId="666"/>
    <cellStyle name="Заголовок 3 4 3" xfId="667"/>
    <cellStyle name="Заголовок 3 4 4" xfId="668"/>
    <cellStyle name="Заголовок 3 4 5" xfId="669"/>
    <cellStyle name="Заголовок 3 5" xfId="670"/>
    <cellStyle name="Заголовок 3 5 2" xfId="671"/>
    <cellStyle name="Заголовок 3 5 3" xfId="672"/>
    <cellStyle name="Заголовок 3 5 4" xfId="673"/>
    <cellStyle name="Заголовок 3 5 5" xfId="674"/>
    <cellStyle name="Заголовок 4" xfId="675"/>
    <cellStyle name="Заголовок 4 2" xfId="676"/>
    <cellStyle name="Заголовок 4 2 2" xfId="677"/>
    <cellStyle name="Заголовок 4 2 3" xfId="678"/>
    <cellStyle name="Заголовок 4 2 4" xfId="679"/>
    <cellStyle name="Заголовок 4 2 5" xfId="680"/>
    <cellStyle name="Заголовок 4 3" xfId="681"/>
    <cellStyle name="Заголовок 4 3 2" xfId="682"/>
    <cellStyle name="Заголовок 4 3 3" xfId="683"/>
    <cellStyle name="Заголовок 4 3 4" xfId="684"/>
    <cellStyle name="Заголовок 4 3 5" xfId="685"/>
    <cellStyle name="Заголовок 4 4" xfId="686"/>
    <cellStyle name="Заголовок 4 4 2" xfId="687"/>
    <cellStyle name="Заголовок 4 4 3" xfId="688"/>
    <cellStyle name="Заголовок 4 4 4" xfId="689"/>
    <cellStyle name="Заголовок 4 4 5" xfId="690"/>
    <cellStyle name="Заголовок 4 5" xfId="691"/>
    <cellStyle name="Заголовок 4 5 2" xfId="692"/>
    <cellStyle name="Заголовок 4 5 3" xfId="693"/>
    <cellStyle name="Заголовок 4 5 4" xfId="694"/>
    <cellStyle name="Заголовок 4 5 5" xfId="695"/>
    <cellStyle name="Итог" xfId="696"/>
    <cellStyle name="Итог 2" xfId="697"/>
    <cellStyle name="Итог 2 2" xfId="698"/>
    <cellStyle name="Итог 2 3" xfId="699"/>
    <cellStyle name="Итог 2 4" xfId="700"/>
    <cellStyle name="Итог 2 5" xfId="701"/>
    <cellStyle name="Итог 3" xfId="702"/>
    <cellStyle name="Итог 3 2" xfId="703"/>
    <cellStyle name="Итог 3 3" xfId="704"/>
    <cellStyle name="Итог 3 4" xfId="705"/>
    <cellStyle name="Итог 3 5" xfId="706"/>
    <cellStyle name="Итог 4" xfId="707"/>
    <cellStyle name="Итог 4 2" xfId="708"/>
    <cellStyle name="Итог 4 3" xfId="709"/>
    <cellStyle name="Итог 4 4" xfId="710"/>
    <cellStyle name="Итог 4 5" xfId="711"/>
    <cellStyle name="Итог 5" xfId="712"/>
    <cellStyle name="Итог 5 2" xfId="713"/>
    <cellStyle name="Итог 5 3" xfId="714"/>
    <cellStyle name="Итог 5 4" xfId="715"/>
    <cellStyle name="Итог 5 5" xfId="716"/>
    <cellStyle name="Контрольная ячейка" xfId="717"/>
    <cellStyle name="Контрольная ячейка 2" xfId="718"/>
    <cellStyle name="Контрольная ячейка 2 2" xfId="719"/>
    <cellStyle name="Контрольная ячейка 2 3" xfId="720"/>
    <cellStyle name="Контрольная ячейка 2 4" xfId="721"/>
    <cellStyle name="Контрольная ячейка 2 5" xfId="722"/>
    <cellStyle name="Контрольная ячейка 3" xfId="723"/>
    <cellStyle name="Контрольная ячейка 3 2" xfId="724"/>
    <cellStyle name="Контрольная ячейка 3 3" xfId="725"/>
    <cellStyle name="Контрольная ячейка 3 4" xfId="726"/>
    <cellStyle name="Контрольная ячейка 3 5" xfId="727"/>
    <cellStyle name="Контрольная ячейка 4" xfId="728"/>
    <cellStyle name="Контрольная ячейка 4 2" xfId="729"/>
    <cellStyle name="Контрольная ячейка 4 3" xfId="730"/>
    <cellStyle name="Контрольная ячейка 4 4" xfId="731"/>
    <cellStyle name="Контрольная ячейка 4 5" xfId="732"/>
    <cellStyle name="Контрольная ячейка 5" xfId="733"/>
    <cellStyle name="Контрольная ячейка 5 2" xfId="734"/>
    <cellStyle name="Контрольная ячейка 5 3" xfId="735"/>
    <cellStyle name="Контрольная ячейка 5 4" xfId="736"/>
    <cellStyle name="Контрольная ячейка 5 5" xfId="737"/>
    <cellStyle name="Контрольная ячейка 6" xfId="738"/>
    <cellStyle name="Название" xfId="739"/>
    <cellStyle name="Название 2" xfId="740"/>
    <cellStyle name="Название 2 2" xfId="741"/>
    <cellStyle name="Название 2 3" xfId="742"/>
    <cellStyle name="Название 2 4" xfId="743"/>
    <cellStyle name="Название 2 5" xfId="744"/>
    <cellStyle name="Название 3" xfId="745"/>
    <cellStyle name="Название 3 2" xfId="746"/>
    <cellStyle name="Название 3 3" xfId="747"/>
    <cellStyle name="Название 3 4" xfId="748"/>
    <cellStyle name="Название 3 5" xfId="749"/>
    <cellStyle name="Название 4" xfId="750"/>
    <cellStyle name="Название 4 2" xfId="751"/>
    <cellStyle name="Название 4 3" xfId="752"/>
    <cellStyle name="Название 4 4" xfId="753"/>
    <cellStyle name="Название 4 5" xfId="754"/>
    <cellStyle name="Название 5" xfId="755"/>
    <cellStyle name="Название 5 2" xfId="756"/>
    <cellStyle name="Название 5 3" xfId="757"/>
    <cellStyle name="Название 5 4" xfId="758"/>
    <cellStyle name="Название 5 5" xfId="759"/>
    <cellStyle name="Нейтральный" xfId="760"/>
    <cellStyle name="Нейтральный 2" xfId="761"/>
    <cellStyle name="Нейтральный 2 2" xfId="762"/>
    <cellStyle name="Нейтральный 2 3" xfId="763"/>
    <cellStyle name="Нейтральный 2 4" xfId="764"/>
    <cellStyle name="Нейтральный 2 5" xfId="765"/>
    <cellStyle name="Нейтральный 3" xfId="766"/>
    <cellStyle name="Нейтральный 3 2" xfId="767"/>
    <cellStyle name="Нейтральный 3 3" xfId="768"/>
    <cellStyle name="Нейтральный 3 4" xfId="769"/>
    <cellStyle name="Нейтральный 3 5" xfId="770"/>
    <cellStyle name="Нейтральный 4" xfId="771"/>
    <cellStyle name="Нейтральный 4 2" xfId="772"/>
    <cellStyle name="Нейтральный 4 3" xfId="773"/>
    <cellStyle name="Нейтральный 4 4" xfId="774"/>
    <cellStyle name="Нейтральный 4 5" xfId="775"/>
    <cellStyle name="Нейтральный 5" xfId="776"/>
    <cellStyle name="Нейтральный 5 2" xfId="777"/>
    <cellStyle name="Нейтральный 5 3" xfId="778"/>
    <cellStyle name="Нейтральный 5 4" xfId="779"/>
    <cellStyle name="Нейтральный 5 5" xfId="780"/>
    <cellStyle name="Нейтральный 6" xfId="781"/>
    <cellStyle name="Обычный 10" xfId="782"/>
    <cellStyle name="Обычный 11" xfId="783"/>
    <cellStyle name="Обычный 2" xfId="784"/>
    <cellStyle name="Обычный 2 2" xfId="785"/>
    <cellStyle name="Обычный 2 3" xfId="786"/>
    <cellStyle name="Обычный 2 4" xfId="787"/>
    <cellStyle name="Обычный 2 5" xfId="788"/>
    <cellStyle name="Обычный 3" xfId="789"/>
    <cellStyle name="Обычный 4" xfId="790"/>
    <cellStyle name="Обычный 5" xfId="791"/>
    <cellStyle name="Обычный 5 2" xfId="792"/>
    <cellStyle name="Обычный 6" xfId="793"/>
    <cellStyle name="Обычный 7" xfId="794"/>
    <cellStyle name="Обычный 8" xfId="795"/>
    <cellStyle name="Обычный 9" xfId="796"/>
    <cellStyle name="Обычный_ПЛАН Бюджету розвитку на 2013_деп.економіки" xfId="797"/>
    <cellStyle name="Followed Hyperlink" xfId="798"/>
    <cellStyle name="Плохой" xfId="799"/>
    <cellStyle name="Плохой 2" xfId="800"/>
    <cellStyle name="Плохой 2 2" xfId="801"/>
    <cellStyle name="Плохой 2 3" xfId="802"/>
    <cellStyle name="Плохой 2 4" xfId="803"/>
    <cellStyle name="Плохой 2 5" xfId="804"/>
    <cellStyle name="Плохой 3" xfId="805"/>
    <cellStyle name="Плохой 3 2" xfId="806"/>
    <cellStyle name="Плохой 3 3" xfId="807"/>
    <cellStyle name="Плохой 3 4" xfId="808"/>
    <cellStyle name="Плохой 3 5" xfId="809"/>
    <cellStyle name="Плохой 4" xfId="810"/>
    <cellStyle name="Плохой 4 2" xfId="811"/>
    <cellStyle name="Плохой 4 3" xfId="812"/>
    <cellStyle name="Плохой 4 4" xfId="813"/>
    <cellStyle name="Плохой 4 5" xfId="814"/>
    <cellStyle name="Плохой 5" xfId="815"/>
    <cellStyle name="Плохой 5 2" xfId="816"/>
    <cellStyle name="Плохой 5 3" xfId="817"/>
    <cellStyle name="Плохой 5 4" xfId="818"/>
    <cellStyle name="Плохой 5 5" xfId="819"/>
    <cellStyle name="Плохой 6" xfId="820"/>
    <cellStyle name="Пояснение" xfId="821"/>
    <cellStyle name="Пояснение 2" xfId="822"/>
    <cellStyle name="Пояснение 2 2" xfId="823"/>
    <cellStyle name="Пояснение 2 3" xfId="824"/>
    <cellStyle name="Пояснение 2 4" xfId="825"/>
    <cellStyle name="Пояснение 2 5" xfId="826"/>
    <cellStyle name="Пояснение 3" xfId="827"/>
    <cellStyle name="Пояснение 3 2" xfId="828"/>
    <cellStyle name="Пояснение 3 3" xfId="829"/>
    <cellStyle name="Пояснение 3 4" xfId="830"/>
    <cellStyle name="Пояснение 3 5" xfId="831"/>
    <cellStyle name="Пояснение 4" xfId="832"/>
    <cellStyle name="Пояснение 4 2" xfId="833"/>
    <cellStyle name="Пояснение 4 3" xfId="834"/>
    <cellStyle name="Пояснение 4 4" xfId="835"/>
    <cellStyle name="Пояснение 4 5" xfId="836"/>
    <cellStyle name="Пояснение 5" xfId="837"/>
    <cellStyle name="Пояснение 5 2" xfId="838"/>
    <cellStyle name="Пояснение 5 3" xfId="839"/>
    <cellStyle name="Пояснение 5 4" xfId="840"/>
    <cellStyle name="Пояснение 5 5" xfId="841"/>
    <cellStyle name="Примечание" xfId="842"/>
    <cellStyle name="Примечание 2" xfId="843"/>
    <cellStyle name="Примечание 2 2" xfId="844"/>
    <cellStyle name="Примечание 2 3" xfId="845"/>
    <cellStyle name="Примечание 2 4" xfId="846"/>
    <cellStyle name="Примечание 2 5" xfId="847"/>
    <cellStyle name="Примечание 3" xfId="848"/>
    <cellStyle name="Примечание 3 2" xfId="849"/>
    <cellStyle name="Примечание 3 3" xfId="850"/>
    <cellStyle name="Примечание 3 4" xfId="851"/>
    <cellStyle name="Примечание 3 5" xfId="852"/>
    <cellStyle name="Примечание 4" xfId="853"/>
    <cellStyle name="Примечание 4 2" xfId="854"/>
    <cellStyle name="Примечание 4 3" xfId="855"/>
    <cellStyle name="Примечание 4 4" xfId="856"/>
    <cellStyle name="Примечание 4 5" xfId="857"/>
    <cellStyle name="Примечание 5" xfId="858"/>
    <cellStyle name="Примечание 5 2" xfId="859"/>
    <cellStyle name="Примечание 5 3" xfId="860"/>
    <cellStyle name="Примечание 5 4" xfId="861"/>
    <cellStyle name="Примечание 5 5" xfId="862"/>
    <cellStyle name="Примечание 6" xfId="863"/>
    <cellStyle name="Percent" xfId="864"/>
    <cellStyle name="Процентный 2" xfId="865"/>
    <cellStyle name="Процентный 2 10" xfId="866"/>
    <cellStyle name="Процентный 2 11" xfId="867"/>
    <cellStyle name="Процентный 2 12" xfId="868"/>
    <cellStyle name="Процентный 2 13" xfId="869"/>
    <cellStyle name="Процентный 2 14" xfId="870"/>
    <cellStyle name="Процентный 2 15" xfId="871"/>
    <cellStyle name="Процентный 2 16" xfId="872"/>
    <cellStyle name="Процентный 2 17" xfId="873"/>
    <cellStyle name="Процентный 2 18" xfId="874"/>
    <cellStyle name="Процентный 2 19" xfId="875"/>
    <cellStyle name="Процентный 2 2" xfId="876"/>
    <cellStyle name="Процентный 2 20" xfId="877"/>
    <cellStyle name="Процентный 2 21" xfId="878"/>
    <cellStyle name="Процентный 2 22" xfId="879"/>
    <cellStyle name="Процентный 2 23" xfId="880"/>
    <cellStyle name="Процентный 2 24" xfId="881"/>
    <cellStyle name="Процентный 2 25" xfId="882"/>
    <cellStyle name="Процентный 2 26" xfId="883"/>
    <cellStyle name="Процентный 2 27" xfId="884"/>
    <cellStyle name="Процентный 2 3" xfId="885"/>
    <cellStyle name="Процентный 2 3 2" xfId="886"/>
    <cellStyle name="Процентный 2 4" xfId="887"/>
    <cellStyle name="Процентный 2 5" xfId="888"/>
    <cellStyle name="Процентный 2 6" xfId="889"/>
    <cellStyle name="Процентный 2 7" xfId="890"/>
    <cellStyle name="Процентный 2 8" xfId="891"/>
    <cellStyle name="Процентный 2 9" xfId="892"/>
    <cellStyle name="Процентный 5" xfId="893"/>
    <cellStyle name="Процентный 5 2" xfId="894"/>
    <cellStyle name="Связанная ячейка" xfId="895"/>
    <cellStyle name="Связанная ячейка 2" xfId="896"/>
    <cellStyle name="Связанная ячейка 2 2" xfId="897"/>
    <cellStyle name="Связанная ячейка 2 3" xfId="898"/>
    <cellStyle name="Связанная ячейка 2 4" xfId="899"/>
    <cellStyle name="Связанная ячейка 2 5" xfId="900"/>
    <cellStyle name="Связанная ячейка 3" xfId="901"/>
    <cellStyle name="Связанная ячейка 3 2" xfId="902"/>
    <cellStyle name="Связанная ячейка 3 3" xfId="903"/>
    <cellStyle name="Связанная ячейка 3 4" xfId="904"/>
    <cellStyle name="Связанная ячейка 3 5" xfId="905"/>
    <cellStyle name="Связанная ячейка 4" xfId="906"/>
    <cellStyle name="Связанная ячейка 4 2" xfId="907"/>
    <cellStyle name="Связанная ячейка 4 3" xfId="908"/>
    <cellStyle name="Связанная ячейка 4 4" xfId="909"/>
    <cellStyle name="Связанная ячейка 4 5" xfId="910"/>
    <cellStyle name="Связанная ячейка 5" xfId="911"/>
    <cellStyle name="Связанная ячейка 5 2" xfId="912"/>
    <cellStyle name="Связанная ячейка 5 3" xfId="913"/>
    <cellStyle name="Связанная ячейка 5 4" xfId="914"/>
    <cellStyle name="Связанная ячейка 5 5" xfId="915"/>
    <cellStyle name="Текст предупреждения" xfId="916"/>
    <cellStyle name="Текст предупреждения 2" xfId="917"/>
    <cellStyle name="Текст предупреждения 2 2" xfId="918"/>
    <cellStyle name="Текст предупреждения 2 3" xfId="919"/>
    <cellStyle name="Текст предупреждения 2 4" xfId="920"/>
    <cellStyle name="Текст предупреждения 2 5" xfId="921"/>
    <cellStyle name="Текст предупреждения 3" xfId="922"/>
    <cellStyle name="Текст предупреждения 3 2" xfId="923"/>
    <cellStyle name="Текст предупреждения 3 3" xfId="924"/>
    <cellStyle name="Текст предупреждения 3 4" xfId="925"/>
    <cellStyle name="Текст предупреждения 3 5" xfId="926"/>
    <cellStyle name="Текст предупреждения 4" xfId="927"/>
    <cellStyle name="Текст предупреждения 4 2" xfId="928"/>
    <cellStyle name="Текст предупреждения 4 3" xfId="929"/>
    <cellStyle name="Текст предупреждения 4 4" xfId="930"/>
    <cellStyle name="Текст предупреждения 4 5" xfId="931"/>
    <cellStyle name="Текст предупреждения 5" xfId="932"/>
    <cellStyle name="Текст предупреждения 5 2" xfId="933"/>
    <cellStyle name="Текст предупреждения 5 3" xfId="934"/>
    <cellStyle name="Текст предупреждения 5 4" xfId="935"/>
    <cellStyle name="Текст предупреждения 5 5" xfId="936"/>
    <cellStyle name="Comma" xfId="937"/>
    <cellStyle name="Comma [0]" xfId="938"/>
    <cellStyle name="Хороший" xfId="939"/>
    <cellStyle name="Хороший 2" xfId="940"/>
    <cellStyle name="Хороший 2 2" xfId="941"/>
    <cellStyle name="Хороший 2 3" xfId="942"/>
    <cellStyle name="Хороший 2 4" xfId="943"/>
    <cellStyle name="Хороший 2 5" xfId="944"/>
    <cellStyle name="Хороший 3" xfId="945"/>
    <cellStyle name="Хороший 3 2" xfId="946"/>
    <cellStyle name="Хороший 3 3" xfId="947"/>
    <cellStyle name="Хороший 3 4" xfId="948"/>
    <cellStyle name="Хороший 3 5" xfId="949"/>
    <cellStyle name="Хороший 4" xfId="950"/>
    <cellStyle name="Хороший 4 2" xfId="951"/>
    <cellStyle name="Хороший 4 3" xfId="952"/>
    <cellStyle name="Хороший 4 4" xfId="953"/>
    <cellStyle name="Хороший 4 5" xfId="954"/>
    <cellStyle name="Хороший 5" xfId="955"/>
    <cellStyle name="Хороший 5 2" xfId="956"/>
    <cellStyle name="Хороший 5 3" xfId="957"/>
    <cellStyle name="Хороший 5 4" xfId="958"/>
    <cellStyle name="Хороший 5 5" xfId="959"/>
    <cellStyle name="Хороший 6" xfId="9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P432"/>
  <sheetViews>
    <sheetView tabSelected="1" view="pageBreakPreview" zoomScale="73" zoomScaleNormal="70" zoomScaleSheetLayoutView="73" zoomScalePageLayoutView="0" workbookViewId="0" topLeftCell="A1">
      <selection activeCell="A1" sqref="A1"/>
    </sheetView>
  </sheetViews>
  <sheetFormatPr defaultColWidth="9.140625" defaultRowHeight="15"/>
  <cols>
    <col min="1" max="1" width="13.00390625" style="12" customWidth="1"/>
    <col min="2" max="2" width="27.57421875" style="82" customWidth="1"/>
    <col min="3" max="3" width="63.28125" style="82" customWidth="1"/>
    <col min="4" max="4" width="17.8515625" style="12" customWidth="1"/>
    <col min="5" max="5" width="10.140625" style="12" customWidth="1"/>
    <col min="6" max="6" width="16.140625" style="13" customWidth="1"/>
    <col min="7" max="7" width="17.00390625" style="12" customWidth="1"/>
    <col min="8" max="8" width="16.00390625" style="12" customWidth="1"/>
    <col min="9" max="9" width="46.00390625" style="53" customWidth="1"/>
    <col min="10" max="10" width="15.140625" style="12" bestFit="1" customWidth="1"/>
    <col min="11" max="16384" width="9.140625" style="12" customWidth="1"/>
  </cols>
  <sheetData>
    <row r="1" spans="2:8" s="4" customFormat="1" ht="24" customHeight="1">
      <c r="B1" s="87"/>
      <c r="C1" s="87"/>
      <c r="E1" s="85"/>
      <c r="F1" s="201" t="s">
        <v>98</v>
      </c>
      <c r="G1" s="201"/>
      <c r="H1" s="86"/>
    </row>
    <row r="2" spans="2:8" s="4" customFormat="1" ht="21" customHeight="1">
      <c r="B2" s="87"/>
      <c r="C2" s="87"/>
      <c r="E2" s="85"/>
      <c r="F2" s="202" t="s">
        <v>99</v>
      </c>
      <c r="G2" s="202"/>
      <c r="H2" s="87"/>
    </row>
    <row r="3" spans="2:8" s="4" customFormat="1" ht="24.75" customHeight="1">
      <c r="B3" s="87"/>
      <c r="C3" s="87"/>
      <c r="E3" s="85"/>
      <c r="F3" s="116" t="s">
        <v>49</v>
      </c>
      <c r="G3" s="215"/>
      <c r="H3" s="215"/>
    </row>
    <row r="4" spans="1:8" s="6" customFormat="1" ht="23.25" customHeight="1">
      <c r="A4" s="5"/>
      <c r="B4" s="81"/>
      <c r="D4" s="7"/>
      <c r="F4" s="218" t="s">
        <v>100</v>
      </c>
      <c r="G4" s="218"/>
      <c r="H4" s="218"/>
    </row>
    <row r="5" spans="1:8" s="6" customFormat="1" ht="27.75" customHeight="1">
      <c r="A5" s="5"/>
      <c r="B5" s="81"/>
      <c r="D5" s="7"/>
      <c r="F5" s="215" t="s">
        <v>117</v>
      </c>
      <c r="G5" s="215"/>
      <c r="H5" s="215"/>
    </row>
    <row r="6" spans="1:8" s="6" customFormat="1" ht="33" customHeight="1">
      <c r="A6" s="5"/>
      <c r="B6" s="81"/>
      <c r="D6" s="7"/>
      <c r="E6" s="8"/>
      <c r="F6" s="215"/>
      <c r="G6" s="215"/>
      <c r="H6" s="215"/>
    </row>
    <row r="7" spans="1:8" s="4" customFormat="1" ht="30.75" customHeight="1">
      <c r="A7" s="216" t="s">
        <v>112</v>
      </c>
      <c r="B7" s="216"/>
      <c r="C7" s="216"/>
      <c r="D7" s="216"/>
      <c r="E7" s="216"/>
      <c r="F7" s="216"/>
      <c r="G7" s="216"/>
      <c r="H7" s="216"/>
    </row>
    <row r="8" spans="1:8" s="4" customFormat="1" ht="30.75" customHeight="1">
      <c r="A8" s="9"/>
      <c r="B8" s="10"/>
      <c r="C8" s="9"/>
      <c r="D8" s="9"/>
      <c r="F8" s="11"/>
      <c r="G8" s="217" t="s">
        <v>101</v>
      </c>
      <c r="H8" s="217"/>
    </row>
    <row r="9" spans="1:8" s="4" customFormat="1" ht="40.5" customHeight="1">
      <c r="A9" s="216" t="s">
        <v>113</v>
      </c>
      <c r="B9" s="216"/>
      <c r="C9" s="216"/>
      <c r="D9" s="216"/>
      <c r="E9" s="216"/>
      <c r="F9" s="216"/>
      <c r="G9" s="216"/>
      <c r="H9" s="216"/>
    </row>
    <row r="10" spans="2:9" ht="19.5" customHeight="1" thickBot="1">
      <c r="B10" s="211"/>
      <c r="C10" s="211"/>
      <c r="E10" s="13"/>
      <c r="F10" s="12"/>
      <c r="H10" s="14" t="s">
        <v>102</v>
      </c>
      <c r="I10" s="12"/>
    </row>
    <row r="11" spans="1:9" ht="85.5" customHeight="1">
      <c r="A11" s="15" t="s">
        <v>103</v>
      </c>
      <c r="B11" s="83" t="s">
        <v>64</v>
      </c>
      <c r="C11" s="212" t="s">
        <v>104</v>
      </c>
      <c r="D11" s="212" t="s">
        <v>66</v>
      </c>
      <c r="E11" s="213" t="s">
        <v>105</v>
      </c>
      <c r="F11" s="212" t="s">
        <v>106</v>
      </c>
      <c r="G11" s="212" t="s">
        <v>111</v>
      </c>
      <c r="H11" s="209" t="s">
        <v>107</v>
      </c>
      <c r="I11" s="12"/>
    </row>
    <row r="12" spans="1:9" ht="93.75" customHeight="1" thickBot="1">
      <c r="A12" s="16" t="s">
        <v>108</v>
      </c>
      <c r="B12" s="71" t="s">
        <v>109</v>
      </c>
      <c r="C12" s="190"/>
      <c r="D12" s="190"/>
      <c r="E12" s="214"/>
      <c r="F12" s="190"/>
      <c r="G12" s="190"/>
      <c r="H12" s="204"/>
      <c r="I12" s="12"/>
    </row>
    <row r="13" spans="1:9" ht="18.75" customHeight="1" thickBot="1">
      <c r="A13" s="17">
        <v>1</v>
      </c>
      <c r="B13" s="18">
        <v>2</v>
      </c>
      <c r="C13" s="18">
        <v>3</v>
      </c>
      <c r="D13" s="18">
        <v>4</v>
      </c>
      <c r="E13" s="19">
        <v>5</v>
      </c>
      <c r="F13" s="18">
        <v>6</v>
      </c>
      <c r="G13" s="18">
        <v>7</v>
      </c>
      <c r="H13" s="20">
        <v>8</v>
      </c>
      <c r="I13" s="12"/>
    </row>
    <row r="14" spans="1:10" ht="27" customHeight="1">
      <c r="A14" s="88"/>
      <c r="B14" s="21"/>
      <c r="C14" s="72" t="s">
        <v>110</v>
      </c>
      <c r="D14" s="22">
        <f>SUM(D15+D392+D96+D20+D46+D85+D16+D386+D408+D424+D94+D420+D92)</f>
        <v>512619.241</v>
      </c>
      <c r="E14" s="22"/>
      <c r="F14" s="22">
        <f>SUM(F15+F392+F96+F20+F46+F85+F16+F386+F408+F424+F94+F420+F92)</f>
        <v>435039.2637800001</v>
      </c>
      <c r="G14" s="22">
        <f>SUM(G15+G392+G96+G20+G46+G85+G16+G386+G408+G424+G94+G420+G92)</f>
        <v>120216.79</v>
      </c>
      <c r="H14" s="23"/>
      <c r="I14" s="24"/>
      <c r="J14" s="24">
        <f>SUM(G14+'таб. 4.2'!D7)</f>
        <v>210247.15000000002</v>
      </c>
    </row>
    <row r="15" spans="1:9" ht="53.25" customHeight="1">
      <c r="A15" s="78"/>
      <c r="B15" s="77"/>
      <c r="C15" s="77" t="s">
        <v>115</v>
      </c>
      <c r="D15" s="1">
        <v>25000</v>
      </c>
      <c r="E15" s="1"/>
      <c r="F15" s="1">
        <v>25000</v>
      </c>
      <c r="G15" s="1">
        <v>10000</v>
      </c>
      <c r="H15" s="25"/>
      <c r="I15" s="12"/>
    </row>
    <row r="16" spans="1:16" s="28" customFormat="1" ht="36" customHeight="1">
      <c r="A16" s="26" t="s">
        <v>120</v>
      </c>
      <c r="B16" s="77" t="s">
        <v>121</v>
      </c>
      <c r="C16" s="77"/>
      <c r="D16" s="1">
        <f>SUM(D17:D19)</f>
        <v>2498.718</v>
      </c>
      <c r="E16" s="1"/>
      <c r="F16" s="1">
        <f>SUM(F17:F19)</f>
        <v>2497.61832</v>
      </c>
      <c r="G16" s="1">
        <f>SUM(G17:G19)-G18</f>
        <v>838.7439999999999</v>
      </c>
      <c r="H16" s="25"/>
      <c r="I16" s="24"/>
      <c r="J16" s="24"/>
      <c r="K16" s="24" t="s">
        <v>344</v>
      </c>
      <c r="L16" s="24"/>
      <c r="M16" s="24"/>
      <c r="N16" s="24"/>
      <c r="O16" s="12"/>
      <c r="P16" s="27"/>
    </row>
    <row r="17" spans="1:16" s="28" customFormat="1" ht="34.5" customHeight="1">
      <c r="A17" s="210">
        <v>150101</v>
      </c>
      <c r="B17" s="196" t="s">
        <v>67</v>
      </c>
      <c r="C17" s="77" t="s">
        <v>164</v>
      </c>
      <c r="D17" s="1">
        <v>2498.718</v>
      </c>
      <c r="E17" s="29">
        <f>100-(F17/D17)*100</f>
        <v>0.04400976820913627</v>
      </c>
      <c r="F17" s="1">
        <f>D17-1.09968</f>
        <v>2497.61832</v>
      </c>
      <c r="G17" s="1">
        <v>785.192</v>
      </c>
      <c r="H17" s="75"/>
      <c r="I17" s="12"/>
      <c r="J17" s="12"/>
      <c r="K17" s="12"/>
      <c r="L17" s="12"/>
      <c r="M17" s="12"/>
      <c r="N17" s="12"/>
      <c r="P17" s="27"/>
    </row>
    <row r="18" spans="1:16" s="28" customFormat="1" ht="34.5" customHeight="1">
      <c r="A18" s="210"/>
      <c r="B18" s="196"/>
      <c r="C18" s="77" t="s">
        <v>204</v>
      </c>
      <c r="D18" s="1"/>
      <c r="E18" s="29"/>
      <c r="F18" s="1"/>
      <c r="G18" s="1">
        <v>338.049</v>
      </c>
      <c r="H18" s="75"/>
      <c r="I18" s="12"/>
      <c r="J18" s="12"/>
      <c r="K18" s="12"/>
      <c r="L18" s="12"/>
      <c r="M18" s="12"/>
      <c r="N18" s="12"/>
      <c r="P18" s="27"/>
    </row>
    <row r="19" spans="1:9" ht="200.25" customHeight="1">
      <c r="A19" s="84">
        <v>150107</v>
      </c>
      <c r="B19" s="30" t="s">
        <v>195</v>
      </c>
      <c r="C19" s="77" t="s">
        <v>460</v>
      </c>
      <c r="D19" s="1"/>
      <c r="E19" s="31"/>
      <c r="F19" s="1"/>
      <c r="G19" s="1">
        <v>53.552</v>
      </c>
      <c r="H19" s="75"/>
      <c r="I19" s="32"/>
    </row>
    <row r="20" spans="1:9" ht="75" customHeight="1">
      <c r="A20" s="78">
        <v>10</v>
      </c>
      <c r="B20" s="77" t="s">
        <v>76</v>
      </c>
      <c r="C20" s="80"/>
      <c r="D20" s="1">
        <f>SUM(D21:D45)</f>
        <v>71127.35900000001</v>
      </c>
      <c r="E20" s="29"/>
      <c r="F20" s="1">
        <f>SUM(F21:F45)</f>
        <v>58249.536620000006</v>
      </c>
      <c r="G20" s="1">
        <f>SUM(G21+G23+G25+G27+G28+G30+G32+G33+G35+G36+G41+G43+G44)</f>
        <v>18135.576</v>
      </c>
      <c r="H20" s="75"/>
      <c r="I20" s="32"/>
    </row>
    <row r="21" spans="1:9" ht="39.75" customHeight="1">
      <c r="A21" s="197" t="s">
        <v>65</v>
      </c>
      <c r="B21" s="196" t="s">
        <v>67</v>
      </c>
      <c r="C21" s="33" t="s">
        <v>197</v>
      </c>
      <c r="D21" s="1">
        <v>6379.139</v>
      </c>
      <c r="E21" s="29">
        <f aca="true" t="shared" si="0" ref="E21:E44">100-(F21/D21)*100</f>
        <v>57.21118241819154</v>
      </c>
      <c r="F21" s="1">
        <f>D21-(1687.311+344.04021+44.9761+181.131+636.19824+755.9243)</f>
        <v>2729.5581500000003</v>
      </c>
      <c r="G21" s="1">
        <f>1388.547-28</f>
        <v>1360.547</v>
      </c>
      <c r="H21" s="203" t="s">
        <v>118</v>
      </c>
      <c r="I21" s="32"/>
    </row>
    <row r="22" spans="1:16" s="28" customFormat="1" ht="34.5" customHeight="1">
      <c r="A22" s="197"/>
      <c r="B22" s="196"/>
      <c r="C22" s="77" t="s">
        <v>204</v>
      </c>
      <c r="D22" s="1"/>
      <c r="E22" s="29"/>
      <c r="F22" s="1"/>
      <c r="G22" s="1">
        <v>12.354</v>
      </c>
      <c r="H22" s="203"/>
      <c r="I22" s="12"/>
      <c r="J22" s="12"/>
      <c r="K22" s="12"/>
      <c r="L22" s="12"/>
      <c r="M22" s="12"/>
      <c r="N22" s="12"/>
      <c r="P22" s="27"/>
    </row>
    <row r="23" spans="1:9" ht="56.25" customHeight="1">
      <c r="A23" s="197" t="s">
        <v>65</v>
      </c>
      <c r="B23" s="196" t="s">
        <v>67</v>
      </c>
      <c r="C23" s="77" t="s">
        <v>62</v>
      </c>
      <c r="D23" s="34">
        <v>9880.23</v>
      </c>
      <c r="E23" s="29">
        <f t="shared" si="0"/>
        <v>12.917739465579231</v>
      </c>
      <c r="F23" s="1">
        <f>D23-(1069.7+206.46924+0.13313)</f>
        <v>8603.92763</v>
      </c>
      <c r="G23" s="1">
        <f>50-37.4</f>
        <v>12.600000000000001</v>
      </c>
      <c r="H23" s="203" t="s">
        <v>118</v>
      </c>
      <c r="I23" s="32"/>
    </row>
    <row r="24" spans="1:16" s="28" customFormat="1" ht="36" customHeight="1">
      <c r="A24" s="197"/>
      <c r="B24" s="196"/>
      <c r="C24" s="77" t="s">
        <v>204</v>
      </c>
      <c r="D24" s="1"/>
      <c r="E24" s="29"/>
      <c r="F24" s="1"/>
      <c r="G24" s="1">
        <v>4.796</v>
      </c>
      <c r="H24" s="203"/>
      <c r="I24" s="12"/>
      <c r="J24" s="12"/>
      <c r="K24" s="12"/>
      <c r="L24" s="12"/>
      <c r="M24" s="12"/>
      <c r="N24" s="12"/>
      <c r="P24" s="27"/>
    </row>
    <row r="25" spans="1:9" ht="57.75" customHeight="1">
      <c r="A25" s="198" t="s">
        <v>65</v>
      </c>
      <c r="B25" s="190" t="s">
        <v>67</v>
      </c>
      <c r="C25" s="33" t="s">
        <v>449</v>
      </c>
      <c r="D25" s="1">
        <v>3519.492</v>
      </c>
      <c r="E25" s="29">
        <f t="shared" si="0"/>
        <v>38.6008406895086</v>
      </c>
      <c r="F25" s="1">
        <f>D25-(749.9996+98.7815+273.5188+182.1816+54.072)</f>
        <v>2160.9385</v>
      </c>
      <c r="G25" s="1">
        <v>130.816</v>
      </c>
      <c r="H25" s="204"/>
      <c r="I25" s="32"/>
    </row>
    <row r="26" spans="1:16" s="28" customFormat="1" ht="36" customHeight="1">
      <c r="A26" s="199"/>
      <c r="B26" s="192"/>
      <c r="C26" s="77" t="s">
        <v>204</v>
      </c>
      <c r="D26" s="1"/>
      <c r="E26" s="29"/>
      <c r="F26" s="1"/>
      <c r="G26" s="1">
        <v>130.816</v>
      </c>
      <c r="H26" s="205"/>
      <c r="I26" s="12"/>
      <c r="J26" s="12"/>
      <c r="K26" s="12"/>
      <c r="L26" s="12"/>
      <c r="M26" s="12"/>
      <c r="N26" s="12"/>
      <c r="P26" s="27"/>
    </row>
    <row r="27" spans="1:9" ht="94.5" customHeight="1">
      <c r="A27" s="76" t="s">
        <v>65</v>
      </c>
      <c r="B27" s="77" t="s">
        <v>67</v>
      </c>
      <c r="C27" s="77" t="s">
        <v>178</v>
      </c>
      <c r="D27" s="1">
        <v>650</v>
      </c>
      <c r="E27" s="29">
        <f t="shared" si="0"/>
        <v>0</v>
      </c>
      <c r="F27" s="1">
        <f>D27</f>
        <v>650</v>
      </c>
      <c r="G27" s="1">
        <v>250</v>
      </c>
      <c r="H27" s="75" t="s">
        <v>118</v>
      </c>
      <c r="I27" s="32"/>
    </row>
    <row r="28" spans="1:9" ht="60.75" customHeight="1">
      <c r="A28" s="197" t="s">
        <v>65</v>
      </c>
      <c r="B28" s="196" t="s">
        <v>67</v>
      </c>
      <c r="C28" s="33" t="s">
        <v>82</v>
      </c>
      <c r="D28" s="1">
        <v>1002.696</v>
      </c>
      <c r="E28" s="29">
        <f t="shared" si="0"/>
        <v>54.72243232245865</v>
      </c>
      <c r="F28" s="1">
        <f>D28-(21.29719+527.40245)</f>
        <v>453.99636</v>
      </c>
      <c r="G28" s="1">
        <v>453.996</v>
      </c>
      <c r="H28" s="203" t="s">
        <v>118</v>
      </c>
      <c r="I28" s="32"/>
    </row>
    <row r="29" spans="1:16" s="28" customFormat="1" ht="36.75" customHeight="1">
      <c r="A29" s="197"/>
      <c r="B29" s="196"/>
      <c r="C29" s="77" t="s">
        <v>204</v>
      </c>
      <c r="D29" s="1"/>
      <c r="E29" s="29"/>
      <c r="F29" s="1"/>
      <c r="G29" s="1">
        <v>133.606</v>
      </c>
      <c r="H29" s="203"/>
      <c r="I29" s="12"/>
      <c r="J29" s="12"/>
      <c r="K29" s="12"/>
      <c r="L29" s="12"/>
      <c r="M29" s="12"/>
      <c r="N29" s="12"/>
      <c r="P29" s="27"/>
    </row>
    <row r="30" spans="1:9" ht="72" customHeight="1">
      <c r="A30" s="197" t="s">
        <v>65</v>
      </c>
      <c r="B30" s="196" t="s">
        <v>67</v>
      </c>
      <c r="C30" s="77" t="s">
        <v>461</v>
      </c>
      <c r="D30" s="1">
        <v>18173.318</v>
      </c>
      <c r="E30" s="29">
        <f t="shared" si="0"/>
        <v>14.085337526146844</v>
      </c>
      <c r="F30" s="1">
        <f>D30-(202.12564+117.93706+2239.71048)</f>
        <v>15613.54482</v>
      </c>
      <c r="G30" s="98">
        <f>13329.578-394-1500-911</f>
        <v>10524.578</v>
      </c>
      <c r="H30" s="203" t="s">
        <v>118</v>
      </c>
      <c r="I30" s="32"/>
    </row>
    <row r="31" spans="1:16" s="28" customFormat="1" ht="33.75" customHeight="1">
      <c r="A31" s="197"/>
      <c r="B31" s="196"/>
      <c r="C31" s="77" t="s">
        <v>204</v>
      </c>
      <c r="D31" s="1"/>
      <c r="E31" s="29"/>
      <c r="F31" s="1"/>
      <c r="G31" s="1">
        <v>87.775</v>
      </c>
      <c r="H31" s="203"/>
      <c r="I31" s="12"/>
      <c r="J31" s="12"/>
      <c r="K31" s="12"/>
      <c r="L31" s="12"/>
      <c r="M31" s="12"/>
      <c r="N31" s="12"/>
      <c r="P31" s="27"/>
    </row>
    <row r="32" spans="1:9" ht="75" customHeight="1">
      <c r="A32" s="76" t="s">
        <v>65</v>
      </c>
      <c r="B32" s="77" t="s">
        <v>67</v>
      </c>
      <c r="C32" s="77" t="s">
        <v>74</v>
      </c>
      <c r="D32" s="1">
        <v>4860</v>
      </c>
      <c r="E32" s="29">
        <f>100-(F32/D32)*100</f>
        <v>0</v>
      </c>
      <c r="F32" s="1">
        <f>D32</f>
        <v>4860</v>
      </c>
      <c r="G32" s="1">
        <f>4301.039-4000-100</f>
        <v>201.03899999999976</v>
      </c>
      <c r="H32" s="75" t="s">
        <v>118</v>
      </c>
      <c r="I32" s="32"/>
    </row>
    <row r="33" spans="1:9" ht="57.75" customHeight="1">
      <c r="A33" s="197" t="s">
        <v>65</v>
      </c>
      <c r="B33" s="196" t="s">
        <v>67</v>
      </c>
      <c r="C33" s="33" t="s">
        <v>75</v>
      </c>
      <c r="D33" s="1">
        <v>12772.817</v>
      </c>
      <c r="E33" s="29">
        <f t="shared" si="0"/>
        <v>2.3487352868204425</v>
      </c>
      <c r="F33" s="1">
        <f>D33-(285.87266+14.127)</f>
        <v>12472.81734</v>
      </c>
      <c r="G33" s="1">
        <f>320.658-295.845</f>
        <v>24.812999999999988</v>
      </c>
      <c r="H33" s="203" t="s">
        <v>118</v>
      </c>
      <c r="I33" s="32"/>
    </row>
    <row r="34" spans="1:16" s="28" customFormat="1" ht="36.75" customHeight="1">
      <c r="A34" s="197"/>
      <c r="B34" s="196"/>
      <c r="C34" s="77" t="s">
        <v>204</v>
      </c>
      <c r="D34" s="1"/>
      <c r="E34" s="29"/>
      <c r="F34" s="1"/>
      <c r="G34" s="1">
        <v>20.684</v>
      </c>
      <c r="H34" s="203"/>
      <c r="I34" s="12"/>
      <c r="J34" s="12"/>
      <c r="K34" s="12"/>
      <c r="L34" s="12"/>
      <c r="M34" s="12"/>
      <c r="N34" s="12"/>
      <c r="P34" s="27"/>
    </row>
    <row r="35" spans="1:9" ht="54.75" customHeight="1">
      <c r="A35" s="76" t="s">
        <v>65</v>
      </c>
      <c r="B35" s="77" t="s">
        <v>67</v>
      </c>
      <c r="C35" s="77" t="s">
        <v>87</v>
      </c>
      <c r="D35" s="1">
        <v>600</v>
      </c>
      <c r="E35" s="29">
        <f t="shared" si="0"/>
        <v>50</v>
      </c>
      <c r="F35" s="1">
        <f>D35-300</f>
        <v>300</v>
      </c>
      <c r="G35" s="1">
        <v>300</v>
      </c>
      <c r="H35" s="75" t="s">
        <v>118</v>
      </c>
      <c r="I35" s="32"/>
    </row>
    <row r="36" spans="1:9" ht="57.75" customHeight="1">
      <c r="A36" s="198" t="s">
        <v>65</v>
      </c>
      <c r="B36" s="190" t="s">
        <v>67</v>
      </c>
      <c r="C36" s="77" t="s">
        <v>176</v>
      </c>
      <c r="D36" s="1">
        <v>7650.634</v>
      </c>
      <c r="E36" s="29">
        <f t="shared" si="0"/>
        <v>0</v>
      </c>
      <c r="F36" s="1">
        <f>SUM(D36)</f>
        <v>7650.634</v>
      </c>
      <c r="G36" s="1">
        <f>SUM(G38+G39)</f>
        <v>2915.172</v>
      </c>
      <c r="H36" s="204" t="s">
        <v>118</v>
      </c>
      <c r="I36" s="32"/>
    </row>
    <row r="37" spans="1:9" ht="21.75" customHeight="1">
      <c r="A37" s="208"/>
      <c r="B37" s="191"/>
      <c r="C37" s="77" t="s">
        <v>458</v>
      </c>
      <c r="D37" s="1"/>
      <c r="E37" s="29"/>
      <c r="F37" s="1"/>
      <c r="G37" s="1"/>
      <c r="H37" s="161"/>
      <c r="I37" s="32"/>
    </row>
    <row r="38" spans="1:16" s="28" customFormat="1" ht="55.5" customHeight="1">
      <c r="A38" s="208"/>
      <c r="B38" s="191"/>
      <c r="C38" s="77" t="s">
        <v>0</v>
      </c>
      <c r="D38" s="1"/>
      <c r="E38" s="29"/>
      <c r="F38" s="1"/>
      <c r="G38" s="1">
        <v>1250</v>
      </c>
      <c r="H38" s="161"/>
      <c r="I38" s="12"/>
      <c r="J38" s="12"/>
      <c r="K38" s="12"/>
      <c r="L38" s="12"/>
      <c r="M38" s="12"/>
      <c r="N38" s="12"/>
      <c r="P38" s="27"/>
    </row>
    <row r="39" spans="1:16" s="28" customFormat="1" ht="26.25" customHeight="1">
      <c r="A39" s="208"/>
      <c r="B39" s="191"/>
      <c r="C39" s="77" t="s">
        <v>459</v>
      </c>
      <c r="D39" s="1"/>
      <c r="E39" s="29"/>
      <c r="F39" s="1"/>
      <c r="G39" s="1">
        <v>1665.172</v>
      </c>
      <c r="H39" s="161"/>
      <c r="I39" s="12"/>
      <c r="J39" s="12"/>
      <c r="K39" s="12"/>
      <c r="L39" s="12"/>
      <c r="M39" s="12"/>
      <c r="N39" s="12"/>
      <c r="P39" s="27"/>
    </row>
    <row r="40" spans="1:16" s="28" customFormat="1" ht="35.25" customHeight="1">
      <c r="A40" s="199"/>
      <c r="B40" s="192"/>
      <c r="C40" s="77" t="s">
        <v>204</v>
      </c>
      <c r="D40" s="1"/>
      <c r="E40" s="29"/>
      <c r="F40" s="1"/>
      <c r="G40" s="1">
        <v>105.172</v>
      </c>
      <c r="H40" s="205"/>
      <c r="I40" s="12"/>
      <c r="J40" s="12"/>
      <c r="K40" s="12"/>
      <c r="L40" s="12"/>
      <c r="M40" s="12"/>
      <c r="N40" s="12"/>
      <c r="P40" s="27"/>
    </row>
    <row r="41" spans="1:9" ht="53.25" customHeight="1">
      <c r="A41" s="197" t="s">
        <v>65</v>
      </c>
      <c r="B41" s="196" t="s">
        <v>67</v>
      </c>
      <c r="C41" s="77" t="s">
        <v>165</v>
      </c>
      <c r="D41" s="1">
        <v>1000</v>
      </c>
      <c r="E41" s="29">
        <f t="shared" si="0"/>
        <v>0</v>
      </c>
      <c r="F41" s="1">
        <f>SUM(D41)</f>
        <v>1000</v>
      </c>
      <c r="G41" s="1">
        <v>270</v>
      </c>
      <c r="H41" s="203" t="s">
        <v>118</v>
      </c>
      <c r="I41" s="32"/>
    </row>
    <row r="42" spans="1:16" s="28" customFormat="1" ht="35.25" customHeight="1">
      <c r="A42" s="197"/>
      <c r="B42" s="196"/>
      <c r="C42" s="77" t="s">
        <v>204</v>
      </c>
      <c r="D42" s="1"/>
      <c r="E42" s="29"/>
      <c r="F42" s="1"/>
      <c r="G42" s="1">
        <v>181.427</v>
      </c>
      <c r="H42" s="203"/>
      <c r="I42" s="12"/>
      <c r="J42" s="12"/>
      <c r="K42" s="12"/>
      <c r="L42" s="12"/>
      <c r="M42" s="12"/>
      <c r="N42" s="12"/>
      <c r="P42" s="27"/>
    </row>
    <row r="43" spans="1:9" ht="77.25" customHeight="1">
      <c r="A43" s="76" t="s">
        <v>65</v>
      </c>
      <c r="B43" s="77" t="s">
        <v>67</v>
      </c>
      <c r="C43" s="77" t="s">
        <v>206</v>
      </c>
      <c r="D43" s="1">
        <v>2105.695</v>
      </c>
      <c r="E43" s="29">
        <f t="shared" si="0"/>
        <v>92.30915683420437</v>
      </c>
      <c r="F43" s="1">
        <f>D43-158.60085-1785.14845</f>
        <v>161.94570000000022</v>
      </c>
      <c r="G43" s="1">
        <v>33.996</v>
      </c>
      <c r="H43" s="75" t="s">
        <v>118</v>
      </c>
      <c r="I43" s="32"/>
    </row>
    <row r="44" spans="1:9" ht="37.5" customHeight="1">
      <c r="A44" s="197" t="s">
        <v>65</v>
      </c>
      <c r="B44" s="196" t="s">
        <v>67</v>
      </c>
      <c r="C44" s="77" t="s">
        <v>230</v>
      </c>
      <c r="D44" s="1">
        <v>2533.338</v>
      </c>
      <c r="E44" s="29">
        <f t="shared" si="0"/>
        <v>37.15113735316803</v>
      </c>
      <c r="F44" s="94">
        <f>SUM(D44-941.16388)</f>
        <v>1592.1741200000001</v>
      </c>
      <c r="G44" s="94">
        <f>1592.174+65.845</f>
        <v>1658.019</v>
      </c>
      <c r="H44" s="203" t="s">
        <v>118</v>
      </c>
      <c r="I44" s="32"/>
    </row>
    <row r="45" spans="1:16" s="28" customFormat="1" ht="34.5" customHeight="1">
      <c r="A45" s="197"/>
      <c r="B45" s="196"/>
      <c r="C45" s="77" t="s">
        <v>204</v>
      </c>
      <c r="D45" s="1"/>
      <c r="E45" s="29"/>
      <c r="F45" s="1"/>
      <c r="G45" s="1">
        <v>474.681</v>
      </c>
      <c r="H45" s="203"/>
      <c r="I45" s="12"/>
      <c r="J45" s="12"/>
      <c r="K45" s="12"/>
      <c r="L45" s="12"/>
      <c r="M45" s="12"/>
      <c r="N45" s="12"/>
      <c r="P45" s="27"/>
    </row>
    <row r="46" spans="1:9" ht="74.25" customHeight="1">
      <c r="A46" s="78">
        <v>14</v>
      </c>
      <c r="B46" s="77" t="s">
        <v>77</v>
      </c>
      <c r="C46" s="80"/>
      <c r="D46" s="1">
        <f>SUM(D47:D80)</f>
        <v>51812.183999999994</v>
      </c>
      <c r="E46" s="29"/>
      <c r="F46" s="1">
        <f>SUM(F47:F80)</f>
        <v>33851.62736</v>
      </c>
      <c r="G46" s="1">
        <f>SUM(G47+G49+G50+G52+G53+G58+G60+G65+G67+G72+G74+G75+G76+G78+G79+G80+G84)</f>
        <v>16263.732</v>
      </c>
      <c r="H46" s="75"/>
      <c r="I46" s="32"/>
    </row>
    <row r="47" spans="1:9" ht="77.25" customHeight="1">
      <c r="A47" s="197" t="s">
        <v>65</v>
      </c>
      <c r="B47" s="196" t="s">
        <v>67</v>
      </c>
      <c r="C47" s="35" t="s">
        <v>73</v>
      </c>
      <c r="D47" s="1">
        <v>8930.226</v>
      </c>
      <c r="E47" s="29">
        <f>100-(F47/D47)*100</f>
        <v>16.202676841549135</v>
      </c>
      <c r="F47" s="1">
        <f>D47-(5.555+683.13948+758.24118)</f>
        <v>7483.2903400000005</v>
      </c>
      <c r="G47" s="98">
        <f>3651.111-118.395-25.5-10.183</f>
        <v>3497.033</v>
      </c>
      <c r="H47" s="203" t="s">
        <v>118</v>
      </c>
      <c r="I47" s="32"/>
    </row>
    <row r="48" spans="1:16" s="28" customFormat="1" ht="36.75" customHeight="1">
      <c r="A48" s="197"/>
      <c r="B48" s="196"/>
      <c r="C48" s="77" t="s">
        <v>204</v>
      </c>
      <c r="D48" s="1"/>
      <c r="E48" s="29"/>
      <c r="F48" s="1"/>
      <c r="G48" s="1">
        <v>1152.941</v>
      </c>
      <c r="H48" s="203"/>
      <c r="I48" s="12"/>
      <c r="J48" s="12"/>
      <c r="K48" s="12"/>
      <c r="L48" s="12"/>
      <c r="M48" s="12"/>
      <c r="N48" s="12"/>
      <c r="P48" s="27"/>
    </row>
    <row r="49" spans="1:10" ht="94.5" customHeight="1">
      <c r="A49" s="76" t="s">
        <v>65</v>
      </c>
      <c r="B49" s="77" t="s">
        <v>67</v>
      </c>
      <c r="C49" s="90" t="s">
        <v>446</v>
      </c>
      <c r="D49" s="1">
        <v>7053.562</v>
      </c>
      <c r="E49" s="29">
        <f>100-(F49/D49)*100</f>
        <v>62.832233841568275</v>
      </c>
      <c r="F49" s="1">
        <f>D49-(1131.01602+23.73674+2.4632+1732.00326+753.14493+789.54642)</f>
        <v>2621.65143</v>
      </c>
      <c r="G49" s="1">
        <v>1523.421</v>
      </c>
      <c r="H49" s="75" t="s">
        <v>118</v>
      </c>
      <c r="I49" s="32"/>
      <c r="J49" s="24"/>
    </row>
    <row r="50" spans="1:9" ht="93.75" customHeight="1">
      <c r="A50" s="197" t="s">
        <v>65</v>
      </c>
      <c r="B50" s="196" t="s">
        <v>67</v>
      </c>
      <c r="C50" s="90" t="s">
        <v>349</v>
      </c>
      <c r="D50" s="1">
        <v>1048.962</v>
      </c>
      <c r="E50" s="29">
        <f>100-(F50/D50)*100</f>
        <v>73.15644704002624</v>
      </c>
      <c r="F50" s="1">
        <f>SUM(D50-767.38333)</f>
        <v>281.57867</v>
      </c>
      <c r="G50" s="1">
        <v>251.714</v>
      </c>
      <c r="H50" s="203" t="s">
        <v>118</v>
      </c>
      <c r="I50" s="32"/>
    </row>
    <row r="51" spans="1:16" s="28" customFormat="1" ht="37.5" customHeight="1">
      <c r="A51" s="197"/>
      <c r="B51" s="196"/>
      <c r="C51" s="77" t="s">
        <v>204</v>
      </c>
      <c r="D51" s="1"/>
      <c r="E51" s="29"/>
      <c r="F51" s="1"/>
      <c r="G51" s="1">
        <v>1.714</v>
      </c>
      <c r="H51" s="203"/>
      <c r="I51" s="12"/>
      <c r="J51" s="12"/>
      <c r="K51" s="12"/>
      <c r="L51" s="12"/>
      <c r="M51" s="12"/>
      <c r="N51" s="12"/>
      <c r="P51" s="27"/>
    </row>
    <row r="52" spans="1:9" ht="112.5" customHeight="1">
      <c r="A52" s="76" t="s">
        <v>65</v>
      </c>
      <c r="B52" s="77" t="s">
        <v>67</v>
      </c>
      <c r="C52" s="36" t="s">
        <v>207</v>
      </c>
      <c r="D52" s="1">
        <v>350</v>
      </c>
      <c r="E52" s="29">
        <f>100-(F52/D52)*100</f>
        <v>0</v>
      </c>
      <c r="F52" s="1">
        <f>SUM(D52-0)</f>
        <v>350</v>
      </c>
      <c r="G52" s="1">
        <v>89.114</v>
      </c>
      <c r="H52" s="75" t="s">
        <v>118</v>
      </c>
      <c r="I52" s="32"/>
    </row>
    <row r="53" spans="1:9" ht="72" customHeight="1">
      <c r="A53" s="198" t="s">
        <v>65</v>
      </c>
      <c r="B53" s="190" t="s">
        <v>67</v>
      </c>
      <c r="C53" s="90" t="s">
        <v>231</v>
      </c>
      <c r="D53" s="1">
        <v>3575.299</v>
      </c>
      <c r="E53" s="29">
        <f>100-(F53/D53)*100</f>
        <v>4.7160995485971995</v>
      </c>
      <c r="F53" s="1">
        <f>D53-(30.1488+136.05183+2.41403)</f>
        <v>3406.68434</v>
      </c>
      <c r="G53" s="1">
        <f>SUM(G55+G56)</f>
        <v>3406.684</v>
      </c>
      <c r="H53" s="204" t="s">
        <v>118</v>
      </c>
      <c r="I53" s="32"/>
    </row>
    <row r="54" spans="1:9" ht="23.25" customHeight="1">
      <c r="A54" s="208"/>
      <c r="B54" s="191"/>
      <c r="C54" s="77" t="s">
        <v>458</v>
      </c>
      <c r="D54" s="1"/>
      <c r="E54" s="29"/>
      <c r="F54" s="1"/>
      <c r="G54" s="1"/>
      <c r="H54" s="161"/>
      <c r="I54" s="32"/>
    </row>
    <row r="55" spans="1:16" s="28" customFormat="1" ht="58.5" customHeight="1">
      <c r="A55" s="208"/>
      <c r="B55" s="191"/>
      <c r="C55" s="77" t="s">
        <v>0</v>
      </c>
      <c r="D55" s="1"/>
      <c r="E55" s="29"/>
      <c r="F55" s="1"/>
      <c r="G55" s="1">
        <v>2500</v>
      </c>
      <c r="H55" s="161"/>
      <c r="I55" s="12"/>
      <c r="J55" s="12"/>
      <c r="K55" s="12"/>
      <c r="L55" s="12"/>
      <c r="M55" s="12"/>
      <c r="N55" s="12"/>
      <c r="P55" s="27"/>
    </row>
    <row r="56" spans="1:16" s="28" customFormat="1" ht="23.25" customHeight="1">
      <c r="A56" s="208"/>
      <c r="B56" s="191"/>
      <c r="C56" s="77" t="s">
        <v>459</v>
      </c>
      <c r="D56" s="1"/>
      <c r="E56" s="29"/>
      <c r="F56" s="1"/>
      <c r="G56" s="1">
        <v>906.684</v>
      </c>
      <c r="H56" s="161"/>
      <c r="I56" s="12"/>
      <c r="J56" s="12"/>
      <c r="K56" s="12"/>
      <c r="L56" s="12"/>
      <c r="M56" s="12"/>
      <c r="N56" s="12"/>
      <c r="P56" s="27"/>
    </row>
    <row r="57" spans="1:16" s="28" customFormat="1" ht="36" customHeight="1">
      <c r="A57" s="199"/>
      <c r="B57" s="192"/>
      <c r="C57" s="77" t="s">
        <v>204</v>
      </c>
      <c r="D57" s="1"/>
      <c r="E57" s="29"/>
      <c r="F57" s="1"/>
      <c r="G57" s="1">
        <v>3.475</v>
      </c>
      <c r="H57" s="205"/>
      <c r="I57" s="12"/>
      <c r="J57" s="12"/>
      <c r="K57" s="12"/>
      <c r="L57" s="12"/>
      <c r="M57" s="12"/>
      <c r="N57" s="12"/>
      <c r="P57" s="27"/>
    </row>
    <row r="58" spans="1:9" ht="59.25" customHeight="1">
      <c r="A58" s="197" t="s">
        <v>65</v>
      </c>
      <c r="B58" s="196" t="s">
        <v>67</v>
      </c>
      <c r="C58" s="35" t="s">
        <v>267</v>
      </c>
      <c r="D58" s="37">
        <v>5540.75</v>
      </c>
      <c r="E58" s="29">
        <f>100-(F58/D58)*100</f>
        <v>82.35426269006904</v>
      </c>
      <c r="F58" s="1">
        <f>D58-3400.219-1162.82481</f>
        <v>977.7061899999999</v>
      </c>
      <c r="G58" s="1">
        <f>914.777-535</f>
        <v>379.77700000000004</v>
      </c>
      <c r="H58" s="75" t="s">
        <v>118</v>
      </c>
      <c r="I58" s="32"/>
    </row>
    <row r="59" spans="1:16" s="28" customFormat="1" ht="35.25" customHeight="1">
      <c r="A59" s="197"/>
      <c r="B59" s="196"/>
      <c r="C59" s="77" t="s">
        <v>204</v>
      </c>
      <c r="D59" s="1"/>
      <c r="E59" s="29"/>
      <c r="F59" s="1"/>
      <c r="G59" s="1">
        <v>102.55</v>
      </c>
      <c r="H59" s="75"/>
      <c r="I59" s="12"/>
      <c r="J59" s="12"/>
      <c r="K59" s="12"/>
      <c r="L59" s="12"/>
      <c r="M59" s="12"/>
      <c r="N59" s="12"/>
      <c r="P59" s="27"/>
    </row>
    <row r="60" spans="1:9" ht="63" customHeight="1">
      <c r="A60" s="198" t="s">
        <v>65</v>
      </c>
      <c r="B60" s="190" t="s">
        <v>67</v>
      </c>
      <c r="C60" s="2" t="s">
        <v>2</v>
      </c>
      <c r="D60" s="34">
        <v>2351.685</v>
      </c>
      <c r="E60" s="29">
        <f>100-(F60/D60)*100</f>
        <v>5.526758047952853</v>
      </c>
      <c r="F60" s="1">
        <f>SUM(D60-129.97194)</f>
        <v>2221.71306</v>
      </c>
      <c r="G60" s="1">
        <f>SUM(G62+G63)</f>
        <v>1658.1390000000001</v>
      </c>
      <c r="H60" s="204" t="s">
        <v>118</v>
      </c>
      <c r="I60" s="32"/>
    </row>
    <row r="61" spans="1:9" ht="20.25" customHeight="1">
      <c r="A61" s="208"/>
      <c r="B61" s="191"/>
      <c r="C61" s="77" t="s">
        <v>458</v>
      </c>
      <c r="D61" s="1"/>
      <c r="E61" s="29"/>
      <c r="F61" s="1"/>
      <c r="G61" s="1"/>
      <c r="H61" s="161"/>
      <c r="I61" s="32"/>
    </row>
    <row r="62" spans="1:9" ht="56.25" customHeight="1">
      <c r="A62" s="208"/>
      <c r="B62" s="191"/>
      <c r="C62" s="77" t="s">
        <v>0</v>
      </c>
      <c r="D62" s="1"/>
      <c r="E62" s="29"/>
      <c r="F62" s="1"/>
      <c r="G62" s="1">
        <v>1250</v>
      </c>
      <c r="H62" s="161"/>
      <c r="I62" s="32"/>
    </row>
    <row r="63" spans="1:9" ht="27" customHeight="1">
      <c r="A63" s="208"/>
      <c r="B63" s="191"/>
      <c r="C63" s="77" t="s">
        <v>459</v>
      </c>
      <c r="D63" s="1"/>
      <c r="E63" s="29"/>
      <c r="F63" s="1"/>
      <c r="G63" s="1">
        <f>1008.139-600</f>
        <v>408.139</v>
      </c>
      <c r="H63" s="161"/>
      <c r="I63" s="32"/>
    </row>
    <row r="64" spans="1:9" ht="35.25" customHeight="1">
      <c r="A64" s="199"/>
      <c r="B64" s="192"/>
      <c r="C64" s="77" t="s">
        <v>204</v>
      </c>
      <c r="D64" s="1"/>
      <c r="E64" s="29"/>
      <c r="F64" s="1"/>
      <c r="G64" s="1">
        <v>58.765</v>
      </c>
      <c r="H64" s="205"/>
      <c r="I64" s="32"/>
    </row>
    <row r="65" spans="1:9" ht="54" customHeight="1">
      <c r="A65" s="198" t="s">
        <v>65</v>
      </c>
      <c r="B65" s="190" t="s">
        <v>67</v>
      </c>
      <c r="C65" s="2" t="s">
        <v>16</v>
      </c>
      <c r="D65" s="1">
        <v>1200</v>
      </c>
      <c r="E65" s="29">
        <f>100-(F65/D65)*100</f>
        <v>11.818135000000012</v>
      </c>
      <c r="F65" s="1">
        <f>SUM(D65-141.81762)</f>
        <v>1058.18238</v>
      </c>
      <c r="G65" s="1">
        <f>58.183+20</f>
        <v>78.18299999999999</v>
      </c>
      <c r="H65" s="204" t="s">
        <v>118</v>
      </c>
      <c r="I65" s="32"/>
    </row>
    <row r="66" spans="1:9" ht="35.25" customHeight="1">
      <c r="A66" s="199"/>
      <c r="B66" s="192"/>
      <c r="C66" s="77" t="s">
        <v>204</v>
      </c>
      <c r="D66" s="1"/>
      <c r="E66" s="29"/>
      <c r="F66" s="1"/>
      <c r="G66" s="1">
        <v>58.183</v>
      </c>
      <c r="H66" s="205"/>
      <c r="I66" s="32"/>
    </row>
    <row r="67" spans="1:9" ht="74.25" customHeight="1">
      <c r="A67" s="198" t="s">
        <v>65</v>
      </c>
      <c r="B67" s="190" t="s">
        <v>67</v>
      </c>
      <c r="C67" s="2" t="s">
        <v>3</v>
      </c>
      <c r="D67" s="1">
        <v>1823.888</v>
      </c>
      <c r="E67" s="29">
        <f>100-(F67/D67)*100</f>
        <v>5.506943408805796</v>
      </c>
      <c r="F67" s="1">
        <f>SUM(D67-100.44048)</f>
        <v>1723.44752</v>
      </c>
      <c r="G67" s="1">
        <f>SUM(G69+G70)</f>
        <v>1723.448</v>
      </c>
      <c r="H67" s="204" t="s">
        <v>118</v>
      </c>
      <c r="I67" s="32"/>
    </row>
    <row r="68" spans="1:9" ht="21.75" customHeight="1">
      <c r="A68" s="208"/>
      <c r="B68" s="191"/>
      <c r="C68" s="77" t="s">
        <v>458</v>
      </c>
      <c r="D68" s="1"/>
      <c r="E68" s="29"/>
      <c r="F68" s="1"/>
      <c r="G68" s="1"/>
      <c r="H68" s="161"/>
      <c r="I68" s="32"/>
    </row>
    <row r="69" spans="1:9" ht="54.75" customHeight="1">
      <c r="A69" s="208"/>
      <c r="B69" s="191"/>
      <c r="C69" s="77" t="s">
        <v>0</v>
      </c>
      <c r="D69" s="1"/>
      <c r="E69" s="29"/>
      <c r="F69" s="1"/>
      <c r="G69" s="1">
        <v>1673.25</v>
      </c>
      <c r="H69" s="161"/>
      <c r="I69" s="32"/>
    </row>
    <row r="70" spans="1:9" ht="25.5" customHeight="1">
      <c r="A70" s="208"/>
      <c r="B70" s="191"/>
      <c r="C70" s="77" t="s">
        <v>459</v>
      </c>
      <c r="D70" s="1"/>
      <c r="E70" s="29"/>
      <c r="F70" s="1"/>
      <c r="G70" s="1">
        <v>50.198</v>
      </c>
      <c r="H70" s="161"/>
      <c r="I70" s="32"/>
    </row>
    <row r="71" spans="1:9" ht="39.75" customHeight="1">
      <c r="A71" s="199"/>
      <c r="B71" s="192"/>
      <c r="C71" s="77" t="s">
        <v>204</v>
      </c>
      <c r="D71" s="1"/>
      <c r="E71" s="29"/>
      <c r="F71" s="1"/>
      <c r="G71" s="1">
        <v>45.634</v>
      </c>
      <c r="H71" s="205"/>
      <c r="I71" s="32"/>
    </row>
    <row r="72" spans="1:9" ht="54" customHeight="1">
      <c r="A72" s="197" t="s">
        <v>65</v>
      </c>
      <c r="B72" s="196" t="s">
        <v>67</v>
      </c>
      <c r="C72" s="90" t="s">
        <v>257</v>
      </c>
      <c r="D72" s="1">
        <f>300+20.647</f>
        <v>320.647</v>
      </c>
      <c r="E72" s="29">
        <f>100-(F72/D72)*100</f>
        <v>9.608697414914218</v>
      </c>
      <c r="F72" s="1">
        <f>SUM(D72-30.81)</f>
        <v>289.837</v>
      </c>
      <c r="G72" s="1">
        <v>289.837</v>
      </c>
      <c r="H72" s="203" t="s">
        <v>118</v>
      </c>
      <c r="I72" s="32"/>
    </row>
    <row r="73" spans="1:16" s="28" customFormat="1" ht="39" customHeight="1">
      <c r="A73" s="197"/>
      <c r="B73" s="196"/>
      <c r="C73" s="77" t="s">
        <v>204</v>
      </c>
      <c r="D73" s="1"/>
      <c r="E73" s="29"/>
      <c r="F73" s="1"/>
      <c r="G73" s="1">
        <v>99.822</v>
      </c>
      <c r="H73" s="203"/>
      <c r="I73" s="12"/>
      <c r="J73" s="12"/>
      <c r="K73" s="12"/>
      <c r="L73" s="12"/>
      <c r="M73" s="12"/>
      <c r="N73" s="12"/>
      <c r="P73" s="27"/>
    </row>
    <row r="74" spans="1:9" ht="74.25" customHeight="1">
      <c r="A74" s="76" t="s">
        <v>65</v>
      </c>
      <c r="B74" s="77" t="s">
        <v>67</v>
      </c>
      <c r="C74" s="2" t="s">
        <v>258</v>
      </c>
      <c r="D74" s="1">
        <v>3417</v>
      </c>
      <c r="E74" s="29">
        <f>100-(F74/D74)*100</f>
        <v>0.024883523558671072</v>
      </c>
      <c r="F74" s="1">
        <f>D74-0.85027</f>
        <v>3416.14973</v>
      </c>
      <c r="G74" s="1">
        <v>176.132</v>
      </c>
      <c r="H74" s="75" t="s">
        <v>118</v>
      </c>
      <c r="I74" s="32"/>
    </row>
    <row r="75" spans="1:9" ht="78.75" customHeight="1">
      <c r="A75" s="78">
        <v>150101</v>
      </c>
      <c r="B75" s="77" t="s">
        <v>67</v>
      </c>
      <c r="C75" s="77" t="s">
        <v>21</v>
      </c>
      <c r="D75" s="1">
        <v>300</v>
      </c>
      <c r="E75" s="29">
        <f>100-(F75/D75)*100</f>
        <v>0</v>
      </c>
      <c r="F75" s="1">
        <f>SUM(D75)</f>
        <v>300</v>
      </c>
      <c r="G75" s="1">
        <f>170-150</f>
        <v>20</v>
      </c>
      <c r="H75" s="75" t="s">
        <v>118</v>
      </c>
      <c r="I75" s="32"/>
    </row>
    <row r="76" spans="1:9" ht="73.5" customHeight="1">
      <c r="A76" s="189" t="s">
        <v>65</v>
      </c>
      <c r="B76" s="206" t="s">
        <v>67</v>
      </c>
      <c r="C76" s="90" t="s">
        <v>177</v>
      </c>
      <c r="D76" s="1">
        <v>8379.083</v>
      </c>
      <c r="E76" s="29">
        <f>100-(F76/D76)*100</f>
        <v>71.83668678302864</v>
      </c>
      <c r="F76" s="1">
        <f>D76-(1388.68+1250+594.39965+183.85879+1020+1166.7+415.61717)</f>
        <v>2359.8273900000004</v>
      </c>
      <c r="G76" s="1">
        <v>1344.73</v>
      </c>
      <c r="H76" s="206" t="s">
        <v>118</v>
      </c>
      <c r="I76" s="32"/>
    </row>
    <row r="77" spans="1:16" s="28" customFormat="1" ht="39" customHeight="1">
      <c r="A77" s="189"/>
      <c r="B77" s="206"/>
      <c r="C77" s="77" t="s">
        <v>204</v>
      </c>
      <c r="D77" s="1"/>
      <c r="E77" s="29"/>
      <c r="F77" s="1"/>
      <c r="G77" s="1">
        <v>44.73</v>
      </c>
      <c r="H77" s="206"/>
      <c r="I77" s="12"/>
      <c r="J77" s="12"/>
      <c r="K77" s="12"/>
      <c r="L77" s="12"/>
      <c r="M77" s="12"/>
      <c r="N77" s="12"/>
      <c r="P77" s="27"/>
    </row>
    <row r="78" spans="1:16" s="28" customFormat="1" ht="60.75" customHeight="1">
      <c r="A78" s="74" t="s">
        <v>65</v>
      </c>
      <c r="B78" s="21" t="s">
        <v>67</v>
      </c>
      <c r="C78" s="38" t="s">
        <v>451</v>
      </c>
      <c r="D78" s="22">
        <v>185</v>
      </c>
      <c r="E78" s="39">
        <f>100-(F78/D78)*100</f>
        <v>0</v>
      </c>
      <c r="F78" s="22">
        <v>185</v>
      </c>
      <c r="G78" s="91">
        <v>172.845</v>
      </c>
      <c r="H78" s="70" t="s">
        <v>118</v>
      </c>
      <c r="I78" s="12"/>
      <c r="J78" s="12"/>
      <c r="K78" s="12"/>
      <c r="L78" s="12"/>
      <c r="M78" s="12"/>
      <c r="N78" s="12"/>
      <c r="P78" s="27"/>
    </row>
    <row r="79" spans="1:16" s="28" customFormat="1" ht="57" customHeight="1">
      <c r="A79" s="76" t="s">
        <v>65</v>
      </c>
      <c r="B79" s="77" t="s">
        <v>67</v>
      </c>
      <c r="C79" s="40" t="s">
        <v>452</v>
      </c>
      <c r="D79" s="1">
        <v>4431.452</v>
      </c>
      <c r="E79" s="29">
        <f>100-(F79/D79)*100</f>
        <v>3.599783772903322</v>
      </c>
      <c r="F79" s="1">
        <f>SUM(D79-159.52269)</f>
        <v>4271.92931</v>
      </c>
      <c r="G79" s="1">
        <v>19.32</v>
      </c>
      <c r="H79" s="75" t="s">
        <v>118</v>
      </c>
      <c r="I79" s="12"/>
      <c r="J79" s="12"/>
      <c r="K79" s="12"/>
      <c r="L79" s="12"/>
      <c r="M79" s="12"/>
      <c r="N79" s="12"/>
      <c r="P79" s="27"/>
    </row>
    <row r="80" spans="1:16" s="28" customFormat="1" ht="58.5" customHeight="1">
      <c r="A80" s="198" t="s">
        <v>65</v>
      </c>
      <c r="B80" s="190" t="s">
        <v>67</v>
      </c>
      <c r="C80" s="2" t="s">
        <v>450</v>
      </c>
      <c r="D80" s="1">
        <v>2904.63</v>
      </c>
      <c r="E80" s="29">
        <f>100-(F80/D80)*100</f>
        <v>0</v>
      </c>
      <c r="F80" s="1">
        <f>D80</f>
        <v>2904.63</v>
      </c>
      <c r="G80" s="1">
        <f>SUM(G82+G83)</f>
        <v>1218.1490000000001</v>
      </c>
      <c r="H80" s="204" t="s">
        <v>118</v>
      </c>
      <c r="I80" s="12"/>
      <c r="J80" s="12"/>
      <c r="K80" s="12"/>
      <c r="L80" s="12"/>
      <c r="M80" s="12"/>
      <c r="N80" s="12"/>
      <c r="P80" s="27"/>
    </row>
    <row r="81" spans="1:16" s="28" customFormat="1" ht="25.5" customHeight="1">
      <c r="A81" s="208"/>
      <c r="B81" s="191"/>
      <c r="C81" s="77" t="s">
        <v>458</v>
      </c>
      <c r="D81" s="1"/>
      <c r="E81" s="29"/>
      <c r="F81" s="1"/>
      <c r="G81" s="1"/>
      <c r="H81" s="161"/>
      <c r="I81" s="12"/>
      <c r="J81" s="12"/>
      <c r="K81" s="12"/>
      <c r="L81" s="12"/>
      <c r="M81" s="12"/>
      <c r="N81" s="12"/>
      <c r="P81" s="27"/>
    </row>
    <row r="82" spans="1:16" s="28" customFormat="1" ht="54" customHeight="1">
      <c r="A82" s="208"/>
      <c r="B82" s="191"/>
      <c r="C82" s="77" t="s">
        <v>0</v>
      </c>
      <c r="D82" s="1"/>
      <c r="E82" s="29"/>
      <c r="F82" s="1"/>
      <c r="G82" s="1">
        <v>826.75</v>
      </c>
      <c r="H82" s="161"/>
      <c r="I82" s="12"/>
      <c r="J82" s="12"/>
      <c r="K82" s="12"/>
      <c r="L82" s="12"/>
      <c r="M82" s="12"/>
      <c r="N82" s="12"/>
      <c r="P82" s="27"/>
    </row>
    <row r="83" spans="1:16" s="28" customFormat="1" ht="27.75" customHeight="1">
      <c r="A83" s="199"/>
      <c r="B83" s="192"/>
      <c r="C83" s="77" t="s">
        <v>459</v>
      </c>
      <c r="D83" s="1"/>
      <c r="E83" s="29"/>
      <c r="F83" s="1"/>
      <c r="G83" s="1">
        <f>2077.88-1500-186.481</f>
        <v>391.3990000000001</v>
      </c>
      <c r="H83" s="205"/>
      <c r="I83" s="12"/>
      <c r="J83" s="12"/>
      <c r="K83" s="12"/>
      <c r="L83" s="12"/>
      <c r="M83" s="12"/>
      <c r="N83" s="12"/>
      <c r="P83" s="27"/>
    </row>
    <row r="84" spans="1:16" s="28" customFormat="1" ht="75.75" customHeight="1">
      <c r="A84" s="99" t="s">
        <v>65</v>
      </c>
      <c r="B84" s="100" t="s">
        <v>67</v>
      </c>
      <c r="C84" s="101" t="s">
        <v>46</v>
      </c>
      <c r="D84" s="98">
        <v>415.206</v>
      </c>
      <c r="E84" s="102">
        <f>100-(F84/D84)*100</f>
        <v>0</v>
      </c>
      <c r="F84" s="98">
        <v>415.206</v>
      </c>
      <c r="G84" s="98">
        <v>415.206</v>
      </c>
      <c r="H84" s="103" t="s">
        <v>118</v>
      </c>
      <c r="I84" s="12"/>
      <c r="J84" s="12"/>
      <c r="K84" s="12"/>
      <c r="L84" s="12"/>
      <c r="M84" s="12"/>
      <c r="N84" s="12"/>
      <c r="P84" s="27"/>
    </row>
    <row r="85" spans="1:9" ht="75.75" customHeight="1">
      <c r="A85" s="78">
        <v>15</v>
      </c>
      <c r="B85" s="77" t="s">
        <v>78</v>
      </c>
      <c r="C85" s="80"/>
      <c r="D85" s="1">
        <f>SUM(D86:D91)</f>
        <v>15054.644999999999</v>
      </c>
      <c r="E85" s="29"/>
      <c r="F85" s="1">
        <f>SUM(F86:F91)</f>
        <v>9723.505650000001</v>
      </c>
      <c r="G85" s="1">
        <f>SUM(G86+G90+G91)</f>
        <v>5316.674</v>
      </c>
      <c r="H85" s="75"/>
      <c r="I85" s="32"/>
    </row>
    <row r="86" spans="1:9" ht="38.25" customHeight="1">
      <c r="A86" s="198" t="s">
        <v>65</v>
      </c>
      <c r="B86" s="190" t="s">
        <v>67</v>
      </c>
      <c r="C86" s="33" t="s">
        <v>166</v>
      </c>
      <c r="D86" s="1">
        <v>5974.216</v>
      </c>
      <c r="E86" s="29">
        <f>100-(F86/D86)*100</f>
        <v>2.3666002367507275</v>
      </c>
      <c r="F86" s="1">
        <f>D86-141.38581</f>
        <v>5832.830190000001</v>
      </c>
      <c r="G86" s="1">
        <f>SUM(G88+G89)</f>
        <v>3779.305</v>
      </c>
      <c r="H86" s="204" t="s">
        <v>118</v>
      </c>
      <c r="I86" s="32"/>
    </row>
    <row r="87" spans="1:9" ht="26.25" customHeight="1">
      <c r="A87" s="208"/>
      <c r="B87" s="191"/>
      <c r="C87" s="77" t="s">
        <v>458</v>
      </c>
      <c r="D87" s="1"/>
      <c r="E87" s="29"/>
      <c r="F87" s="1"/>
      <c r="G87" s="1"/>
      <c r="H87" s="161"/>
      <c r="I87" s="32"/>
    </row>
    <row r="88" spans="1:9" ht="53.25" customHeight="1">
      <c r="A88" s="208"/>
      <c r="B88" s="191"/>
      <c r="C88" s="77" t="s">
        <v>0</v>
      </c>
      <c r="D88" s="1"/>
      <c r="E88" s="29"/>
      <c r="F88" s="1"/>
      <c r="G88" s="1">
        <v>2500</v>
      </c>
      <c r="H88" s="161"/>
      <c r="I88" s="32"/>
    </row>
    <row r="89" spans="1:9" ht="24" customHeight="1">
      <c r="A89" s="199"/>
      <c r="B89" s="192"/>
      <c r="C89" s="77" t="s">
        <v>459</v>
      </c>
      <c r="D89" s="1"/>
      <c r="E89" s="29"/>
      <c r="F89" s="1"/>
      <c r="G89" s="94">
        <f>3332.83-2053.525</f>
        <v>1279.3049999999998</v>
      </c>
      <c r="H89" s="205"/>
      <c r="I89" s="32"/>
    </row>
    <row r="90" spans="1:9" ht="96.75" customHeight="1">
      <c r="A90" s="76" t="s">
        <v>65</v>
      </c>
      <c r="B90" s="77" t="s">
        <v>67</v>
      </c>
      <c r="C90" s="77" t="s">
        <v>208</v>
      </c>
      <c r="D90" s="1">
        <v>5314.369</v>
      </c>
      <c r="E90" s="29">
        <f>100-(F90/D90)*100</f>
        <v>42.839537299724576</v>
      </c>
      <c r="F90" s="1">
        <f>4771.974-1734.25609</f>
        <v>3037.7179100000003</v>
      </c>
      <c r="G90" s="1">
        <v>684.413</v>
      </c>
      <c r="H90" s="75" t="s">
        <v>118</v>
      </c>
      <c r="I90" s="32"/>
    </row>
    <row r="91" spans="1:9" ht="74.25" customHeight="1">
      <c r="A91" s="76" t="s">
        <v>65</v>
      </c>
      <c r="B91" s="77" t="s">
        <v>67</v>
      </c>
      <c r="C91" s="77" t="s">
        <v>209</v>
      </c>
      <c r="D91" s="1">
        <v>3766.06</v>
      </c>
      <c r="E91" s="29">
        <f>100-(F91/D91)*100</f>
        <v>77.35146147432594</v>
      </c>
      <c r="F91" s="1">
        <f>D91-878.841-259.25251-1775.00894</f>
        <v>852.9575500000003</v>
      </c>
      <c r="G91" s="1">
        <v>852.956</v>
      </c>
      <c r="H91" s="75"/>
      <c r="I91" s="32"/>
    </row>
    <row r="92" spans="1:9" ht="55.5" customHeight="1">
      <c r="A92" s="78">
        <v>24</v>
      </c>
      <c r="B92" s="77" t="s">
        <v>143</v>
      </c>
      <c r="C92" s="77"/>
      <c r="D92" s="1">
        <f>SUM(D93)</f>
        <v>206.754</v>
      </c>
      <c r="E92" s="29"/>
      <c r="F92" s="1">
        <f>SUM(F93)</f>
        <v>194.934</v>
      </c>
      <c r="G92" s="1">
        <f>SUM(G93)</f>
        <v>194.934</v>
      </c>
      <c r="H92" s="75"/>
      <c r="I92" s="32"/>
    </row>
    <row r="93" spans="1:9" ht="61.5" customHeight="1">
      <c r="A93" s="76" t="s">
        <v>65</v>
      </c>
      <c r="B93" s="77" t="s">
        <v>67</v>
      </c>
      <c r="C93" s="77" t="s">
        <v>255</v>
      </c>
      <c r="D93" s="1">
        <v>206.754</v>
      </c>
      <c r="E93" s="29">
        <f>100-(F93/D93)*100</f>
        <v>5.716938970950977</v>
      </c>
      <c r="F93" s="1">
        <v>194.934</v>
      </c>
      <c r="G93" s="1">
        <v>194.934</v>
      </c>
      <c r="H93" s="75" t="s">
        <v>118</v>
      </c>
      <c r="I93" s="32"/>
    </row>
    <row r="94" spans="1:9" ht="74.25" customHeight="1">
      <c r="A94" s="78">
        <v>32</v>
      </c>
      <c r="B94" s="77" t="s">
        <v>116</v>
      </c>
      <c r="C94" s="80"/>
      <c r="D94" s="1">
        <f>SUM(D95)</f>
        <v>1071.2</v>
      </c>
      <c r="E94" s="29"/>
      <c r="F94" s="1">
        <f>SUM(F95)</f>
        <v>1071.2</v>
      </c>
      <c r="G94" s="1">
        <f>SUM(G95)</f>
        <v>471.20000000000005</v>
      </c>
      <c r="H94" s="75"/>
      <c r="I94" s="32"/>
    </row>
    <row r="95" spans="1:9" ht="58.5" customHeight="1">
      <c r="A95" s="76" t="s">
        <v>65</v>
      </c>
      <c r="B95" s="77" t="s">
        <v>67</v>
      </c>
      <c r="C95" s="77" t="s">
        <v>205</v>
      </c>
      <c r="D95" s="1">
        <v>1071.2</v>
      </c>
      <c r="E95" s="29">
        <f>100-(F95/D95)*100</f>
        <v>0</v>
      </c>
      <c r="F95" s="1">
        <f>SUM(D95)</f>
        <v>1071.2</v>
      </c>
      <c r="G95" s="1">
        <f>971.2-500</f>
        <v>471.20000000000005</v>
      </c>
      <c r="H95" s="75" t="s">
        <v>118</v>
      </c>
      <c r="I95" s="32"/>
    </row>
    <row r="96" spans="1:9" ht="73.5" customHeight="1">
      <c r="A96" s="78">
        <v>40</v>
      </c>
      <c r="B96" s="77" t="s">
        <v>187</v>
      </c>
      <c r="C96" s="77"/>
      <c r="D96" s="1">
        <f>SUM(D97+D99+D101+D103+D104+D106+D108+D110+D112+D113+D114+D115+D117+D119+D121+D123+D125+D127+D129+D131+D132+D133+D135+D137+D138+D139+D140+D145+D146+D221+D259+D261+D262+D263+D264+D265+D267+D268+D269+D270+D272+D274+D276+D277+D278+D280+D282+D284+D286+D287+D289+D290+D292+D293+D294+D295+D300+D301+D302+D303+D304+D305+D306+D307+D308+D309+D311+D313+D315+D317+D318+D319+D321+D322+D324+D326+D327+D328+D329+D330+D331+D332+D333+D334+D338+D339+D340+D342+D343+D345+D347+D348+D349+D350+D354+D356+D358+D359+D360+D361+D362+D364+D365+D367+D369+D370+D371+D372+D373+D382+D336+D337+D366+D352+D353+D141+D142+D143+D144+D297+D298+D299+D296)</f>
        <v>207723.17500000002</v>
      </c>
      <c r="E96" s="29"/>
      <c r="F96" s="1">
        <f>SUM(F97+F99+F101+F103+F104+F106+F108+F110+F112+F113+F114+F115+F117+F119+F121+F123+F125+F127+F129+F131+F132+F133+F135+F137+F138+F139+F140+F145+F146+F221+F259+F261+F262+F263+F264+F265+F267+F268+F269+F270+F272+F274+F276+F277+F278+F280+F282+F284+F286+F287+F289+F290+F292+F293+F294+F295+F300+F301+F302+F303+F304+F305+F306+F307+F308+F309+F311+F313+F315+F317+F318+F319+F321+F322+F324+F326+F327+F328+F329+F330+F331+F332+F333+F334+F338+F339+F340+F342+F343+F345+F347+F348+F349+F350+F354+F356+F358+F359+F360+F361+F362+F364+F365+F367+F369+F370+F371+F372+F373+F382+F336+F337+F366+F352+F353+F141+F142+F143+F144+F297+F298+F299+F296)</f>
        <v>179252.20721000002</v>
      </c>
      <c r="G96" s="1">
        <f>SUM(G97+G99+G101+G103+G104+G106+G108+G110+G112+G113+G114+G115+G117+G119+G121+G123+G125+G127+G129+G131+G132+G133+G135+G137+G138+G139+G140+G145+G146+G221+G259+G261+G262+G263+G264+G265+G267+G268+G269+G270+G272+G274+G276+G277+G278+G280+G282+G284+G286+G287+G289+G290+G292+G293+G294+G295+G300+G301+G302+G303+G304+G305+G306+G307+G308+G309+G311+G313+G315+G317+G318+G319+G321+G322+G324+G326+G327+G328+G329+G330+G331+G332+G333+G334+G338+G339+G340+G342+G343+G345+G347+G348+G349+G350+G354+G356+G358+G359+G360+G361+G362+G364+G365+G367+G369+G370+G371+G372+G373+G382+G336+G337+G366+G352+G353+G141+G142+G143+G144+G297+G298+G299+G296+G260)</f>
        <v>59229.62699999999</v>
      </c>
      <c r="H96" s="75"/>
      <c r="I96" s="32"/>
    </row>
    <row r="97" spans="1:9" ht="37.5" customHeight="1">
      <c r="A97" s="197" t="s">
        <v>65</v>
      </c>
      <c r="B97" s="196" t="s">
        <v>67</v>
      </c>
      <c r="C97" s="77" t="s">
        <v>63</v>
      </c>
      <c r="D97" s="1">
        <v>706.344</v>
      </c>
      <c r="E97" s="29">
        <f aca="true" t="shared" si="1" ref="E97:E140">100-(F97/D97)*100</f>
        <v>0</v>
      </c>
      <c r="F97" s="1">
        <f>SUM(D97)</f>
        <v>706.344</v>
      </c>
      <c r="G97" s="94">
        <f>706.344-310.9</f>
        <v>395.4440000000001</v>
      </c>
      <c r="H97" s="203" t="s">
        <v>260</v>
      </c>
      <c r="I97" s="32"/>
    </row>
    <row r="98" spans="1:16" s="28" customFormat="1" ht="34.5" customHeight="1">
      <c r="A98" s="197"/>
      <c r="B98" s="196"/>
      <c r="C98" s="77" t="s">
        <v>204</v>
      </c>
      <c r="D98" s="1"/>
      <c r="E98" s="29"/>
      <c r="F98" s="1"/>
      <c r="G98" s="1">
        <v>4.107</v>
      </c>
      <c r="H98" s="203"/>
      <c r="I98" s="12"/>
      <c r="J98" s="12"/>
      <c r="K98" s="12"/>
      <c r="L98" s="12"/>
      <c r="M98" s="12"/>
      <c r="N98" s="12"/>
      <c r="P98" s="27"/>
    </row>
    <row r="99" spans="1:9" ht="73.5" customHeight="1">
      <c r="A99" s="197" t="s">
        <v>65</v>
      </c>
      <c r="B99" s="196" t="s">
        <v>67</v>
      </c>
      <c r="C99" s="77" t="s">
        <v>232</v>
      </c>
      <c r="D99" s="1">
        <v>1512</v>
      </c>
      <c r="E99" s="29">
        <f t="shared" si="1"/>
        <v>39.27824338624338</v>
      </c>
      <c r="F99" s="1">
        <f>D99-509.5064-84.38064</f>
        <v>918.11296</v>
      </c>
      <c r="G99" s="94">
        <f>275.038-168.514</f>
        <v>106.524</v>
      </c>
      <c r="H99" s="203" t="s">
        <v>118</v>
      </c>
      <c r="I99" s="32"/>
    </row>
    <row r="100" spans="1:16" s="28" customFormat="1" ht="36.75" customHeight="1">
      <c r="A100" s="197"/>
      <c r="B100" s="196"/>
      <c r="C100" s="77" t="s">
        <v>204</v>
      </c>
      <c r="D100" s="1"/>
      <c r="E100" s="29"/>
      <c r="F100" s="1"/>
      <c r="G100" s="1">
        <v>24.866</v>
      </c>
      <c r="H100" s="203"/>
      <c r="I100" s="12"/>
      <c r="J100" s="12"/>
      <c r="K100" s="12"/>
      <c r="L100" s="12"/>
      <c r="M100" s="12"/>
      <c r="N100" s="12"/>
      <c r="P100" s="27"/>
    </row>
    <row r="101" spans="1:9" ht="38.25" customHeight="1">
      <c r="A101" s="197" t="s">
        <v>65</v>
      </c>
      <c r="B101" s="196" t="s">
        <v>67</v>
      </c>
      <c r="C101" s="77" t="s">
        <v>233</v>
      </c>
      <c r="D101" s="1">
        <v>800</v>
      </c>
      <c r="E101" s="29">
        <f t="shared" si="1"/>
        <v>0.27025374999999485</v>
      </c>
      <c r="F101" s="1">
        <f>D101-2.16203</f>
        <v>797.83797</v>
      </c>
      <c r="G101" s="1">
        <v>87.838</v>
      </c>
      <c r="H101" s="203" t="s">
        <v>118</v>
      </c>
      <c r="I101" s="32"/>
    </row>
    <row r="102" spans="1:16" s="28" customFormat="1" ht="38.25" customHeight="1">
      <c r="A102" s="197"/>
      <c r="B102" s="196"/>
      <c r="C102" s="77" t="s">
        <v>204</v>
      </c>
      <c r="D102" s="1"/>
      <c r="E102" s="29"/>
      <c r="F102" s="1"/>
      <c r="G102" s="1">
        <v>79.479</v>
      </c>
      <c r="H102" s="203"/>
      <c r="I102" s="12"/>
      <c r="J102" s="12"/>
      <c r="K102" s="12"/>
      <c r="L102" s="12"/>
      <c r="M102" s="12"/>
      <c r="N102" s="12"/>
      <c r="P102" s="27"/>
    </row>
    <row r="103" spans="1:9" ht="62.25" customHeight="1">
      <c r="A103" s="76" t="s">
        <v>65</v>
      </c>
      <c r="B103" s="77" t="s">
        <v>67</v>
      </c>
      <c r="C103" s="77" t="s">
        <v>210</v>
      </c>
      <c r="D103" s="1">
        <v>2667.701</v>
      </c>
      <c r="E103" s="29">
        <f t="shared" si="1"/>
        <v>28.663713062295955</v>
      </c>
      <c r="F103" s="1">
        <f>D103-173.115-591.54716</f>
        <v>1903.0388400000002</v>
      </c>
      <c r="G103" s="1">
        <v>4.775</v>
      </c>
      <c r="H103" s="75" t="s">
        <v>259</v>
      </c>
      <c r="I103" s="32"/>
    </row>
    <row r="104" spans="1:9" ht="37.5" customHeight="1">
      <c r="A104" s="197" t="s">
        <v>65</v>
      </c>
      <c r="B104" s="196" t="s">
        <v>67</v>
      </c>
      <c r="C104" s="33" t="s">
        <v>234</v>
      </c>
      <c r="D104" s="1">
        <v>822.602</v>
      </c>
      <c r="E104" s="29">
        <f t="shared" si="1"/>
        <v>58.667800467297674</v>
      </c>
      <c r="F104" s="1">
        <f>SUM(D104-463.8061-18.7964)</f>
        <v>339.99949999999995</v>
      </c>
      <c r="G104" s="1">
        <v>15</v>
      </c>
      <c r="H104" s="203" t="s">
        <v>260</v>
      </c>
      <c r="I104" s="32"/>
    </row>
    <row r="105" spans="1:16" s="28" customFormat="1" ht="37.5" customHeight="1">
      <c r="A105" s="197"/>
      <c r="B105" s="196"/>
      <c r="C105" s="77" t="s">
        <v>204</v>
      </c>
      <c r="D105" s="1"/>
      <c r="E105" s="29"/>
      <c r="F105" s="1"/>
      <c r="G105" s="1">
        <v>0.297</v>
      </c>
      <c r="H105" s="203"/>
      <c r="I105" s="12"/>
      <c r="J105" s="12"/>
      <c r="K105" s="12"/>
      <c r="L105" s="12"/>
      <c r="M105" s="12"/>
      <c r="N105" s="12"/>
      <c r="P105" s="27"/>
    </row>
    <row r="106" spans="1:9" ht="24.75" customHeight="1">
      <c r="A106" s="197" t="s">
        <v>65</v>
      </c>
      <c r="B106" s="196" t="s">
        <v>67</v>
      </c>
      <c r="C106" s="33" t="s">
        <v>235</v>
      </c>
      <c r="D106" s="1">
        <v>610.807</v>
      </c>
      <c r="E106" s="29">
        <f>100-(F106/D106)*100</f>
        <v>52.566448976517954</v>
      </c>
      <c r="F106" s="1">
        <f>467.855-178.12755</f>
        <v>289.72745</v>
      </c>
      <c r="G106" s="1">
        <v>44.373</v>
      </c>
      <c r="H106" s="203" t="s">
        <v>260</v>
      </c>
      <c r="I106" s="32"/>
    </row>
    <row r="107" spans="1:16" s="28" customFormat="1" ht="37.5" customHeight="1">
      <c r="A107" s="197"/>
      <c r="B107" s="196"/>
      <c r="C107" s="77" t="s">
        <v>204</v>
      </c>
      <c r="D107" s="1"/>
      <c r="E107" s="29"/>
      <c r="F107" s="1"/>
      <c r="G107" s="1">
        <v>0.419</v>
      </c>
      <c r="H107" s="203"/>
      <c r="I107" s="12"/>
      <c r="J107" s="12"/>
      <c r="K107" s="12"/>
      <c r="L107" s="12"/>
      <c r="M107" s="12"/>
      <c r="N107" s="12"/>
      <c r="P107" s="27"/>
    </row>
    <row r="108" spans="1:9" ht="37.5" customHeight="1">
      <c r="A108" s="197" t="s">
        <v>65</v>
      </c>
      <c r="B108" s="196" t="s">
        <v>67</v>
      </c>
      <c r="C108" s="33" t="s">
        <v>236</v>
      </c>
      <c r="D108" s="1">
        <v>294</v>
      </c>
      <c r="E108" s="29">
        <f t="shared" si="1"/>
        <v>47.73405782312924</v>
      </c>
      <c r="F108" s="1">
        <f>207.8-54.13813</f>
        <v>153.66187000000002</v>
      </c>
      <c r="G108" s="1">
        <v>0.99</v>
      </c>
      <c r="H108" s="203" t="s">
        <v>260</v>
      </c>
      <c r="I108" s="32"/>
    </row>
    <row r="109" spans="1:16" s="28" customFormat="1" ht="37.5" customHeight="1">
      <c r="A109" s="197"/>
      <c r="B109" s="196"/>
      <c r="C109" s="77" t="s">
        <v>204</v>
      </c>
      <c r="D109" s="1"/>
      <c r="E109" s="29"/>
      <c r="F109" s="1"/>
      <c r="G109" s="1">
        <v>0.297</v>
      </c>
      <c r="H109" s="203"/>
      <c r="I109" s="12"/>
      <c r="J109" s="12"/>
      <c r="K109" s="12"/>
      <c r="L109" s="12"/>
      <c r="M109" s="12"/>
      <c r="N109" s="12"/>
      <c r="P109" s="27"/>
    </row>
    <row r="110" spans="1:9" ht="37.5" customHeight="1">
      <c r="A110" s="197" t="s">
        <v>65</v>
      </c>
      <c r="B110" s="196" t="s">
        <v>67</v>
      </c>
      <c r="C110" s="33" t="s">
        <v>237</v>
      </c>
      <c r="D110" s="1">
        <v>298.864</v>
      </c>
      <c r="E110" s="29">
        <f t="shared" si="1"/>
        <v>83.58739092028482</v>
      </c>
      <c r="F110" s="1">
        <f>SUM(D110-249.81262)</f>
        <v>49.051379999999966</v>
      </c>
      <c r="G110" s="1">
        <v>29.051</v>
      </c>
      <c r="H110" s="203" t="s">
        <v>260</v>
      </c>
      <c r="I110" s="32"/>
    </row>
    <row r="111" spans="1:16" s="28" customFormat="1" ht="35.25" customHeight="1">
      <c r="A111" s="197"/>
      <c r="B111" s="196"/>
      <c r="C111" s="77" t="s">
        <v>204</v>
      </c>
      <c r="D111" s="1"/>
      <c r="E111" s="29"/>
      <c r="F111" s="1"/>
      <c r="G111" s="1">
        <v>28.752</v>
      </c>
      <c r="H111" s="203"/>
      <c r="I111" s="12"/>
      <c r="J111" s="12"/>
      <c r="K111" s="12"/>
      <c r="L111" s="12"/>
      <c r="M111" s="12"/>
      <c r="N111" s="12"/>
      <c r="P111" s="27"/>
    </row>
    <row r="112" spans="1:16" s="28" customFormat="1" ht="54" customHeight="1">
      <c r="A112" s="76" t="s">
        <v>65</v>
      </c>
      <c r="B112" s="77" t="s">
        <v>67</v>
      </c>
      <c r="C112" s="41" t="s">
        <v>366</v>
      </c>
      <c r="D112" s="1">
        <v>345.238</v>
      </c>
      <c r="E112" s="29">
        <f t="shared" si="1"/>
        <v>0</v>
      </c>
      <c r="F112" s="1">
        <v>345.238</v>
      </c>
      <c r="G112" s="1">
        <v>95.238</v>
      </c>
      <c r="H112" s="75" t="s">
        <v>118</v>
      </c>
      <c r="I112" s="12"/>
      <c r="J112" s="12"/>
      <c r="K112" s="12"/>
      <c r="L112" s="12"/>
      <c r="M112" s="12"/>
      <c r="N112" s="12"/>
      <c r="P112" s="27"/>
    </row>
    <row r="113" spans="1:16" s="28" customFormat="1" ht="41.25" customHeight="1">
      <c r="A113" s="76" t="s">
        <v>65</v>
      </c>
      <c r="B113" s="77" t="s">
        <v>67</v>
      </c>
      <c r="C113" s="89" t="s">
        <v>425</v>
      </c>
      <c r="D113" s="1">
        <v>11757.16</v>
      </c>
      <c r="E113" s="29">
        <f t="shared" si="1"/>
        <v>2.1553221186068754</v>
      </c>
      <c r="F113" s="1">
        <f>SUM(D113)-253.40467</f>
        <v>11503.75533</v>
      </c>
      <c r="G113" s="1">
        <v>33.016</v>
      </c>
      <c r="H113" s="75" t="s">
        <v>118</v>
      </c>
      <c r="I113" s="12"/>
      <c r="J113" s="12"/>
      <c r="K113" s="12"/>
      <c r="L113" s="12"/>
      <c r="M113" s="12"/>
      <c r="N113" s="12"/>
      <c r="P113" s="27"/>
    </row>
    <row r="114" spans="1:9" ht="57.75" customHeight="1">
      <c r="A114" s="76" t="s">
        <v>65</v>
      </c>
      <c r="B114" s="77" t="s">
        <v>67</v>
      </c>
      <c r="C114" s="33" t="s">
        <v>405</v>
      </c>
      <c r="D114" s="1">
        <v>26.666</v>
      </c>
      <c r="E114" s="29">
        <f t="shared" si="1"/>
        <v>0</v>
      </c>
      <c r="F114" s="1">
        <v>26.666</v>
      </c>
      <c r="G114" s="1">
        <v>3.74</v>
      </c>
      <c r="H114" s="69" t="s">
        <v>118</v>
      </c>
      <c r="I114" s="32"/>
    </row>
    <row r="115" spans="1:9" ht="38.25" customHeight="1">
      <c r="A115" s="197" t="s">
        <v>65</v>
      </c>
      <c r="B115" s="196" t="s">
        <v>67</v>
      </c>
      <c r="C115" s="33" t="s">
        <v>238</v>
      </c>
      <c r="D115" s="1">
        <v>22.426</v>
      </c>
      <c r="E115" s="29">
        <f t="shared" si="1"/>
        <v>0</v>
      </c>
      <c r="F115" s="1">
        <v>22.426</v>
      </c>
      <c r="G115" s="1">
        <v>22.426</v>
      </c>
      <c r="H115" s="203" t="s">
        <v>118</v>
      </c>
      <c r="I115" s="32"/>
    </row>
    <row r="116" spans="1:16" s="28" customFormat="1" ht="32.25" customHeight="1">
      <c r="A116" s="197"/>
      <c r="B116" s="196"/>
      <c r="C116" s="77" t="s">
        <v>204</v>
      </c>
      <c r="D116" s="1"/>
      <c r="E116" s="29"/>
      <c r="F116" s="1"/>
      <c r="G116" s="1">
        <v>4.346</v>
      </c>
      <c r="H116" s="203"/>
      <c r="I116" s="12"/>
      <c r="J116" s="12"/>
      <c r="K116" s="12"/>
      <c r="L116" s="12"/>
      <c r="M116" s="12"/>
      <c r="N116" s="12"/>
      <c r="P116" s="27"/>
    </row>
    <row r="117" spans="1:9" ht="38.25" customHeight="1">
      <c r="A117" s="197" t="s">
        <v>65</v>
      </c>
      <c r="B117" s="196" t="s">
        <v>67</v>
      </c>
      <c r="C117" s="33" t="s">
        <v>239</v>
      </c>
      <c r="D117" s="1">
        <v>21.511</v>
      </c>
      <c r="E117" s="29">
        <f t="shared" si="1"/>
        <v>0</v>
      </c>
      <c r="F117" s="1">
        <v>21.511</v>
      </c>
      <c r="G117" s="1">
        <v>21.511</v>
      </c>
      <c r="H117" s="203" t="s">
        <v>118</v>
      </c>
      <c r="I117" s="32"/>
    </row>
    <row r="118" spans="1:16" s="28" customFormat="1" ht="38.25" customHeight="1">
      <c r="A118" s="197"/>
      <c r="B118" s="196"/>
      <c r="C118" s="77" t="s">
        <v>204</v>
      </c>
      <c r="D118" s="1"/>
      <c r="E118" s="29"/>
      <c r="F118" s="1"/>
      <c r="G118" s="1">
        <v>3.942</v>
      </c>
      <c r="H118" s="203"/>
      <c r="I118" s="12"/>
      <c r="J118" s="12"/>
      <c r="K118" s="12"/>
      <c r="L118" s="12"/>
      <c r="M118" s="12"/>
      <c r="N118" s="12"/>
      <c r="P118" s="27"/>
    </row>
    <row r="119" spans="1:9" ht="38.25" customHeight="1">
      <c r="A119" s="197" t="s">
        <v>65</v>
      </c>
      <c r="B119" s="196" t="s">
        <v>67</v>
      </c>
      <c r="C119" s="33" t="s">
        <v>240</v>
      </c>
      <c r="D119" s="1">
        <v>16.771</v>
      </c>
      <c r="E119" s="29">
        <f t="shared" si="1"/>
        <v>0</v>
      </c>
      <c r="F119" s="1">
        <v>16.771</v>
      </c>
      <c r="G119" s="1">
        <v>16.771</v>
      </c>
      <c r="H119" s="203" t="s">
        <v>118</v>
      </c>
      <c r="I119" s="32"/>
    </row>
    <row r="120" spans="1:16" s="28" customFormat="1" ht="30.75" customHeight="1">
      <c r="A120" s="197"/>
      <c r="B120" s="196"/>
      <c r="C120" s="77" t="s">
        <v>204</v>
      </c>
      <c r="D120" s="1"/>
      <c r="E120" s="29"/>
      <c r="F120" s="1"/>
      <c r="G120" s="1">
        <v>3.74</v>
      </c>
      <c r="H120" s="203"/>
      <c r="I120" s="12"/>
      <c r="J120" s="12"/>
      <c r="K120" s="12"/>
      <c r="L120" s="12"/>
      <c r="M120" s="12"/>
      <c r="N120" s="12"/>
      <c r="P120" s="27"/>
    </row>
    <row r="121" spans="1:9" ht="38.25" customHeight="1">
      <c r="A121" s="197" t="s">
        <v>65</v>
      </c>
      <c r="B121" s="196" t="s">
        <v>67</v>
      </c>
      <c r="C121" s="33" t="s">
        <v>241</v>
      </c>
      <c r="D121" s="1">
        <v>17.286</v>
      </c>
      <c r="E121" s="29">
        <f t="shared" si="1"/>
        <v>0</v>
      </c>
      <c r="F121" s="1">
        <v>17.286</v>
      </c>
      <c r="G121" s="1">
        <v>17.286</v>
      </c>
      <c r="H121" s="203" t="s">
        <v>118</v>
      </c>
      <c r="I121" s="32"/>
    </row>
    <row r="122" spans="1:16" s="28" customFormat="1" ht="32.25" customHeight="1">
      <c r="A122" s="197"/>
      <c r="B122" s="196"/>
      <c r="C122" s="77" t="s">
        <v>204</v>
      </c>
      <c r="D122" s="1"/>
      <c r="E122" s="29"/>
      <c r="F122" s="1"/>
      <c r="G122" s="1">
        <v>3.74</v>
      </c>
      <c r="H122" s="203"/>
      <c r="I122" s="12"/>
      <c r="J122" s="12"/>
      <c r="K122" s="12"/>
      <c r="L122" s="12"/>
      <c r="M122" s="12"/>
      <c r="N122" s="12"/>
      <c r="P122" s="27"/>
    </row>
    <row r="123" spans="1:9" ht="38.25" customHeight="1">
      <c r="A123" s="197" t="s">
        <v>65</v>
      </c>
      <c r="B123" s="196" t="s">
        <v>67</v>
      </c>
      <c r="C123" s="33" t="s">
        <v>242</v>
      </c>
      <c r="D123" s="1">
        <v>28.399</v>
      </c>
      <c r="E123" s="29">
        <f t="shared" si="1"/>
        <v>0</v>
      </c>
      <c r="F123" s="1">
        <v>28.399</v>
      </c>
      <c r="G123" s="1">
        <v>28.399</v>
      </c>
      <c r="H123" s="203" t="s">
        <v>118</v>
      </c>
      <c r="I123" s="32"/>
    </row>
    <row r="124" spans="1:16" s="28" customFormat="1" ht="30.75" customHeight="1">
      <c r="A124" s="197"/>
      <c r="B124" s="196"/>
      <c r="C124" s="77" t="s">
        <v>204</v>
      </c>
      <c r="D124" s="1"/>
      <c r="E124" s="29"/>
      <c r="F124" s="1"/>
      <c r="G124" s="1">
        <v>4.548</v>
      </c>
      <c r="H124" s="203"/>
      <c r="I124" s="12"/>
      <c r="J124" s="12"/>
      <c r="K124" s="12"/>
      <c r="L124" s="12"/>
      <c r="M124" s="12"/>
      <c r="N124" s="12"/>
      <c r="P124" s="27"/>
    </row>
    <row r="125" spans="1:9" ht="38.25" customHeight="1">
      <c r="A125" s="197" t="s">
        <v>65</v>
      </c>
      <c r="B125" s="196" t="s">
        <v>67</v>
      </c>
      <c r="C125" s="33" t="s">
        <v>243</v>
      </c>
      <c r="D125" s="1">
        <v>43.706</v>
      </c>
      <c r="E125" s="29">
        <f t="shared" si="1"/>
        <v>0</v>
      </c>
      <c r="F125" s="1">
        <v>43.706</v>
      </c>
      <c r="G125" s="1">
        <v>43.706</v>
      </c>
      <c r="H125" s="203" t="s">
        <v>118</v>
      </c>
      <c r="I125" s="32"/>
    </row>
    <row r="126" spans="1:16" s="28" customFormat="1" ht="32.25" customHeight="1">
      <c r="A126" s="197"/>
      <c r="B126" s="196"/>
      <c r="C126" s="77" t="s">
        <v>204</v>
      </c>
      <c r="D126" s="1"/>
      <c r="E126" s="29"/>
      <c r="F126" s="1"/>
      <c r="G126" s="1">
        <v>4.952</v>
      </c>
      <c r="H126" s="203"/>
      <c r="I126" s="12"/>
      <c r="J126" s="12"/>
      <c r="K126" s="12"/>
      <c r="L126" s="12"/>
      <c r="M126" s="12"/>
      <c r="N126" s="12"/>
      <c r="P126" s="27"/>
    </row>
    <row r="127" spans="1:9" ht="38.25" customHeight="1">
      <c r="A127" s="197" t="s">
        <v>65</v>
      </c>
      <c r="B127" s="196" t="s">
        <v>67</v>
      </c>
      <c r="C127" s="33" t="s">
        <v>244</v>
      </c>
      <c r="D127" s="1">
        <v>29.153</v>
      </c>
      <c r="E127" s="29">
        <f t="shared" si="1"/>
        <v>0</v>
      </c>
      <c r="F127" s="1">
        <v>29.153</v>
      </c>
      <c r="G127" s="1">
        <v>29.153</v>
      </c>
      <c r="H127" s="203" t="s">
        <v>118</v>
      </c>
      <c r="I127" s="32"/>
    </row>
    <row r="128" spans="1:16" s="28" customFormat="1" ht="32.25" customHeight="1">
      <c r="A128" s="197"/>
      <c r="B128" s="196"/>
      <c r="C128" s="77" t="s">
        <v>204</v>
      </c>
      <c r="D128" s="1"/>
      <c r="E128" s="29"/>
      <c r="F128" s="1"/>
      <c r="G128" s="1">
        <v>4.548</v>
      </c>
      <c r="H128" s="203"/>
      <c r="I128" s="12"/>
      <c r="J128" s="12"/>
      <c r="K128" s="12"/>
      <c r="L128" s="12"/>
      <c r="M128" s="12"/>
      <c r="N128" s="12"/>
      <c r="P128" s="27"/>
    </row>
    <row r="129" spans="1:9" ht="38.25" customHeight="1">
      <c r="A129" s="197" t="s">
        <v>65</v>
      </c>
      <c r="B129" s="196" t="s">
        <v>67</v>
      </c>
      <c r="C129" s="33" t="s">
        <v>245</v>
      </c>
      <c r="D129" s="1">
        <v>29.509</v>
      </c>
      <c r="E129" s="29">
        <f t="shared" si="1"/>
        <v>0</v>
      </c>
      <c r="F129" s="1">
        <v>29.509</v>
      </c>
      <c r="G129" s="1">
        <v>29.509</v>
      </c>
      <c r="H129" s="203" t="s">
        <v>118</v>
      </c>
      <c r="I129" s="32"/>
    </row>
    <row r="130" spans="1:16" s="28" customFormat="1" ht="36.75" customHeight="1">
      <c r="A130" s="197"/>
      <c r="B130" s="196"/>
      <c r="C130" s="77" t="s">
        <v>204</v>
      </c>
      <c r="D130" s="1"/>
      <c r="E130" s="29"/>
      <c r="F130" s="1"/>
      <c r="G130" s="1">
        <v>4.548</v>
      </c>
      <c r="H130" s="203"/>
      <c r="I130" s="12"/>
      <c r="J130" s="12"/>
      <c r="K130" s="12"/>
      <c r="L130" s="12"/>
      <c r="M130" s="12"/>
      <c r="N130" s="12"/>
      <c r="P130" s="27"/>
    </row>
    <row r="131" spans="1:16" s="28" customFormat="1" ht="37.5" customHeight="1">
      <c r="A131" s="76" t="s">
        <v>65</v>
      </c>
      <c r="B131" s="77" t="s">
        <v>67</v>
      </c>
      <c r="C131" s="33" t="s">
        <v>453</v>
      </c>
      <c r="D131" s="1">
        <v>58.338</v>
      </c>
      <c r="E131" s="29">
        <f t="shared" si="1"/>
        <v>0</v>
      </c>
      <c r="F131" s="1">
        <f>SUM(D131)</f>
        <v>58.338</v>
      </c>
      <c r="G131" s="1">
        <v>3.105</v>
      </c>
      <c r="H131" s="75" t="s">
        <v>118</v>
      </c>
      <c r="I131" s="12"/>
      <c r="J131" s="12"/>
      <c r="K131" s="12"/>
      <c r="L131" s="12"/>
      <c r="M131" s="12"/>
      <c r="N131" s="12"/>
      <c r="P131" s="27"/>
    </row>
    <row r="132" spans="1:16" s="28" customFormat="1" ht="37.5" customHeight="1">
      <c r="A132" s="76" t="s">
        <v>65</v>
      </c>
      <c r="B132" s="77" t="s">
        <v>67</v>
      </c>
      <c r="C132" s="33" t="s">
        <v>454</v>
      </c>
      <c r="D132" s="1">
        <v>41.43</v>
      </c>
      <c r="E132" s="29">
        <f t="shared" si="1"/>
        <v>0</v>
      </c>
      <c r="F132" s="1">
        <f>SUM(D132)</f>
        <v>41.43</v>
      </c>
      <c r="G132" s="1">
        <v>1.784</v>
      </c>
      <c r="H132" s="75" t="s">
        <v>118</v>
      </c>
      <c r="I132" s="12"/>
      <c r="J132" s="12"/>
      <c r="K132" s="12"/>
      <c r="L132" s="12"/>
      <c r="M132" s="12"/>
      <c r="N132" s="12"/>
      <c r="P132" s="27"/>
    </row>
    <row r="133" spans="1:9" ht="42.75" customHeight="1">
      <c r="A133" s="197" t="s">
        <v>65</v>
      </c>
      <c r="B133" s="196" t="s">
        <v>67</v>
      </c>
      <c r="C133" s="33" t="s">
        <v>251</v>
      </c>
      <c r="D133" s="1">
        <v>4548.06</v>
      </c>
      <c r="E133" s="29">
        <f t="shared" si="1"/>
        <v>0.031089079739501813</v>
      </c>
      <c r="F133" s="1">
        <f>SUM(D133-1.41395)</f>
        <v>4546.64605</v>
      </c>
      <c r="G133" s="1">
        <v>2661.009</v>
      </c>
      <c r="H133" s="203" t="s">
        <v>118</v>
      </c>
      <c r="I133" s="32"/>
    </row>
    <row r="134" spans="1:16" s="28" customFormat="1" ht="35.25" customHeight="1">
      <c r="A134" s="197"/>
      <c r="B134" s="196"/>
      <c r="C134" s="77" t="s">
        <v>204</v>
      </c>
      <c r="D134" s="1"/>
      <c r="E134" s="29"/>
      <c r="F134" s="1"/>
      <c r="G134" s="1">
        <v>3.3</v>
      </c>
      <c r="H134" s="203"/>
      <c r="I134" s="12"/>
      <c r="J134" s="12"/>
      <c r="K134" s="12"/>
      <c r="L134" s="12"/>
      <c r="M134" s="12"/>
      <c r="N134" s="12"/>
      <c r="P134" s="27"/>
    </row>
    <row r="135" spans="1:9" ht="44.25" customHeight="1">
      <c r="A135" s="207" t="s">
        <v>65</v>
      </c>
      <c r="B135" s="196" t="s">
        <v>67</v>
      </c>
      <c r="C135" s="77" t="s">
        <v>88</v>
      </c>
      <c r="D135" s="1">
        <v>3826.168</v>
      </c>
      <c r="E135" s="29">
        <f t="shared" si="1"/>
        <v>25.932833581797766</v>
      </c>
      <c r="F135" s="1">
        <f>D135-87-905.23378</f>
        <v>2833.93422</v>
      </c>
      <c r="G135" s="94">
        <f>1810.038-601.058</f>
        <v>1208.98</v>
      </c>
      <c r="H135" s="203" t="s">
        <v>118</v>
      </c>
      <c r="I135" s="32"/>
    </row>
    <row r="136" spans="1:16" s="28" customFormat="1" ht="38.25" customHeight="1">
      <c r="A136" s="207"/>
      <c r="B136" s="196"/>
      <c r="C136" s="77" t="s">
        <v>204</v>
      </c>
      <c r="D136" s="1"/>
      <c r="E136" s="29"/>
      <c r="F136" s="1"/>
      <c r="G136" s="1">
        <v>202.866</v>
      </c>
      <c r="H136" s="203"/>
      <c r="I136" s="12"/>
      <c r="J136" s="12"/>
      <c r="K136" s="12"/>
      <c r="L136" s="12"/>
      <c r="M136" s="12"/>
      <c r="N136" s="12"/>
      <c r="P136" s="27"/>
    </row>
    <row r="137" spans="1:9" ht="45" customHeight="1">
      <c r="A137" s="78" t="s">
        <v>65</v>
      </c>
      <c r="B137" s="77" t="s">
        <v>67</v>
      </c>
      <c r="C137" s="77" t="s">
        <v>93</v>
      </c>
      <c r="D137" s="1">
        <v>2321.421</v>
      </c>
      <c r="E137" s="29">
        <f t="shared" si="1"/>
        <v>0.28411261895190876</v>
      </c>
      <c r="F137" s="1">
        <f>D137-6.59545</f>
        <v>2314.82555</v>
      </c>
      <c r="G137" s="94">
        <f>2314.826-864.579</f>
        <v>1450.247</v>
      </c>
      <c r="H137" s="75" t="s">
        <v>118</v>
      </c>
      <c r="I137" s="32"/>
    </row>
    <row r="138" spans="1:9" ht="57" customHeight="1">
      <c r="A138" s="76" t="s">
        <v>65</v>
      </c>
      <c r="B138" s="77" t="s">
        <v>67</v>
      </c>
      <c r="C138" s="77" t="s">
        <v>170</v>
      </c>
      <c r="D138" s="1">
        <v>560</v>
      </c>
      <c r="E138" s="29">
        <f>100-(F138/D138)*100</f>
        <v>0</v>
      </c>
      <c r="F138" s="1">
        <f aca="true" t="shared" si="2" ref="F138:F144">D138</f>
        <v>560</v>
      </c>
      <c r="G138" s="1">
        <v>33.5</v>
      </c>
      <c r="H138" s="75" t="s">
        <v>118</v>
      </c>
      <c r="I138" s="32"/>
    </row>
    <row r="139" spans="1:9" ht="57.75" customHeight="1">
      <c r="A139" s="76" t="s">
        <v>65</v>
      </c>
      <c r="B139" s="77" t="s">
        <v>67</v>
      </c>
      <c r="C139" s="42" t="s">
        <v>192</v>
      </c>
      <c r="D139" s="1">
        <v>307.928</v>
      </c>
      <c r="E139" s="29">
        <f>100-(F139/D139)*100</f>
        <v>0</v>
      </c>
      <c r="F139" s="1">
        <f t="shared" si="2"/>
        <v>307.928</v>
      </c>
      <c r="G139" s="1">
        <v>307.928</v>
      </c>
      <c r="H139" s="75" t="s">
        <v>118</v>
      </c>
      <c r="I139" s="32"/>
    </row>
    <row r="140" spans="1:9" ht="55.5" customHeight="1">
      <c r="A140" s="76" t="s">
        <v>65</v>
      </c>
      <c r="B140" s="77" t="s">
        <v>67</v>
      </c>
      <c r="C140" s="77" t="s">
        <v>39</v>
      </c>
      <c r="D140" s="1">
        <v>140</v>
      </c>
      <c r="E140" s="29">
        <f t="shared" si="1"/>
        <v>0</v>
      </c>
      <c r="F140" s="1">
        <f t="shared" si="2"/>
        <v>140</v>
      </c>
      <c r="G140" s="1">
        <v>140</v>
      </c>
      <c r="H140" s="75" t="s">
        <v>118</v>
      </c>
      <c r="I140" s="32"/>
    </row>
    <row r="141" spans="1:9" ht="81.75" customHeight="1">
      <c r="A141" s="76" t="s">
        <v>65</v>
      </c>
      <c r="B141" s="77" t="s">
        <v>67</v>
      </c>
      <c r="C141" s="95" t="s">
        <v>30</v>
      </c>
      <c r="D141" s="1">
        <v>234.185</v>
      </c>
      <c r="E141" s="29">
        <f>100-(F141/D141)*100</f>
        <v>0</v>
      </c>
      <c r="F141" s="1">
        <f t="shared" si="2"/>
        <v>234.185</v>
      </c>
      <c r="G141" s="1">
        <v>50</v>
      </c>
      <c r="H141" s="75" t="s">
        <v>118</v>
      </c>
      <c r="I141" s="32"/>
    </row>
    <row r="142" spans="1:9" ht="75.75" customHeight="1">
      <c r="A142" s="76" t="s">
        <v>65</v>
      </c>
      <c r="B142" s="77" t="s">
        <v>67</v>
      </c>
      <c r="C142" s="95" t="s">
        <v>31</v>
      </c>
      <c r="D142" s="1">
        <v>234.185</v>
      </c>
      <c r="E142" s="29">
        <f>100-(F142/D142)*100</f>
        <v>0</v>
      </c>
      <c r="F142" s="1">
        <f t="shared" si="2"/>
        <v>234.185</v>
      </c>
      <c r="G142" s="1">
        <v>50</v>
      </c>
      <c r="H142" s="75" t="s">
        <v>118</v>
      </c>
      <c r="I142" s="32"/>
    </row>
    <row r="143" spans="1:9" ht="74.25" customHeight="1">
      <c r="A143" s="76" t="s">
        <v>65</v>
      </c>
      <c r="B143" s="77" t="s">
        <v>67</v>
      </c>
      <c r="C143" s="95" t="s">
        <v>32</v>
      </c>
      <c r="D143" s="1">
        <v>234.185</v>
      </c>
      <c r="E143" s="29">
        <f>100-(F143/D143)*100</f>
        <v>0</v>
      </c>
      <c r="F143" s="1">
        <f t="shared" si="2"/>
        <v>234.185</v>
      </c>
      <c r="G143" s="1">
        <v>50</v>
      </c>
      <c r="H143" s="75" t="s">
        <v>118</v>
      </c>
      <c r="I143" s="32"/>
    </row>
    <row r="144" spans="1:9" ht="78" customHeight="1">
      <c r="A144" s="76" t="s">
        <v>65</v>
      </c>
      <c r="B144" s="77" t="s">
        <v>67</v>
      </c>
      <c r="C144" s="95" t="s">
        <v>33</v>
      </c>
      <c r="D144" s="1">
        <v>234.185</v>
      </c>
      <c r="E144" s="29">
        <f>100-(F144/D144)*100</f>
        <v>0</v>
      </c>
      <c r="F144" s="1">
        <f t="shared" si="2"/>
        <v>234.185</v>
      </c>
      <c r="G144" s="1">
        <v>50</v>
      </c>
      <c r="H144" s="75" t="s">
        <v>118</v>
      </c>
      <c r="I144" s="32"/>
    </row>
    <row r="145" spans="1:9" ht="75.75" customHeight="1">
      <c r="A145" s="76" t="s">
        <v>414</v>
      </c>
      <c r="B145" s="77" t="s">
        <v>415</v>
      </c>
      <c r="C145" s="77" t="s">
        <v>415</v>
      </c>
      <c r="D145" s="1"/>
      <c r="E145" s="29"/>
      <c r="F145" s="1"/>
      <c r="G145" s="1">
        <f>1292.78+20000+200-1292.78</f>
        <v>20200</v>
      </c>
      <c r="H145" s="75"/>
      <c r="I145" s="32"/>
    </row>
    <row r="146" spans="1:9" ht="37.5" customHeight="1">
      <c r="A146" s="197" t="s">
        <v>65</v>
      </c>
      <c r="B146" s="196" t="s">
        <v>67</v>
      </c>
      <c r="C146" s="77" t="s">
        <v>167</v>
      </c>
      <c r="D146" s="1">
        <f>SUM(D148:D217)</f>
        <v>4406.699999999999</v>
      </c>
      <c r="E146" s="29">
        <f>100-(F146/D146)*100</f>
        <v>0</v>
      </c>
      <c r="F146" s="1">
        <f>SUM(F148:F217)</f>
        <v>4406.699999999999</v>
      </c>
      <c r="G146" s="1">
        <f>SUM(G148:G220)</f>
        <v>4406.699999999998</v>
      </c>
      <c r="H146" s="203" t="s">
        <v>118</v>
      </c>
      <c r="I146" s="32"/>
    </row>
    <row r="147" spans="1:9" s="46" customFormat="1" ht="18.75">
      <c r="A147" s="197"/>
      <c r="B147" s="196"/>
      <c r="C147" s="77" t="s">
        <v>268</v>
      </c>
      <c r="D147" s="43"/>
      <c r="E147" s="44"/>
      <c r="F147" s="43"/>
      <c r="G147" s="43"/>
      <c r="H147" s="203"/>
      <c r="I147" s="45"/>
    </row>
    <row r="148" spans="1:9" s="46" customFormat="1" ht="18.75">
      <c r="A148" s="76" t="s">
        <v>65</v>
      </c>
      <c r="B148" s="77" t="s">
        <v>67</v>
      </c>
      <c r="C148" s="77" t="s">
        <v>345</v>
      </c>
      <c r="D148" s="1">
        <v>60.196</v>
      </c>
      <c r="E148" s="29">
        <f aca="true" t="shared" si="3" ref="E148:E200">100-(F148/D148)*100</f>
        <v>0</v>
      </c>
      <c r="F148" s="1">
        <f>SUM(D148)</f>
        <v>60.196</v>
      </c>
      <c r="G148" s="1">
        <v>60.196</v>
      </c>
      <c r="H148" s="75" t="s">
        <v>118</v>
      </c>
      <c r="I148" s="45"/>
    </row>
    <row r="149" spans="1:9" s="46" customFormat="1" ht="18.75">
      <c r="A149" s="76" t="s">
        <v>65</v>
      </c>
      <c r="B149" s="77" t="s">
        <v>67</v>
      </c>
      <c r="C149" s="77" t="s">
        <v>380</v>
      </c>
      <c r="D149" s="1">
        <v>47.087</v>
      </c>
      <c r="E149" s="29">
        <f>100-(F149/D149)*100</f>
        <v>0</v>
      </c>
      <c r="F149" s="1">
        <f>SUM(D149)</f>
        <v>47.087</v>
      </c>
      <c r="G149" s="1">
        <v>47.086</v>
      </c>
      <c r="H149" s="75" t="s">
        <v>118</v>
      </c>
      <c r="I149" s="45"/>
    </row>
    <row r="150" spans="1:9" s="46" customFormat="1" ht="18.75">
      <c r="A150" s="76" t="s">
        <v>65</v>
      </c>
      <c r="B150" s="77" t="s">
        <v>67</v>
      </c>
      <c r="C150" s="77" t="s">
        <v>369</v>
      </c>
      <c r="D150" s="1">
        <v>54.353</v>
      </c>
      <c r="E150" s="29">
        <f>100-(F150/D150)*100</f>
        <v>0</v>
      </c>
      <c r="F150" s="1">
        <f>SUM(D150)</f>
        <v>54.353</v>
      </c>
      <c r="G150" s="1">
        <v>53.997</v>
      </c>
      <c r="H150" s="75" t="s">
        <v>118</v>
      </c>
      <c r="I150" s="45"/>
    </row>
    <row r="151" spans="1:9" s="46" customFormat="1" ht="18.75">
      <c r="A151" s="76" t="s">
        <v>65</v>
      </c>
      <c r="B151" s="77" t="s">
        <v>67</v>
      </c>
      <c r="C151" s="77" t="s">
        <v>372</v>
      </c>
      <c r="D151" s="1">
        <v>52.504</v>
      </c>
      <c r="E151" s="29">
        <f>100-(F151/D151)*100</f>
        <v>0</v>
      </c>
      <c r="F151" s="1">
        <f>SUM(D151)</f>
        <v>52.504</v>
      </c>
      <c r="G151" s="1">
        <v>52.504</v>
      </c>
      <c r="H151" s="75" t="s">
        <v>118</v>
      </c>
      <c r="I151" s="45"/>
    </row>
    <row r="152" spans="1:9" s="46" customFormat="1" ht="18.75">
      <c r="A152" s="76" t="s">
        <v>65</v>
      </c>
      <c r="B152" s="77" t="s">
        <v>67</v>
      </c>
      <c r="C152" s="77" t="s">
        <v>269</v>
      </c>
      <c r="D152" s="1">
        <v>52.372</v>
      </c>
      <c r="E152" s="29">
        <f t="shared" si="3"/>
        <v>0</v>
      </c>
      <c r="F152" s="1">
        <f aca="true" t="shared" si="4" ref="F152:F200">SUM(D152)</f>
        <v>52.372</v>
      </c>
      <c r="G152" s="1">
        <v>52.321</v>
      </c>
      <c r="H152" s="75" t="s">
        <v>118</v>
      </c>
      <c r="I152" s="45"/>
    </row>
    <row r="153" spans="1:9" s="46" customFormat="1" ht="18.75">
      <c r="A153" s="76" t="s">
        <v>65</v>
      </c>
      <c r="B153" s="77" t="s">
        <v>67</v>
      </c>
      <c r="C153" s="77" t="s">
        <v>390</v>
      </c>
      <c r="D153" s="1">
        <v>41.09</v>
      </c>
      <c r="E153" s="29">
        <f>100-(F153/D153)*100</f>
        <v>0</v>
      </c>
      <c r="F153" s="1">
        <f>SUM(D153)</f>
        <v>41.09</v>
      </c>
      <c r="G153" s="1">
        <v>39.464</v>
      </c>
      <c r="H153" s="75" t="s">
        <v>118</v>
      </c>
      <c r="I153" s="45"/>
    </row>
    <row r="154" spans="1:9" s="46" customFormat="1" ht="18.75">
      <c r="A154" s="76" t="s">
        <v>65</v>
      </c>
      <c r="B154" s="77" t="s">
        <v>67</v>
      </c>
      <c r="C154" s="77" t="s">
        <v>270</v>
      </c>
      <c r="D154" s="1">
        <v>65.071</v>
      </c>
      <c r="E154" s="29">
        <f t="shared" si="3"/>
        <v>0</v>
      </c>
      <c r="F154" s="1">
        <f t="shared" si="4"/>
        <v>65.071</v>
      </c>
      <c r="G154" s="1">
        <v>65.071</v>
      </c>
      <c r="H154" s="75" t="s">
        <v>118</v>
      </c>
      <c r="I154" s="45"/>
    </row>
    <row r="155" spans="1:9" s="46" customFormat="1" ht="18.75">
      <c r="A155" s="76" t="s">
        <v>65</v>
      </c>
      <c r="B155" s="77" t="s">
        <v>67</v>
      </c>
      <c r="C155" s="77" t="s">
        <v>271</v>
      </c>
      <c r="D155" s="1">
        <v>71.304</v>
      </c>
      <c r="E155" s="29">
        <f t="shared" si="3"/>
        <v>0</v>
      </c>
      <c r="F155" s="1">
        <f t="shared" si="4"/>
        <v>71.304</v>
      </c>
      <c r="G155" s="1">
        <v>71.304</v>
      </c>
      <c r="H155" s="75" t="s">
        <v>118</v>
      </c>
      <c r="I155" s="45"/>
    </row>
    <row r="156" spans="1:9" s="46" customFormat="1" ht="18.75">
      <c r="A156" s="76" t="s">
        <v>65</v>
      </c>
      <c r="B156" s="77" t="s">
        <v>67</v>
      </c>
      <c r="C156" s="77" t="s">
        <v>272</v>
      </c>
      <c r="D156" s="1">
        <v>92.568</v>
      </c>
      <c r="E156" s="29">
        <f t="shared" si="3"/>
        <v>0</v>
      </c>
      <c r="F156" s="1">
        <f t="shared" si="4"/>
        <v>92.568</v>
      </c>
      <c r="G156" s="1">
        <v>92.237</v>
      </c>
      <c r="H156" s="75" t="s">
        <v>118</v>
      </c>
      <c r="I156" s="45"/>
    </row>
    <row r="157" spans="1:9" s="46" customFormat="1" ht="18.75">
      <c r="A157" s="76" t="s">
        <v>65</v>
      </c>
      <c r="B157" s="77" t="s">
        <v>67</v>
      </c>
      <c r="C157" s="77" t="s">
        <v>273</v>
      </c>
      <c r="D157" s="1">
        <v>88.703</v>
      </c>
      <c r="E157" s="29">
        <f t="shared" si="3"/>
        <v>0</v>
      </c>
      <c r="F157" s="1">
        <f t="shared" si="4"/>
        <v>88.703</v>
      </c>
      <c r="G157" s="1">
        <v>79.73</v>
      </c>
      <c r="H157" s="75" t="s">
        <v>118</v>
      </c>
      <c r="I157" s="45"/>
    </row>
    <row r="158" spans="1:9" s="46" customFormat="1" ht="18.75">
      <c r="A158" s="76" t="s">
        <v>65</v>
      </c>
      <c r="B158" s="77" t="s">
        <v>67</v>
      </c>
      <c r="C158" s="77" t="s">
        <v>296</v>
      </c>
      <c r="D158" s="1">
        <v>61.612</v>
      </c>
      <c r="E158" s="29">
        <f>100-(F158/D158)*100</f>
        <v>0</v>
      </c>
      <c r="F158" s="1">
        <f>SUM(D158)</f>
        <v>61.612</v>
      </c>
      <c r="G158" s="1">
        <v>61.612</v>
      </c>
      <c r="H158" s="75" t="s">
        <v>118</v>
      </c>
      <c r="I158" s="45"/>
    </row>
    <row r="159" spans="1:9" s="46" customFormat="1" ht="18.75">
      <c r="A159" s="76" t="s">
        <v>65</v>
      </c>
      <c r="B159" s="77" t="s">
        <v>67</v>
      </c>
      <c r="C159" s="77" t="s">
        <v>274</v>
      </c>
      <c r="D159" s="1">
        <v>50.195</v>
      </c>
      <c r="E159" s="29">
        <f t="shared" si="3"/>
        <v>0</v>
      </c>
      <c r="F159" s="1">
        <f t="shared" si="4"/>
        <v>50.195</v>
      </c>
      <c r="G159" s="1">
        <v>50.195</v>
      </c>
      <c r="H159" s="75" t="s">
        <v>118</v>
      </c>
      <c r="I159" s="45"/>
    </row>
    <row r="160" spans="1:9" s="46" customFormat="1" ht="18.75">
      <c r="A160" s="76" t="s">
        <v>65</v>
      </c>
      <c r="B160" s="77" t="s">
        <v>67</v>
      </c>
      <c r="C160" s="77" t="s">
        <v>275</v>
      </c>
      <c r="D160" s="1">
        <v>56.441</v>
      </c>
      <c r="E160" s="29">
        <f t="shared" si="3"/>
        <v>0</v>
      </c>
      <c r="F160" s="1">
        <f t="shared" si="4"/>
        <v>56.441</v>
      </c>
      <c r="G160" s="1">
        <v>54.497</v>
      </c>
      <c r="H160" s="75" t="s">
        <v>118</v>
      </c>
      <c r="I160" s="45"/>
    </row>
    <row r="161" spans="1:9" s="46" customFormat="1" ht="18.75">
      <c r="A161" s="76" t="s">
        <v>65</v>
      </c>
      <c r="B161" s="77" t="s">
        <v>67</v>
      </c>
      <c r="C161" s="77" t="s">
        <v>276</v>
      </c>
      <c r="D161" s="1">
        <v>64.969</v>
      </c>
      <c r="E161" s="29">
        <f t="shared" si="3"/>
        <v>0</v>
      </c>
      <c r="F161" s="1">
        <f t="shared" si="4"/>
        <v>64.969</v>
      </c>
      <c r="G161" s="1">
        <v>64.969</v>
      </c>
      <c r="H161" s="75" t="s">
        <v>118</v>
      </c>
      <c r="I161" s="45"/>
    </row>
    <row r="162" spans="1:9" s="46" customFormat="1" ht="18.75">
      <c r="A162" s="76" t="s">
        <v>65</v>
      </c>
      <c r="B162" s="77" t="s">
        <v>67</v>
      </c>
      <c r="C162" s="77" t="s">
        <v>277</v>
      </c>
      <c r="D162" s="1">
        <v>79.571</v>
      </c>
      <c r="E162" s="29">
        <f t="shared" si="3"/>
        <v>0</v>
      </c>
      <c r="F162" s="1">
        <f t="shared" si="4"/>
        <v>79.571</v>
      </c>
      <c r="G162" s="1">
        <v>79.571</v>
      </c>
      <c r="H162" s="75" t="s">
        <v>118</v>
      </c>
      <c r="I162" s="45"/>
    </row>
    <row r="163" spans="1:9" s="46" customFormat="1" ht="18.75">
      <c r="A163" s="76" t="s">
        <v>65</v>
      </c>
      <c r="B163" s="77" t="s">
        <v>67</v>
      </c>
      <c r="C163" s="77" t="s">
        <v>278</v>
      </c>
      <c r="D163" s="1">
        <v>39.365</v>
      </c>
      <c r="E163" s="29">
        <f t="shared" si="3"/>
        <v>0</v>
      </c>
      <c r="F163" s="1">
        <f t="shared" si="4"/>
        <v>39.365</v>
      </c>
      <c r="G163" s="1">
        <v>39.286</v>
      </c>
      <c r="H163" s="75" t="s">
        <v>118</v>
      </c>
      <c r="I163" s="45"/>
    </row>
    <row r="164" spans="1:9" s="46" customFormat="1" ht="18.75">
      <c r="A164" s="76" t="s">
        <v>65</v>
      </c>
      <c r="B164" s="77" t="s">
        <v>67</v>
      </c>
      <c r="C164" s="77" t="s">
        <v>279</v>
      </c>
      <c r="D164" s="1">
        <v>54.952</v>
      </c>
      <c r="E164" s="29">
        <f t="shared" si="3"/>
        <v>0</v>
      </c>
      <c r="F164" s="1">
        <f t="shared" si="4"/>
        <v>54.952</v>
      </c>
      <c r="G164" s="1">
        <v>54.777</v>
      </c>
      <c r="H164" s="75" t="s">
        <v>118</v>
      </c>
      <c r="I164" s="45"/>
    </row>
    <row r="165" spans="1:9" s="46" customFormat="1" ht="18.75">
      <c r="A165" s="76" t="s">
        <v>65</v>
      </c>
      <c r="B165" s="77" t="s">
        <v>67</v>
      </c>
      <c r="C165" s="77" t="s">
        <v>280</v>
      </c>
      <c r="D165" s="1">
        <v>62.953</v>
      </c>
      <c r="E165" s="29">
        <f t="shared" si="3"/>
        <v>0</v>
      </c>
      <c r="F165" s="1">
        <f t="shared" si="4"/>
        <v>62.953</v>
      </c>
      <c r="G165" s="1">
        <v>62.953</v>
      </c>
      <c r="H165" s="75" t="s">
        <v>118</v>
      </c>
      <c r="I165" s="45"/>
    </row>
    <row r="166" spans="1:9" s="46" customFormat="1" ht="18.75">
      <c r="A166" s="76" t="s">
        <v>65</v>
      </c>
      <c r="B166" s="77" t="s">
        <v>67</v>
      </c>
      <c r="C166" s="77" t="s">
        <v>281</v>
      </c>
      <c r="D166" s="1">
        <v>34.528</v>
      </c>
      <c r="E166" s="29">
        <f t="shared" si="3"/>
        <v>0</v>
      </c>
      <c r="F166" s="1">
        <f t="shared" si="4"/>
        <v>34.528</v>
      </c>
      <c r="G166" s="1">
        <v>34.51</v>
      </c>
      <c r="H166" s="75" t="s">
        <v>118</v>
      </c>
      <c r="I166" s="45"/>
    </row>
    <row r="167" spans="1:9" s="46" customFormat="1" ht="18.75">
      <c r="A167" s="76" t="s">
        <v>65</v>
      </c>
      <c r="B167" s="77" t="s">
        <v>67</v>
      </c>
      <c r="C167" s="77" t="s">
        <v>373</v>
      </c>
      <c r="D167" s="1">
        <v>55.78</v>
      </c>
      <c r="E167" s="29">
        <f>100-(F167/D167)*100</f>
        <v>0</v>
      </c>
      <c r="F167" s="1">
        <f>SUM(D167)</f>
        <v>55.78</v>
      </c>
      <c r="G167" s="1">
        <v>55.329</v>
      </c>
      <c r="H167" s="75" t="s">
        <v>118</v>
      </c>
      <c r="I167" s="45"/>
    </row>
    <row r="168" spans="1:9" s="46" customFormat="1" ht="18.75">
      <c r="A168" s="76" t="s">
        <v>65</v>
      </c>
      <c r="B168" s="77" t="s">
        <v>67</v>
      </c>
      <c r="C168" s="77" t="s">
        <v>282</v>
      </c>
      <c r="D168" s="1">
        <v>57.184</v>
      </c>
      <c r="E168" s="29">
        <f t="shared" si="3"/>
        <v>0</v>
      </c>
      <c r="F168" s="1">
        <f t="shared" si="4"/>
        <v>57.184</v>
      </c>
      <c r="G168" s="1">
        <v>57.184</v>
      </c>
      <c r="H168" s="75" t="s">
        <v>118</v>
      </c>
      <c r="I168" s="45"/>
    </row>
    <row r="169" spans="1:9" s="46" customFormat="1" ht="18.75">
      <c r="A169" s="76" t="s">
        <v>65</v>
      </c>
      <c r="B169" s="77" t="s">
        <v>67</v>
      </c>
      <c r="C169" s="77" t="s">
        <v>283</v>
      </c>
      <c r="D169" s="1">
        <v>50.13</v>
      </c>
      <c r="E169" s="29">
        <f t="shared" si="3"/>
        <v>0</v>
      </c>
      <c r="F169" s="1">
        <f t="shared" si="4"/>
        <v>50.13</v>
      </c>
      <c r="G169" s="1">
        <v>49.872</v>
      </c>
      <c r="H169" s="75" t="s">
        <v>118</v>
      </c>
      <c r="I169" s="45"/>
    </row>
    <row r="170" spans="1:9" s="46" customFormat="1" ht="18.75">
      <c r="A170" s="76" t="s">
        <v>65</v>
      </c>
      <c r="B170" s="77" t="s">
        <v>67</v>
      </c>
      <c r="C170" s="77" t="s">
        <v>284</v>
      </c>
      <c r="D170" s="1">
        <v>60.459</v>
      </c>
      <c r="E170" s="29">
        <f t="shared" si="3"/>
        <v>0</v>
      </c>
      <c r="F170" s="1">
        <f t="shared" si="4"/>
        <v>60.459</v>
      </c>
      <c r="G170" s="1">
        <v>60.459</v>
      </c>
      <c r="H170" s="75" t="s">
        <v>118</v>
      </c>
      <c r="I170" s="45"/>
    </row>
    <row r="171" spans="1:9" s="46" customFormat="1" ht="18.75">
      <c r="A171" s="76" t="s">
        <v>65</v>
      </c>
      <c r="B171" s="77" t="s">
        <v>67</v>
      </c>
      <c r="C171" s="77" t="s">
        <v>382</v>
      </c>
      <c r="D171" s="1">
        <v>57.668</v>
      </c>
      <c r="E171" s="29">
        <f>100-(F171/D171)*100</f>
        <v>0</v>
      </c>
      <c r="F171" s="1">
        <f>SUM(D171)</f>
        <v>57.668</v>
      </c>
      <c r="G171" s="1">
        <v>57.668</v>
      </c>
      <c r="H171" s="75" t="s">
        <v>118</v>
      </c>
      <c r="I171" s="45"/>
    </row>
    <row r="172" spans="1:9" s="46" customFormat="1" ht="18.75">
      <c r="A172" s="76" t="s">
        <v>65</v>
      </c>
      <c r="B172" s="77" t="s">
        <v>67</v>
      </c>
      <c r="C172" s="77" t="s">
        <v>383</v>
      </c>
      <c r="D172" s="1">
        <v>57.486</v>
      </c>
      <c r="E172" s="29">
        <f>100-(F172/D172)*100</f>
        <v>0</v>
      </c>
      <c r="F172" s="1">
        <f>SUM(D172)</f>
        <v>57.486</v>
      </c>
      <c r="G172" s="1">
        <v>57.486</v>
      </c>
      <c r="H172" s="75" t="s">
        <v>118</v>
      </c>
      <c r="I172" s="45"/>
    </row>
    <row r="173" spans="1:9" s="46" customFormat="1" ht="18.75">
      <c r="A173" s="76" t="s">
        <v>65</v>
      </c>
      <c r="B173" s="77" t="s">
        <v>67</v>
      </c>
      <c r="C173" s="77" t="s">
        <v>285</v>
      </c>
      <c r="D173" s="1">
        <v>62.953</v>
      </c>
      <c r="E173" s="29">
        <f t="shared" si="3"/>
        <v>0</v>
      </c>
      <c r="F173" s="1">
        <f t="shared" si="4"/>
        <v>62.953</v>
      </c>
      <c r="G173" s="1">
        <v>7.073</v>
      </c>
      <c r="H173" s="75" t="s">
        <v>118</v>
      </c>
      <c r="I173" s="45"/>
    </row>
    <row r="174" spans="1:9" s="46" customFormat="1" ht="18.75">
      <c r="A174" s="76" t="s">
        <v>65</v>
      </c>
      <c r="B174" s="77" t="s">
        <v>67</v>
      </c>
      <c r="C174" s="77" t="s">
        <v>286</v>
      </c>
      <c r="D174" s="1">
        <v>58.691</v>
      </c>
      <c r="E174" s="29">
        <f t="shared" si="3"/>
        <v>0</v>
      </c>
      <c r="F174" s="1">
        <f t="shared" si="4"/>
        <v>58.691</v>
      </c>
      <c r="G174" s="1">
        <v>57.33</v>
      </c>
      <c r="H174" s="75" t="s">
        <v>118</v>
      </c>
      <c r="I174" s="45"/>
    </row>
    <row r="175" spans="1:9" s="46" customFormat="1" ht="18.75">
      <c r="A175" s="76" t="s">
        <v>65</v>
      </c>
      <c r="B175" s="77" t="s">
        <v>67</v>
      </c>
      <c r="C175" s="77" t="s">
        <v>287</v>
      </c>
      <c r="D175" s="1">
        <v>57.397</v>
      </c>
      <c r="E175" s="29">
        <f t="shared" si="3"/>
        <v>0</v>
      </c>
      <c r="F175" s="1">
        <f t="shared" si="4"/>
        <v>57.397</v>
      </c>
      <c r="G175" s="1">
        <v>57.397</v>
      </c>
      <c r="H175" s="75" t="s">
        <v>118</v>
      </c>
      <c r="I175" s="45"/>
    </row>
    <row r="176" spans="1:9" s="46" customFormat="1" ht="18.75">
      <c r="A176" s="76" t="s">
        <v>65</v>
      </c>
      <c r="B176" s="77" t="s">
        <v>67</v>
      </c>
      <c r="C176" s="77" t="s">
        <v>384</v>
      </c>
      <c r="D176" s="1">
        <v>45.508</v>
      </c>
      <c r="E176" s="29">
        <f>100-(F176/D176)*100</f>
        <v>0</v>
      </c>
      <c r="F176" s="1">
        <f>SUM(D176)</f>
        <v>45.508</v>
      </c>
      <c r="G176" s="1">
        <v>45.508</v>
      </c>
      <c r="H176" s="75" t="s">
        <v>118</v>
      </c>
      <c r="I176" s="45"/>
    </row>
    <row r="177" spans="1:9" s="46" customFormat="1" ht="18.75">
      <c r="A177" s="76" t="s">
        <v>65</v>
      </c>
      <c r="B177" s="77" t="s">
        <v>67</v>
      </c>
      <c r="C177" s="77" t="s">
        <v>288</v>
      </c>
      <c r="D177" s="1">
        <v>84.08</v>
      </c>
      <c r="E177" s="29">
        <f t="shared" si="3"/>
        <v>0</v>
      </c>
      <c r="F177" s="1">
        <f t="shared" si="4"/>
        <v>84.08</v>
      </c>
      <c r="G177" s="1">
        <v>82.73</v>
      </c>
      <c r="H177" s="75" t="s">
        <v>118</v>
      </c>
      <c r="I177" s="45"/>
    </row>
    <row r="178" spans="1:9" s="46" customFormat="1" ht="18.75">
      <c r="A178" s="76" t="s">
        <v>65</v>
      </c>
      <c r="B178" s="77" t="s">
        <v>67</v>
      </c>
      <c r="C178" s="77" t="s">
        <v>289</v>
      </c>
      <c r="D178" s="1">
        <v>64.172</v>
      </c>
      <c r="E178" s="29">
        <f t="shared" si="3"/>
        <v>0</v>
      </c>
      <c r="F178" s="1">
        <f t="shared" si="4"/>
        <v>64.172</v>
      </c>
      <c r="G178" s="1">
        <v>62.757</v>
      </c>
      <c r="H178" s="75" t="s">
        <v>118</v>
      </c>
      <c r="I178" s="45"/>
    </row>
    <row r="179" spans="1:9" s="46" customFormat="1" ht="18.75">
      <c r="A179" s="76" t="s">
        <v>65</v>
      </c>
      <c r="B179" s="77" t="s">
        <v>67</v>
      </c>
      <c r="C179" s="77" t="s">
        <v>290</v>
      </c>
      <c r="D179" s="1">
        <v>58.55</v>
      </c>
      <c r="E179" s="29">
        <f t="shared" si="3"/>
        <v>0</v>
      </c>
      <c r="F179" s="1">
        <f t="shared" si="4"/>
        <v>58.55</v>
      </c>
      <c r="G179" s="1">
        <v>55.004</v>
      </c>
      <c r="H179" s="75" t="s">
        <v>118</v>
      </c>
      <c r="I179" s="45"/>
    </row>
    <row r="180" spans="1:9" s="46" customFormat="1" ht="18.75">
      <c r="A180" s="76" t="s">
        <v>65</v>
      </c>
      <c r="B180" s="77" t="s">
        <v>67</v>
      </c>
      <c r="C180" s="77" t="s">
        <v>378</v>
      </c>
      <c r="D180" s="1">
        <v>46.313</v>
      </c>
      <c r="E180" s="29">
        <f>100-(F180/D180)*100</f>
        <v>0</v>
      </c>
      <c r="F180" s="1">
        <f>SUM(D180)</f>
        <v>46.313</v>
      </c>
      <c r="G180" s="1">
        <v>46.313</v>
      </c>
      <c r="H180" s="75" t="s">
        <v>118</v>
      </c>
      <c r="I180" s="45"/>
    </row>
    <row r="181" spans="1:9" s="46" customFormat="1" ht="18.75">
      <c r="A181" s="76" t="s">
        <v>65</v>
      </c>
      <c r="B181" s="77" t="s">
        <v>67</v>
      </c>
      <c r="C181" s="77" t="s">
        <v>291</v>
      </c>
      <c r="D181" s="1">
        <v>38.092</v>
      </c>
      <c r="E181" s="29">
        <f t="shared" si="3"/>
        <v>0</v>
      </c>
      <c r="F181" s="1">
        <f t="shared" si="4"/>
        <v>38.092</v>
      </c>
      <c r="G181" s="1">
        <v>36.904</v>
      </c>
      <c r="H181" s="75" t="s">
        <v>118</v>
      </c>
      <c r="I181" s="45"/>
    </row>
    <row r="182" spans="1:9" s="46" customFormat="1" ht="18.75">
      <c r="A182" s="76" t="s">
        <v>65</v>
      </c>
      <c r="B182" s="77" t="s">
        <v>67</v>
      </c>
      <c r="C182" s="77" t="s">
        <v>292</v>
      </c>
      <c r="D182" s="1">
        <v>80.096</v>
      </c>
      <c r="E182" s="29">
        <f t="shared" si="3"/>
        <v>0</v>
      </c>
      <c r="F182" s="1">
        <f t="shared" si="4"/>
        <v>80.096</v>
      </c>
      <c r="G182" s="1">
        <v>78.5</v>
      </c>
      <c r="H182" s="75" t="s">
        <v>118</v>
      </c>
      <c r="I182" s="45"/>
    </row>
    <row r="183" spans="1:9" s="46" customFormat="1" ht="18.75">
      <c r="A183" s="76" t="s">
        <v>65</v>
      </c>
      <c r="B183" s="77" t="s">
        <v>67</v>
      </c>
      <c r="C183" s="77" t="s">
        <v>293</v>
      </c>
      <c r="D183" s="1">
        <v>84.977</v>
      </c>
      <c r="E183" s="29">
        <f t="shared" si="3"/>
        <v>0</v>
      </c>
      <c r="F183" s="1">
        <f t="shared" si="4"/>
        <v>84.977</v>
      </c>
      <c r="G183" s="1">
        <v>82.181</v>
      </c>
      <c r="H183" s="75" t="s">
        <v>118</v>
      </c>
      <c r="I183" s="45"/>
    </row>
    <row r="184" spans="1:9" s="46" customFormat="1" ht="18.75">
      <c r="A184" s="76" t="s">
        <v>65</v>
      </c>
      <c r="B184" s="77" t="s">
        <v>67</v>
      </c>
      <c r="C184" s="77" t="s">
        <v>294</v>
      </c>
      <c r="D184" s="1">
        <v>56.282</v>
      </c>
      <c r="E184" s="29">
        <f t="shared" si="3"/>
        <v>0</v>
      </c>
      <c r="F184" s="1">
        <f t="shared" si="4"/>
        <v>56.282</v>
      </c>
      <c r="G184" s="1">
        <v>55.733</v>
      </c>
      <c r="H184" s="75" t="s">
        <v>118</v>
      </c>
      <c r="I184" s="45"/>
    </row>
    <row r="185" spans="1:9" s="46" customFormat="1" ht="18.75">
      <c r="A185" s="76" t="s">
        <v>65</v>
      </c>
      <c r="B185" s="77" t="s">
        <v>67</v>
      </c>
      <c r="C185" s="77" t="s">
        <v>295</v>
      </c>
      <c r="D185" s="1">
        <v>87.445</v>
      </c>
      <c r="E185" s="29">
        <f t="shared" si="3"/>
        <v>0</v>
      </c>
      <c r="F185" s="1">
        <f t="shared" si="4"/>
        <v>87.445</v>
      </c>
      <c r="G185" s="1">
        <v>87.445</v>
      </c>
      <c r="H185" s="75" t="s">
        <v>118</v>
      </c>
      <c r="I185" s="45"/>
    </row>
    <row r="186" spans="1:9" s="46" customFormat="1" ht="18.75">
      <c r="A186" s="76" t="s">
        <v>65</v>
      </c>
      <c r="B186" s="77" t="s">
        <v>67</v>
      </c>
      <c r="C186" s="77" t="s">
        <v>7</v>
      </c>
      <c r="D186" s="1">
        <v>60.834</v>
      </c>
      <c r="E186" s="29">
        <f t="shared" si="3"/>
        <v>0</v>
      </c>
      <c r="F186" s="1">
        <f t="shared" si="4"/>
        <v>60.834</v>
      </c>
      <c r="G186" s="1">
        <v>59.636</v>
      </c>
      <c r="H186" s="75" t="s">
        <v>118</v>
      </c>
      <c r="I186" s="45"/>
    </row>
    <row r="187" spans="1:9" s="46" customFormat="1" ht="18.75">
      <c r="A187" s="76" t="s">
        <v>65</v>
      </c>
      <c r="B187" s="77" t="s">
        <v>67</v>
      </c>
      <c r="C187" s="77" t="s">
        <v>304</v>
      </c>
      <c r="D187" s="1">
        <v>45.737</v>
      </c>
      <c r="E187" s="29">
        <f>100-(F187/D187)*100</f>
        <v>0</v>
      </c>
      <c r="F187" s="1">
        <f>SUM(D187)</f>
        <v>45.737</v>
      </c>
      <c r="G187" s="1">
        <v>45.737</v>
      </c>
      <c r="H187" s="75" t="s">
        <v>118</v>
      </c>
      <c r="I187" s="45"/>
    </row>
    <row r="188" spans="1:9" s="46" customFormat="1" ht="18.75">
      <c r="A188" s="76" t="s">
        <v>65</v>
      </c>
      <c r="B188" s="77" t="s">
        <v>67</v>
      </c>
      <c r="C188" s="77" t="s">
        <v>297</v>
      </c>
      <c r="D188" s="1">
        <v>60.713</v>
      </c>
      <c r="E188" s="29">
        <f t="shared" si="3"/>
        <v>0</v>
      </c>
      <c r="F188" s="1">
        <f t="shared" si="4"/>
        <v>60.713</v>
      </c>
      <c r="G188" s="1">
        <v>60.713</v>
      </c>
      <c r="H188" s="75" t="s">
        <v>118</v>
      </c>
      <c r="I188" s="45"/>
    </row>
    <row r="189" spans="1:9" s="46" customFormat="1" ht="18.75">
      <c r="A189" s="76" t="s">
        <v>65</v>
      </c>
      <c r="B189" s="77" t="s">
        <v>67</v>
      </c>
      <c r="C189" s="77" t="s">
        <v>298</v>
      </c>
      <c r="D189" s="1">
        <v>44.924</v>
      </c>
      <c r="E189" s="29">
        <f t="shared" si="3"/>
        <v>0</v>
      </c>
      <c r="F189" s="1">
        <f t="shared" si="4"/>
        <v>44.924</v>
      </c>
      <c r="G189" s="1">
        <v>44.924</v>
      </c>
      <c r="H189" s="75" t="s">
        <v>118</v>
      </c>
      <c r="I189" s="45"/>
    </row>
    <row r="190" spans="1:9" s="46" customFormat="1" ht="18.75">
      <c r="A190" s="76" t="s">
        <v>65</v>
      </c>
      <c r="B190" s="77" t="s">
        <v>67</v>
      </c>
      <c r="C190" s="77" t="s">
        <v>301</v>
      </c>
      <c r="D190" s="1">
        <v>71.2</v>
      </c>
      <c r="E190" s="29">
        <f>100-(F190/D190)*100</f>
        <v>0</v>
      </c>
      <c r="F190" s="1">
        <f>SUM(D190)</f>
        <v>71.2</v>
      </c>
      <c r="G190" s="1">
        <v>71.2</v>
      </c>
      <c r="H190" s="75" t="s">
        <v>118</v>
      </c>
      <c r="I190" s="45"/>
    </row>
    <row r="191" spans="1:9" s="46" customFormat="1" ht="18.75">
      <c r="A191" s="76" t="s">
        <v>65</v>
      </c>
      <c r="B191" s="77" t="s">
        <v>67</v>
      </c>
      <c r="C191" s="77" t="s">
        <v>299</v>
      </c>
      <c r="D191" s="1">
        <v>88.259</v>
      </c>
      <c r="E191" s="29">
        <f t="shared" si="3"/>
        <v>0</v>
      </c>
      <c r="F191" s="1">
        <f t="shared" si="4"/>
        <v>88.259</v>
      </c>
      <c r="G191" s="1">
        <v>82.649</v>
      </c>
      <c r="H191" s="75" t="s">
        <v>118</v>
      </c>
      <c r="I191" s="45"/>
    </row>
    <row r="192" spans="1:9" s="46" customFormat="1" ht="18.75">
      <c r="A192" s="76" t="s">
        <v>65</v>
      </c>
      <c r="B192" s="77" t="s">
        <v>67</v>
      </c>
      <c r="C192" s="77" t="s">
        <v>300</v>
      </c>
      <c r="D192" s="1">
        <v>88.746</v>
      </c>
      <c r="E192" s="29">
        <f t="shared" si="3"/>
        <v>0</v>
      </c>
      <c r="F192" s="1">
        <f t="shared" si="4"/>
        <v>88.746</v>
      </c>
      <c r="G192" s="1">
        <v>84.345</v>
      </c>
      <c r="H192" s="75" t="s">
        <v>118</v>
      </c>
      <c r="I192" s="45"/>
    </row>
    <row r="193" spans="1:9" s="46" customFormat="1" ht="18.75">
      <c r="A193" s="76" t="s">
        <v>65</v>
      </c>
      <c r="B193" s="77" t="s">
        <v>67</v>
      </c>
      <c r="C193" s="77" t="s">
        <v>302</v>
      </c>
      <c r="D193" s="1">
        <v>89.966</v>
      </c>
      <c r="E193" s="29">
        <f t="shared" si="3"/>
        <v>0</v>
      </c>
      <c r="F193" s="1">
        <f t="shared" si="4"/>
        <v>89.966</v>
      </c>
      <c r="G193" s="1">
        <v>89.966</v>
      </c>
      <c r="H193" s="75" t="s">
        <v>118</v>
      </c>
      <c r="I193" s="45"/>
    </row>
    <row r="194" spans="1:9" s="46" customFormat="1" ht="18.75">
      <c r="A194" s="76" t="s">
        <v>65</v>
      </c>
      <c r="B194" s="77" t="s">
        <v>67</v>
      </c>
      <c r="C194" s="77" t="s">
        <v>303</v>
      </c>
      <c r="D194" s="1">
        <v>71.436</v>
      </c>
      <c r="E194" s="29">
        <f t="shared" si="3"/>
        <v>0</v>
      </c>
      <c r="F194" s="1">
        <f t="shared" si="4"/>
        <v>71.436</v>
      </c>
      <c r="G194" s="1">
        <v>71.436</v>
      </c>
      <c r="H194" s="75" t="s">
        <v>118</v>
      </c>
      <c r="I194" s="45"/>
    </row>
    <row r="195" spans="1:9" s="46" customFormat="1" ht="18.75">
      <c r="A195" s="76" t="s">
        <v>65</v>
      </c>
      <c r="B195" s="77" t="s">
        <v>67</v>
      </c>
      <c r="C195" s="77" t="s">
        <v>305</v>
      </c>
      <c r="D195" s="1">
        <v>39.254</v>
      </c>
      <c r="E195" s="29">
        <f t="shared" si="3"/>
        <v>0</v>
      </c>
      <c r="F195" s="1">
        <f t="shared" si="4"/>
        <v>39.254</v>
      </c>
      <c r="G195" s="1">
        <v>38.528</v>
      </c>
      <c r="H195" s="75" t="s">
        <v>118</v>
      </c>
      <c r="I195" s="45"/>
    </row>
    <row r="196" spans="1:9" s="46" customFormat="1" ht="18.75">
      <c r="A196" s="76" t="s">
        <v>65</v>
      </c>
      <c r="B196" s="77" t="s">
        <v>67</v>
      </c>
      <c r="C196" s="77" t="s">
        <v>306</v>
      </c>
      <c r="D196" s="1">
        <v>45.906</v>
      </c>
      <c r="E196" s="29">
        <f t="shared" si="3"/>
        <v>0</v>
      </c>
      <c r="F196" s="1">
        <f t="shared" si="4"/>
        <v>45.906</v>
      </c>
      <c r="G196" s="1">
        <v>43.598</v>
      </c>
      <c r="H196" s="75" t="s">
        <v>118</v>
      </c>
      <c r="I196" s="45"/>
    </row>
    <row r="197" spans="1:9" s="46" customFormat="1" ht="18.75">
      <c r="A197" s="76" t="s">
        <v>65</v>
      </c>
      <c r="B197" s="77" t="s">
        <v>67</v>
      </c>
      <c r="C197" s="77" t="s">
        <v>307</v>
      </c>
      <c r="D197" s="1">
        <v>76.47</v>
      </c>
      <c r="E197" s="29">
        <f t="shared" si="3"/>
        <v>0</v>
      </c>
      <c r="F197" s="1">
        <f t="shared" si="4"/>
        <v>76.47</v>
      </c>
      <c r="G197" s="1">
        <v>76.47</v>
      </c>
      <c r="H197" s="75" t="s">
        <v>118</v>
      </c>
      <c r="I197" s="45"/>
    </row>
    <row r="198" spans="1:9" s="46" customFormat="1" ht="18.75">
      <c r="A198" s="76" t="s">
        <v>65</v>
      </c>
      <c r="B198" s="77" t="s">
        <v>67</v>
      </c>
      <c r="C198" s="77" t="s">
        <v>308</v>
      </c>
      <c r="D198" s="1">
        <v>83.593</v>
      </c>
      <c r="E198" s="29">
        <f t="shared" si="3"/>
        <v>0</v>
      </c>
      <c r="F198" s="1">
        <f t="shared" si="4"/>
        <v>83.593</v>
      </c>
      <c r="G198" s="1">
        <v>80.721</v>
      </c>
      <c r="H198" s="75" t="s">
        <v>118</v>
      </c>
      <c r="I198" s="45"/>
    </row>
    <row r="199" spans="1:9" s="46" customFormat="1" ht="18.75">
      <c r="A199" s="76" t="s">
        <v>65</v>
      </c>
      <c r="B199" s="77" t="s">
        <v>67</v>
      </c>
      <c r="C199" s="77" t="s">
        <v>309</v>
      </c>
      <c r="D199" s="1">
        <v>99.223</v>
      </c>
      <c r="E199" s="29">
        <f t="shared" si="3"/>
        <v>0</v>
      </c>
      <c r="F199" s="1">
        <f t="shared" si="4"/>
        <v>99.223</v>
      </c>
      <c r="G199" s="1">
        <v>99.223</v>
      </c>
      <c r="H199" s="75" t="s">
        <v>118</v>
      </c>
      <c r="I199" s="45"/>
    </row>
    <row r="200" spans="1:9" s="46" customFormat="1" ht="18.75">
      <c r="A200" s="76" t="s">
        <v>65</v>
      </c>
      <c r="B200" s="77" t="s">
        <v>67</v>
      </c>
      <c r="C200" s="77" t="s">
        <v>310</v>
      </c>
      <c r="D200" s="1">
        <v>78.787</v>
      </c>
      <c r="E200" s="29">
        <f t="shared" si="3"/>
        <v>0</v>
      </c>
      <c r="F200" s="1">
        <f t="shared" si="4"/>
        <v>78.787</v>
      </c>
      <c r="G200" s="1">
        <v>75.72</v>
      </c>
      <c r="H200" s="75" t="s">
        <v>118</v>
      </c>
      <c r="I200" s="45"/>
    </row>
    <row r="201" spans="1:9" s="46" customFormat="1" ht="18.75">
      <c r="A201" s="76" t="s">
        <v>65</v>
      </c>
      <c r="B201" s="77" t="s">
        <v>67</v>
      </c>
      <c r="C201" s="77" t="s">
        <v>367</v>
      </c>
      <c r="D201" s="1">
        <v>90.008</v>
      </c>
      <c r="E201" s="29">
        <f aca="true" t="shared" si="5" ref="E201:E220">100-(F201/D201)*100</f>
        <v>0</v>
      </c>
      <c r="F201" s="1">
        <f aca="true" t="shared" si="6" ref="F201:F220">SUM(D201)</f>
        <v>90.008</v>
      </c>
      <c r="G201" s="1">
        <v>90.008</v>
      </c>
      <c r="H201" s="75" t="s">
        <v>118</v>
      </c>
      <c r="I201" s="45"/>
    </row>
    <row r="202" spans="1:9" s="46" customFormat="1" ht="18.75">
      <c r="A202" s="76" t="s">
        <v>65</v>
      </c>
      <c r="B202" s="77" t="s">
        <v>67</v>
      </c>
      <c r="C202" s="77" t="s">
        <v>387</v>
      </c>
      <c r="D202" s="1">
        <v>45.839</v>
      </c>
      <c r="E202" s="29">
        <f>100-(F202/D202)*100</f>
        <v>0</v>
      </c>
      <c r="F202" s="1">
        <f>SUM(D202)</f>
        <v>45.839</v>
      </c>
      <c r="G202" s="1">
        <v>45.811</v>
      </c>
      <c r="H202" s="75" t="s">
        <v>118</v>
      </c>
      <c r="I202" s="45"/>
    </row>
    <row r="203" spans="1:9" s="46" customFormat="1" ht="18.75">
      <c r="A203" s="76" t="s">
        <v>65</v>
      </c>
      <c r="B203" s="77" t="s">
        <v>67</v>
      </c>
      <c r="C203" s="77" t="s">
        <v>368</v>
      </c>
      <c r="D203" s="1">
        <v>70.895</v>
      </c>
      <c r="E203" s="29">
        <f t="shared" si="5"/>
        <v>0</v>
      </c>
      <c r="F203" s="1">
        <f t="shared" si="6"/>
        <v>70.895</v>
      </c>
      <c r="G203" s="1">
        <v>70.817</v>
      </c>
      <c r="H203" s="75" t="s">
        <v>118</v>
      </c>
      <c r="I203" s="45"/>
    </row>
    <row r="204" spans="1:9" s="46" customFormat="1" ht="18.75">
      <c r="A204" s="76" t="s">
        <v>65</v>
      </c>
      <c r="B204" s="77" t="s">
        <v>67</v>
      </c>
      <c r="C204" s="77" t="s">
        <v>370</v>
      </c>
      <c r="D204" s="1">
        <v>61.058</v>
      </c>
      <c r="E204" s="29">
        <f t="shared" si="5"/>
        <v>0</v>
      </c>
      <c r="F204" s="1">
        <f t="shared" si="6"/>
        <v>61.058</v>
      </c>
      <c r="G204" s="1">
        <v>61.058</v>
      </c>
      <c r="H204" s="75" t="s">
        <v>118</v>
      </c>
      <c r="I204" s="45"/>
    </row>
    <row r="205" spans="1:9" s="46" customFormat="1" ht="18.75">
      <c r="A205" s="76" t="s">
        <v>65</v>
      </c>
      <c r="B205" s="77" t="s">
        <v>67</v>
      </c>
      <c r="C205" s="77" t="s">
        <v>371</v>
      </c>
      <c r="D205" s="1">
        <v>71.304</v>
      </c>
      <c r="E205" s="29">
        <f t="shared" si="5"/>
        <v>0</v>
      </c>
      <c r="F205" s="1">
        <f t="shared" si="6"/>
        <v>71.304</v>
      </c>
      <c r="G205" s="1">
        <v>71.304</v>
      </c>
      <c r="H205" s="75" t="s">
        <v>118</v>
      </c>
      <c r="I205" s="45"/>
    </row>
    <row r="206" spans="1:9" s="46" customFormat="1" ht="18.75">
      <c r="A206" s="76" t="s">
        <v>65</v>
      </c>
      <c r="B206" s="77" t="s">
        <v>67</v>
      </c>
      <c r="C206" s="77" t="s">
        <v>374</v>
      </c>
      <c r="D206" s="1">
        <v>55.194</v>
      </c>
      <c r="E206" s="29">
        <f t="shared" si="5"/>
        <v>0</v>
      </c>
      <c r="F206" s="1">
        <f t="shared" si="6"/>
        <v>55.194</v>
      </c>
      <c r="G206" s="1">
        <v>54.182</v>
      </c>
      <c r="H206" s="75" t="s">
        <v>118</v>
      </c>
      <c r="I206" s="45"/>
    </row>
    <row r="207" spans="1:9" s="46" customFormat="1" ht="18.75">
      <c r="A207" s="76" t="s">
        <v>65</v>
      </c>
      <c r="B207" s="77" t="s">
        <v>67</v>
      </c>
      <c r="C207" s="77" t="s">
        <v>375</v>
      </c>
      <c r="D207" s="1">
        <v>65.863</v>
      </c>
      <c r="E207" s="29">
        <f t="shared" si="5"/>
        <v>0</v>
      </c>
      <c r="F207" s="1">
        <f t="shared" si="6"/>
        <v>65.863</v>
      </c>
      <c r="G207" s="1">
        <v>65.863</v>
      </c>
      <c r="H207" s="75" t="s">
        <v>118</v>
      </c>
      <c r="I207" s="45"/>
    </row>
    <row r="208" spans="1:9" s="46" customFormat="1" ht="18.75">
      <c r="A208" s="76" t="s">
        <v>65</v>
      </c>
      <c r="B208" s="77" t="s">
        <v>67</v>
      </c>
      <c r="C208" s="77" t="s">
        <v>376</v>
      </c>
      <c r="D208" s="1">
        <v>72.646</v>
      </c>
      <c r="E208" s="29">
        <f t="shared" si="5"/>
        <v>0</v>
      </c>
      <c r="F208" s="1">
        <f t="shared" si="6"/>
        <v>72.646</v>
      </c>
      <c r="G208" s="1">
        <v>72.646</v>
      </c>
      <c r="H208" s="75" t="s">
        <v>118</v>
      </c>
      <c r="I208" s="45"/>
    </row>
    <row r="209" spans="1:9" s="46" customFormat="1" ht="18.75">
      <c r="A209" s="76" t="s">
        <v>65</v>
      </c>
      <c r="B209" s="77" t="s">
        <v>67</v>
      </c>
      <c r="C209" s="77" t="s">
        <v>4</v>
      </c>
      <c r="D209" s="1">
        <v>72.953</v>
      </c>
      <c r="E209" s="29">
        <f t="shared" si="5"/>
        <v>0</v>
      </c>
      <c r="F209" s="1">
        <f t="shared" si="6"/>
        <v>72.953</v>
      </c>
      <c r="G209" s="1">
        <v>72.953</v>
      </c>
      <c r="H209" s="75" t="s">
        <v>118</v>
      </c>
      <c r="I209" s="45"/>
    </row>
    <row r="210" spans="1:9" s="46" customFormat="1" ht="18.75">
      <c r="A210" s="76" t="s">
        <v>65</v>
      </c>
      <c r="B210" s="77" t="s">
        <v>67</v>
      </c>
      <c r="C210" s="77" t="s">
        <v>377</v>
      </c>
      <c r="D210" s="1">
        <v>40.468</v>
      </c>
      <c r="E210" s="29">
        <f t="shared" si="5"/>
        <v>0</v>
      </c>
      <c r="F210" s="1">
        <f t="shared" si="6"/>
        <v>40.468</v>
      </c>
      <c r="G210" s="1">
        <v>40.047</v>
      </c>
      <c r="H210" s="75" t="s">
        <v>118</v>
      </c>
      <c r="I210" s="45"/>
    </row>
    <row r="211" spans="1:9" s="46" customFormat="1" ht="18.75">
      <c r="A211" s="76" t="s">
        <v>65</v>
      </c>
      <c r="B211" s="77" t="s">
        <v>67</v>
      </c>
      <c r="C211" s="77" t="s">
        <v>379</v>
      </c>
      <c r="D211" s="1">
        <v>57.373</v>
      </c>
      <c r="E211" s="29">
        <f t="shared" si="5"/>
        <v>0</v>
      </c>
      <c r="F211" s="1">
        <f t="shared" si="6"/>
        <v>57.373</v>
      </c>
      <c r="G211" s="1">
        <v>54.18</v>
      </c>
      <c r="H211" s="75" t="s">
        <v>118</v>
      </c>
      <c r="I211" s="45"/>
    </row>
    <row r="212" spans="1:9" s="46" customFormat="1" ht="18.75">
      <c r="A212" s="76" t="s">
        <v>65</v>
      </c>
      <c r="B212" s="77" t="s">
        <v>67</v>
      </c>
      <c r="C212" s="77" t="s">
        <v>381</v>
      </c>
      <c r="D212" s="1">
        <v>63.158</v>
      </c>
      <c r="E212" s="29">
        <f t="shared" si="5"/>
        <v>0</v>
      </c>
      <c r="F212" s="1">
        <f t="shared" si="6"/>
        <v>63.158</v>
      </c>
      <c r="G212" s="1">
        <v>62.507</v>
      </c>
      <c r="H212" s="75" t="s">
        <v>118</v>
      </c>
      <c r="I212" s="45"/>
    </row>
    <row r="213" spans="1:9" s="46" customFormat="1" ht="18.75">
      <c r="A213" s="76" t="s">
        <v>65</v>
      </c>
      <c r="B213" s="77" t="s">
        <v>67</v>
      </c>
      <c r="C213" s="77" t="s">
        <v>385</v>
      </c>
      <c r="D213" s="1">
        <v>50.97</v>
      </c>
      <c r="E213" s="29">
        <f t="shared" si="5"/>
        <v>0</v>
      </c>
      <c r="F213" s="1">
        <f t="shared" si="6"/>
        <v>50.97</v>
      </c>
      <c r="G213" s="1">
        <v>50.97</v>
      </c>
      <c r="H213" s="75" t="s">
        <v>118</v>
      </c>
      <c r="I213" s="45"/>
    </row>
    <row r="214" spans="1:9" s="46" customFormat="1" ht="18.75">
      <c r="A214" s="76" t="s">
        <v>65</v>
      </c>
      <c r="B214" s="77" t="s">
        <v>67</v>
      </c>
      <c r="C214" s="77" t="s">
        <v>386</v>
      </c>
      <c r="D214" s="1">
        <v>56.728</v>
      </c>
      <c r="E214" s="29">
        <f t="shared" si="5"/>
        <v>0</v>
      </c>
      <c r="F214" s="1">
        <f t="shared" si="6"/>
        <v>56.728</v>
      </c>
      <c r="G214" s="1">
        <v>54.197</v>
      </c>
      <c r="H214" s="75" t="s">
        <v>118</v>
      </c>
      <c r="I214" s="45"/>
    </row>
    <row r="215" spans="1:9" s="46" customFormat="1" ht="18.75">
      <c r="A215" s="76" t="s">
        <v>65</v>
      </c>
      <c r="B215" s="77" t="s">
        <v>67</v>
      </c>
      <c r="C215" s="77" t="s">
        <v>388</v>
      </c>
      <c r="D215" s="1">
        <v>71.123</v>
      </c>
      <c r="E215" s="29">
        <f t="shared" si="5"/>
        <v>0</v>
      </c>
      <c r="F215" s="1">
        <f t="shared" si="6"/>
        <v>71.123</v>
      </c>
      <c r="G215" s="1">
        <v>63.565</v>
      </c>
      <c r="H215" s="75" t="s">
        <v>118</v>
      </c>
      <c r="I215" s="45"/>
    </row>
    <row r="216" spans="1:9" s="46" customFormat="1" ht="18.75">
      <c r="A216" s="76" t="s">
        <v>65</v>
      </c>
      <c r="B216" s="77" t="s">
        <v>67</v>
      </c>
      <c r="C216" s="77" t="s">
        <v>389</v>
      </c>
      <c r="D216" s="1">
        <v>71.123</v>
      </c>
      <c r="E216" s="29">
        <f t="shared" si="5"/>
        <v>0</v>
      </c>
      <c r="F216" s="1">
        <f t="shared" si="6"/>
        <v>71.123</v>
      </c>
      <c r="G216" s="1">
        <v>71.123</v>
      </c>
      <c r="H216" s="75" t="s">
        <v>118</v>
      </c>
      <c r="I216" s="45"/>
    </row>
    <row r="217" spans="1:9" s="46" customFormat="1" ht="18.75">
      <c r="A217" s="76" t="s">
        <v>65</v>
      </c>
      <c r="B217" s="77" t="s">
        <v>67</v>
      </c>
      <c r="C217" s="77" t="s">
        <v>6</v>
      </c>
      <c r="D217" s="1">
        <v>51.852</v>
      </c>
      <c r="E217" s="29">
        <f t="shared" si="5"/>
        <v>0</v>
      </c>
      <c r="F217" s="1">
        <f t="shared" si="6"/>
        <v>51.852</v>
      </c>
      <c r="G217" s="1">
        <v>51.852</v>
      </c>
      <c r="H217" s="75" t="s">
        <v>118</v>
      </c>
      <c r="I217" s="45"/>
    </row>
    <row r="218" spans="1:9" s="46" customFormat="1" ht="18.75">
      <c r="A218" s="76" t="s">
        <v>65</v>
      </c>
      <c r="B218" s="77" t="s">
        <v>67</v>
      </c>
      <c r="C218" s="67" t="s">
        <v>23</v>
      </c>
      <c r="D218" s="1">
        <v>55.104</v>
      </c>
      <c r="E218" s="29">
        <f t="shared" si="5"/>
        <v>0</v>
      </c>
      <c r="F218" s="1">
        <f t="shared" si="6"/>
        <v>55.104</v>
      </c>
      <c r="G218" s="1">
        <v>54.974</v>
      </c>
      <c r="H218" s="75" t="s">
        <v>118</v>
      </c>
      <c r="I218" s="45"/>
    </row>
    <row r="219" spans="1:9" s="46" customFormat="1" ht="18.75">
      <c r="A219" s="76" t="s">
        <v>65</v>
      </c>
      <c r="B219" s="77" t="s">
        <v>67</v>
      </c>
      <c r="C219" s="67" t="s">
        <v>24</v>
      </c>
      <c r="D219" s="1">
        <v>32.312</v>
      </c>
      <c r="E219" s="29">
        <f t="shared" si="5"/>
        <v>0</v>
      </c>
      <c r="F219" s="1">
        <f t="shared" si="6"/>
        <v>32.312</v>
      </c>
      <c r="G219" s="1">
        <v>32.312</v>
      </c>
      <c r="H219" s="75" t="s">
        <v>118</v>
      </c>
      <c r="I219" s="45"/>
    </row>
    <row r="220" spans="1:9" s="46" customFormat="1" ht="18.75">
      <c r="A220" s="76" t="s">
        <v>65</v>
      </c>
      <c r="B220" s="77" t="s">
        <v>67</v>
      </c>
      <c r="C220" s="67" t="s">
        <v>25</v>
      </c>
      <c r="D220" s="1">
        <v>32.312</v>
      </c>
      <c r="E220" s="29">
        <f t="shared" si="5"/>
        <v>0</v>
      </c>
      <c r="F220" s="1">
        <f t="shared" si="6"/>
        <v>32.312</v>
      </c>
      <c r="G220" s="1">
        <v>32.312</v>
      </c>
      <c r="H220" s="75" t="s">
        <v>118</v>
      </c>
      <c r="I220" s="45"/>
    </row>
    <row r="221" spans="1:9" ht="30" customHeight="1">
      <c r="A221" s="197" t="s">
        <v>65</v>
      </c>
      <c r="B221" s="196" t="s">
        <v>67</v>
      </c>
      <c r="C221" s="77" t="s">
        <v>168</v>
      </c>
      <c r="D221" s="1">
        <f>SUM(D223:D258)</f>
        <v>1579.948</v>
      </c>
      <c r="E221" s="29">
        <f>100-(F221/D221)*100</f>
        <v>0</v>
      </c>
      <c r="F221" s="1">
        <f>SUM(F223:F258)</f>
        <v>1579.948</v>
      </c>
      <c r="G221" s="1">
        <f>SUM(G223:G258)</f>
        <v>1579.948</v>
      </c>
      <c r="H221" s="203" t="s">
        <v>118</v>
      </c>
      <c r="I221" s="32"/>
    </row>
    <row r="222" spans="1:9" s="46" customFormat="1" ht="21" customHeight="1">
      <c r="A222" s="197"/>
      <c r="B222" s="196"/>
      <c r="C222" s="77" t="s">
        <v>268</v>
      </c>
      <c r="D222" s="43"/>
      <c r="E222" s="44"/>
      <c r="F222" s="43"/>
      <c r="G222" s="43"/>
      <c r="H222" s="203"/>
      <c r="I222" s="45"/>
    </row>
    <row r="223" spans="1:9" s="46" customFormat="1" ht="18.75">
      <c r="A223" s="76" t="s">
        <v>65</v>
      </c>
      <c r="B223" s="77" t="s">
        <v>67</v>
      </c>
      <c r="C223" s="77" t="s">
        <v>311</v>
      </c>
      <c r="D223" s="1">
        <v>42.5</v>
      </c>
      <c r="E223" s="29">
        <f aca="true" t="shared" si="7" ref="E223:E241">100-(F223/D223)*100</f>
        <v>0</v>
      </c>
      <c r="F223" s="1">
        <f>SUM(D223)</f>
        <v>42.5</v>
      </c>
      <c r="G223" s="1">
        <v>42.5</v>
      </c>
      <c r="H223" s="75" t="s">
        <v>118</v>
      </c>
      <c r="I223" s="45"/>
    </row>
    <row r="224" spans="1:9" s="46" customFormat="1" ht="18.75">
      <c r="A224" s="76" t="s">
        <v>65</v>
      </c>
      <c r="B224" s="77" t="s">
        <v>67</v>
      </c>
      <c r="C224" s="77" t="s">
        <v>312</v>
      </c>
      <c r="D224" s="1">
        <v>42.5</v>
      </c>
      <c r="E224" s="29">
        <f t="shared" si="7"/>
        <v>0</v>
      </c>
      <c r="F224" s="1">
        <f aca="true" t="shared" si="8" ref="F224:F241">SUM(D224)</f>
        <v>42.5</v>
      </c>
      <c r="G224" s="1">
        <v>42.5</v>
      </c>
      <c r="H224" s="75" t="s">
        <v>118</v>
      </c>
      <c r="I224" s="45"/>
    </row>
    <row r="225" spans="1:9" s="46" customFormat="1" ht="18.75">
      <c r="A225" s="76" t="s">
        <v>65</v>
      </c>
      <c r="B225" s="77" t="s">
        <v>67</v>
      </c>
      <c r="C225" s="77" t="s">
        <v>313</v>
      </c>
      <c r="D225" s="1">
        <v>42.5</v>
      </c>
      <c r="E225" s="29">
        <f t="shared" si="7"/>
        <v>0</v>
      </c>
      <c r="F225" s="1">
        <f t="shared" si="8"/>
        <v>42.5</v>
      </c>
      <c r="G225" s="1">
        <v>42.5</v>
      </c>
      <c r="H225" s="75" t="s">
        <v>118</v>
      </c>
      <c r="I225" s="45"/>
    </row>
    <row r="226" spans="1:9" s="46" customFormat="1" ht="18.75">
      <c r="A226" s="76" t="s">
        <v>65</v>
      </c>
      <c r="B226" s="77" t="s">
        <v>67</v>
      </c>
      <c r="C226" s="77" t="s">
        <v>314</v>
      </c>
      <c r="D226" s="1">
        <v>42.5</v>
      </c>
      <c r="E226" s="29">
        <f t="shared" si="7"/>
        <v>0</v>
      </c>
      <c r="F226" s="1">
        <f t="shared" si="8"/>
        <v>42.5</v>
      </c>
      <c r="G226" s="1">
        <v>42.5</v>
      </c>
      <c r="H226" s="75" t="s">
        <v>118</v>
      </c>
      <c r="I226" s="45"/>
    </row>
    <row r="227" spans="1:9" s="46" customFormat="1" ht="18.75">
      <c r="A227" s="76" t="s">
        <v>65</v>
      </c>
      <c r="B227" s="77" t="s">
        <v>67</v>
      </c>
      <c r="C227" s="77" t="s">
        <v>315</v>
      </c>
      <c r="D227" s="1">
        <v>42.5</v>
      </c>
      <c r="E227" s="29">
        <f t="shared" si="7"/>
        <v>0</v>
      </c>
      <c r="F227" s="1">
        <f t="shared" si="8"/>
        <v>42.5</v>
      </c>
      <c r="G227" s="1">
        <v>42.5</v>
      </c>
      <c r="H227" s="75" t="s">
        <v>118</v>
      </c>
      <c r="I227" s="45"/>
    </row>
    <row r="228" spans="1:9" s="46" customFormat="1" ht="18.75">
      <c r="A228" s="76" t="s">
        <v>65</v>
      </c>
      <c r="B228" s="77" t="s">
        <v>67</v>
      </c>
      <c r="C228" s="77" t="s">
        <v>316</v>
      </c>
      <c r="D228" s="1">
        <v>42.5</v>
      </c>
      <c r="E228" s="29">
        <f t="shared" si="7"/>
        <v>0</v>
      </c>
      <c r="F228" s="1">
        <f t="shared" si="8"/>
        <v>42.5</v>
      </c>
      <c r="G228" s="1">
        <v>42.5</v>
      </c>
      <c r="H228" s="75" t="s">
        <v>118</v>
      </c>
      <c r="I228" s="45"/>
    </row>
    <row r="229" spans="1:9" s="46" customFormat="1" ht="18.75">
      <c r="A229" s="76" t="s">
        <v>65</v>
      </c>
      <c r="B229" s="77" t="s">
        <v>67</v>
      </c>
      <c r="C229" s="77" t="s">
        <v>317</v>
      </c>
      <c r="D229" s="1">
        <v>42.5</v>
      </c>
      <c r="E229" s="29">
        <f t="shared" si="7"/>
        <v>0</v>
      </c>
      <c r="F229" s="1">
        <f t="shared" si="8"/>
        <v>42.5</v>
      </c>
      <c r="G229" s="1">
        <v>42.5</v>
      </c>
      <c r="H229" s="75" t="s">
        <v>118</v>
      </c>
      <c r="I229" s="45"/>
    </row>
    <row r="230" spans="1:9" s="46" customFormat="1" ht="18.75">
      <c r="A230" s="76" t="s">
        <v>65</v>
      </c>
      <c r="B230" s="77" t="s">
        <v>67</v>
      </c>
      <c r="C230" s="77" t="s">
        <v>318</v>
      </c>
      <c r="D230" s="1">
        <v>42.5</v>
      </c>
      <c r="E230" s="29">
        <f t="shared" si="7"/>
        <v>0</v>
      </c>
      <c r="F230" s="1">
        <f t="shared" si="8"/>
        <v>42.5</v>
      </c>
      <c r="G230" s="1">
        <v>42.5</v>
      </c>
      <c r="H230" s="75" t="s">
        <v>118</v>
      </c>
      <c r="I230" s="45"/>
    </row>
    <row r="231" spans="1:9" s="46" customFormat="1" ht="18.75">
      <c r="A231" s="76" t="s">
        <v>65</v>
      </c>
      <c r="B231" s="77" t="s">
        <v>67</v>
      </c>
      <c r="C231" s="77" t="s">
        <v>319</v>
      </c>
      <c r="D231" s="1">
        <v>42.5</v>
      </c>
      <c r="E231" s="29">
        <f t="shared" si="7"/>
        <v>0</v>
      </c>
      <c r="F231" s="1">
        <f t="shared" si="8"/>
        <v>42.5</v>
      </c>
      <c r="G231" s="1">
        <v>42.5</v>
      </c>
      <c r="H231" s="75" t="s">
        <v>118</v>
      </c>
      <c r="I231" s="45"/>
    </row>
    <row r="232" spans="1:9" s="46" customFormat="1" ht="18.75">
      <c r="A232" s="76" t="s">
        <v>65</v>
      </c>
      <c r="B232" s="77" t="s">
        <v>67</v>
      </c>
      <c r="C232" s="77" t="s">
        <v>320</v>
      </c>
      <c r="D232" s="1">
        <v>42.5</v>
      </c>
      <c r="E232" s="29">
        <f t="shared" si="7"/>
        <v>0</v>
      </c>
      <c r="F232" s="1">
        <f t="shared" si="8"/>
        <v>42.5</v>
      </c>
      <c r="G232" s="1">
        <v>42.5</v>
      </c>
      <c r="H232" s="75" t="s">
        <v>118</v>
      </c>
      <c r="I232" s="45"/>
    </row>
    <row r="233" spans="1:9" s="46" customFormat="1" ht="18.75">
      <c r="A233" s="76" t="s">
        <v>65</v>
      </c>
      <c r="B233" s="77" t="s">
        <v>67</v>
      </c>
      <c r="C233" s="77" t="s">
        <v>321</v>
      </c>
      <c r="D233" s="1">
        <v>42.5</v>
      </c>
      <c r="E233" s="29">
        <f t="shared" si="7"/>
        <v>0</v>
      </c>
      <c r="F233" s="1">
        <f t="shared" si="8"/>
        <v>42.5</v>
      </c>
      <c r="G233" s="1">
        <v>42.5</v>
      </c>
      <c r="H233" s="75" t="s">
        <v>118</v>
      </c>
      <c r="I233" s="45"/>
    </row>
    <row r="234" spans="1:9" s="46" customFormat="1" ht="18.75">
      <c r="A234" s="76" t="s">
        <v>65</v>
      </c>
      <c r="B234" s="77" t="s">
        <v>67</v>
      </c>
      <c r="C234" s="77" t="s">
        <v>322</v>
      </c>
      <c r="D234" s="1">
        <v>42.5</v>
      </c>
      <c r="E234" s="29">
        <f t="shared" si="7"/>
        <v>0</v>
      </c>
      <c r="F234" s="1">
        <f t="shared" si="8"/>
        <v>42.5</v>
      </c>
      <c r="G234" s="1">
        <v>42.5</v>
      </c>
      <c r="H234" s="75" t="s">
        <v>118</v>
      </c>
      <c r="I234" s="45"/>
    </row>
    <row r="235" spans="1:9" s="46" customFormat="1" ht="18.75">
      <c r="A235" s="76" t="s">
        <v>65</v>
      </c>
      <c r="B235" s="77" t="s">
        <v>67</v>
      </c>
      <c r="C235" s="77" t="s">
        <v>323</v>
      </c>
      <c r="D235" s="1">
        <v>42.5</v>
      </c>
      <c r="E235" s="29">
        <f t="shared" si="7"/>
        <v>0</v>
      </c>
      <c r="F235" s="1">
        <f t="shared" si="8"/>
        <v>42.5</v>
      </c>
      <c r="G235" s="1">
        <v>42.5</v>
      </c>
      <c r="H235" s="75" t="s">
        <v>118</v>
      </c>
      <c r="I235" s="45"/>
    </row>
    <row r="236" spans="1:9" s="46" customFormat="1" ht="18.75">
      <c r="A236" s="76" t="s">
        <v>65</v>
      </c>
      <c r="B236" s="77" t="s">
        <v>67</v>
      </c>
      <c r="C236" s="77" t="s">
        <v>324</v>
      </c>
      <c r="D236" s="1">
        <v>42.5</v>
      </c>
      <c r="E236" s="29">
        <f t="shared" si="7"/>
        <v>0</v>
      </c>
      <c r="F236" s="1">
        <f t="shared" si="8"/>
        <v>42.5</v>
      </c>
      <c r="G236" s="1">
        <v>42.5</v>
      </c>
      <c r="H236" s="75" t="s">
        <v>118</v>
      </c>
      <c r="I236" s="45"/>
    </row>
    <row r="237" spans="1:9" s="46" customFormat="1" ht="18.75">
      <c r="A237" s="76" t="s">
        <v>65</v>
      </c>
      <c r="B237" s="77" t="s">
        <v>67</v>
      </c>
      <c r="C237" s="77" t="s">
        <v>325</v>
      </c>
      <c r="D237" s="1">
        <v>42.5</v>
      </c>
      <c r="E237" s="29">
        <f t="shared" si="7"/>
        <v>0</v>
      </c>
      <c r="F237" s="1">
        <f t="shared" si="8"/>
        <v>42.5</v>
      </c>
      <c r="G237" s="1">
        <v>42.5</v>
      </c>
      <c r="H237" s="75" t="s">
        <v>118</v>
      </c>
      <c r="I237" s="45"/>
    </row>
    <row r="238" spans="1:9" s="46" customFormat="1" ht="18.75">
      <c r="A238" s="76" t="s">
        <v>65</v>
      </c>
      <c r="B238" s="77" t="s">
        <v>67</v>
      </c>
      <c r="C238" s="77" t="s">
        <v>326</v>
      </c>
      <c r="D238" s="1">
        <v>42.5</v>
      </c>
      <c r="E238" s="29">
        <f t="shared" si="7"/>
        <v>0</v>
      </c>
      <c r="F238" s="1">
        <f t="shared" si="8"/>
        <v>42.5</v>
      </c>
      <c r="G238" s="1">
        <v>42.5</v>
      </c>
      <c r="H238" s="75" t="s">
        <v>118</v>
      </c>
      <c r="I238" s="45"/>
    </row>
    <row r="239" spans="1:9" s="46" customFormat="1" ht="18.75">
      <c r="A239" s="76" t="s">
        <v>65</v>
      </c>
      <c r="B239" s="77" t="s">
        <v>67</v>
      </c>
      <c r="C239" s="77" t="s">
        <v>327</v>
      </c>
      <c r="D239" s="1">
        <v>42.5</v>
      </c>
      <c r="E239" s="29">
        <f t="shared" si="7"/>
        <v>0</v>
      </c>
      <c r="F239" s="1">
        <f t="shared" si="8"/>
        <v>42.5</v>
      </c>
      <c r="G239" s="1">
        <v>42.5</v>
      </c>
      <c r="H239" s="75" t="s">
        <v>118</v>
      </c>
      <c r="I239" s="45"/>
    </row>
    <row r="240" spans="1:9" s="46" customFormat="1" ht="18.75">
      <c r="A240" s="76" t="s">
        <v>65</v>
      </c>
      <c r="B240" s="77" t="s">
        <v>67</v>
      </c>
      <c r="C240" s="77" t="s">
        <v>328</v>
      </c>
      <c r="D240" s="1">
        <v>42.5</v>
      </c>
      <c r="E240" s="29">
        <f t="shared" si="7"/>
        <v>0</v>
      </c>
      <c r="F240" s="1">
        <f t="shared" si="8"/>
        <v>42.5</v>
      </c>
      <c r="G240" s="1">
        <v>42.5</v>
      </c>
      <c r="H240" s="75" t="s">
        <v>118</v>
      </c>
      <c r="I240" s="45"/>
    </row>
    <row r="241" spans="1:9" s="46" customFormat="1" ht="18.75">
      <c r="A241" s="76" t="s">
        <v>65</v>
      </c>
      <c r="B241" s="77" t="s">
        <v>67</v>
      </c>
      <c r="C241" s="77" t="s">
        <v>329</v>
      </c>
      <c r="D241" s="1">
        <v>42.5</v>
      </c>
      <c r="E241" s="29">
        <f t="shared" si="7"/>
        <v>0</v>
      </c>
      <c r="F241" s="1">
        <f t="shared" si="8"/>
        <v>42.5</v>
      </c>
      <c r="G241" s="1">
        <v>42.5</v>
      </c>
      <c r="H241" s="75" t="s">
        <v>118</v>
      </c>
      <c r="I241" s="45"/>
    </row>
    <row r="242" spans="1:9" s="46" customFormat="1" ht="18.75">
      <c r="A242" s="76" t="s">
        <v>65</v>
      </c>
      <c r="B242" s="77" t="s">
        <v>67</v>
      </c>
      <c r="C242" s="77" t="s">
        <v>391</v>
      </c>
      <c r="D242" s="1">
        <v>42.5</v>
      </c>
      <c r="E242" s="29">
        <f aca="true" t="shared" si="9" ref="E242:E258">100-(F242/D242)*100</f>
        <v>0</v>
      </c>
      <c r="F242" s="1">
        <f aca="true" t="shared" si="10" ref="F242:F258">SUM(D242)</f>
        <v>42.5</v>
      </c>
      <c r="G242" s="1">
        <v>42.5</v>
      </c>
      <c r="H242" s="75" t="s">
        <v>118</v>
      </c>
      <c r="I242" s="45"/>
    </row>
    <row r="243" spans="1:9" s="46" customFormat="1" ht="18.75">
      <c r="A243" s="76" t="s">
        <v>65</v>
      </c>
      <c r="B243" s="77" t="s">
        <v>67</v>
      </c>
      <c r="C243" s="77" t="s">
        <v>392</v>
      </c>
      <c r="D243" s="1">
        <v>42.5</v>
      </c>
      <c r="E243" s="29">
        <f t="shared" si="9"/>
        <v>0</v>
      </c>
      <c r="F243" s="1">
        <f t="shared" si="10"/>
        <v>42.5</v>
      </c>
      <c r="G243" s="1">
        <v>42.5</v>
      </c>
      <c r="H243" s="75" t="s">
        <v>118</v>
      </c>
      <c r="I243" s="45"/>
    </row>
    <row r="244" spans="1:9" s="46" customFormat="1" ht="18.75">
      <c r="A244" s="76" t="s">
        <v>65</v>
      </c>
      <c r="B244" s="77" t="s">
        <v>67</v>
      </c>
      <c r="C244" s="77" t="s">
        <v>393</v>
      </c>
      <c r="D244" s="1">
        <v>42.5</v>
      </c>
      <c r="E244" s="29">
        <f t="shared" si="9"/>
        <v>0</v>
      </c>
      <c r="F244" s="1">
        <f t="shared" si="10"/>
        <v>42.5</v>
      </c>
      <c r="G244" s="1">
        <v>42.5</v>
      </c>
      <c r="H244" s="75" t="s">
        <v>118</v>
      </c>
      <c r="I244" s="45"/>
    </row>
    <row r="245" spans="1:9" s="46" customFormat="1" ht="18.75">
      <c r="A245" s="76" t="s">
        <v>65</v>
      </c>
      <c r="B245" s="77" t="s">
        <v>67</v>
      </c>
      <c r="C245" s="77" t="s">
        <v>394</v>
      </c>
      <c r="D245" s="1">
        <v>42.5</v>
      </c>
      <c r="E245" s="29">
        <f t="shared" si="9"/>
        <v>0</v>
      </c>
      <c r="F245" s="1">
        <f t="shared" si="10"/>
        <v>42.5</v>
      </c>
      <c r="G245" s="1">
        <v>42.5</v>
      </c>
      <c r="H245" s="75" t="s">
        <v>118</v>
      </c>
      <c r="I245" s="45"/>
    </row>
    <row r="246" spans="1:9" s="46" customFormat="1" ht="18.75">
      <c r="A246" s="76" t="s">
        <v>65</v>
      </c>
      <c r="B246" s="77" t="s">
        <v>67</v>
      </c>
      <c r="C246" s="77" t="s">
        <v>395</v>
      </c>
      <c r="D246" s="1">
        <v>42.5</v>
      </c>
      <c r="E246" s="29">
        <f t="shared" si="9"/>
        <v>0</v>
      </c>
      <c r="F246" s="1">
        <f t="shared" si="10"/>
        <v>42.5</v>
      </c>
      <c r="G246" s="1">
        <v>42.5</v>
      </c>
      <c r="H246" s="75" t="s">
        <v>118</v>
      </c>
      <c r="I246" s="45"/>
    </row>
    <row r="247" spans="1:9" s="46" customFormat="1" ht="18.75">
      <c r="A247" s="76" t="s">
        <v>65</v>
      </c>
      <c r="B247" s="77" t="s">
        <v>67</v>
      </c>
      <c r="C247" s="77" t="s">
        <v>396</v>
      </c>
      <c r="D247" s="1">
        <v>42.5</v>
      </c>
      <c r="E247" s="29">
        <f t="shared" si="9"/>
        <v>0</v>
      </c>
      <c r="F247" s="1">
        <f t="shared" si="10"/>
        <v>42.5</v>
      </c>
      <c r="G247" s="1">
        <v>42.5</v>
      </c>
      <c r="H247" s="75" t="s">
        <v>118</v>
      </c>
      <c r="I247" s="45"/>
    </row>
    <row r="248" spans="1:9" s="46" customFormat="1" ht="18.75">
      <c r="A248" s="76" t="s">
        <v>65</v>
      </c>
      <c r="B248" s="77" t="s">
        <v>67</v>
      </c>
      <c r="C248" s="77" t="s">
        <v>397</v>
      </c>
      <c r="D248" s="1">
        <v>42.5</v>
      </c>
      <c r="E248" s="29">
        <f t="shared" si="9"/>
        <v>0</v>
      </c>
      <c r="F248" s="1">
        <f t="shared" si="10"/>
        <v>42.5</v>
      </c>
      <c r="G248" s="1">
        <v>42.5</v>
      </c>
      <c r="H248" s="75" t="s">
        <v>118</v>
      </c>
      <c r="I248" s="45"/>
    </row>
    <row r="249" spans="1:9" s="46" customFormat="1" ht="18.75">
      <c r="A249" s="76" t="s">
        <v>65</v>
      </c>
      <c r="B249" s="77" t="s">
        <v>67</v>
      </c>
      <c r="C249" s="77" t="s">
        <v>398</v>
      </c>
      <c r="D249" s="1">
        <v>42.5</v>
      </c>
      <c r="E249" s="29">
        <f t="shared" si="9"/>
        <v>0</v>
      </c>
      <c r="F249" s="1">
        <f t="shared" si="10"/>
        <v>42.5</v>
      </c>
      <c r="G249" s="1">
        <v>42.5</v>
      </c>
      <c r="H249" s="75" t="s">
        <v>118</v>
      </c>
      <c r="I249" s="45"/>
    </row>
    <row r="250" spans="1:9" s="46" customFormat="1" ht="18.75">
      <c r="A250" s="76" t="s">
        <v>65</v>
      </c>
      <c r="B250" s="77" t="s">
        <v>67</v>
      </c>
      <c r="C250" s="77" t="s">
        <v>399</v>
      </c>
      <c r="D250" s="1">
        <v>42.5</v>
      </c>
      <c r="E250" s="29">
        <f t="shared" si="9"/>
        <v>0</v>
      </c>
      <c r="F250" s="1">
        <f t="shared" si="10"/>
        <v>42.5</v>
      </c>
      <c r="G250" s="1">
        <v>42.5</v>
      </c>
      <c r="H250" s="75" t="s">
        <v>118</v>
      </c>
      <c r="I250" s="45"/>
    </row>
    <row r="251" spans="1:9" s="46" customFormat="1" ht="18.75">
      <c r="A251" s="76" t="s">
        <v>65</v>
      </c>
      <c r="B251" s="77" t="s">
        <v>67</v>
      </c>
      <c r="C251" s="77" t="s">
        <v>400</v>
      </c>
      <c r="D251" s="1">
        <v>42.5</v>
      </c>
      <c r="E251" s="29">
        <f t="shared" si="9"/>
        <v>0</v>
      </c>
      <c r="F251" s="1">
        <f t="shared" si="10"/>
        <v>42.5</v>
      </c>
      <c r="G251" s="1">
        <v>42.5</v>
      </c>
      <c r="H251" s="75" t="s">
        <v>118</v>
      </c>
      <c r="I251" s="45"/>
    </row>
    <row r="252" spans="1:9" s="46" customFormat="1" ht="18.75">
      <c r="A252" s="76" t="s">
        <v>65</v>
      </c>
      <c r="B252" s="77" t="s">
        <v>67</v>
      </c>
      <c r="C252" s="77" t="s">
        <v>401</v>
      </c>
      <c r="D252" s="1">
        <v>42.5</v>
      </c>
      <c r="E252" s="29">
        <f t="shared" si="9"/>
        <v>0</v>
      </c>
      <c r="F252" s="1">
        <f t="shared" si="10"/>
        <v>42.5</v>
      </c>
      <c r="G252" s="1">
        <v>42.5</v>
      </c>
      <c r="H252" s="75" t="s">
        <v>118</v>
      </c>
      <c r="I252" s="45"/>
    </row>
    <row r="253" spans="1:9" s="46" customFormat="1" ht="18.75">
      <c r="A253" s="76" t="s">
        <v>65</v>
      </c>
      <c r="B253" s="77" t="s">
        <v>67</v>
      </c>
      <c r="C253" s="77" t="s">
        <v>402</v>
      </c>
      <c r="D253" s="1">
        <v>42.5</v>
      </c>
      <c r="E253" s="29">
        <f t="shared" si="9"/>
        <v>0</v>
      </c>
      <c r="F253" s="1">
        <f t="shared" si="10"/>
        <v>42.5</v>
      </c>
      <c r="G253" s="1">
        <v>42.5</v>
      </c>
      <c r="H253" s="75" t="s">
        <v>118</v>
      </c>
      <c r="I253" s="45"/>
    </row>
    <row r="254" spans="1:9" s="46" customFormat="1" ht="18.75">
      <c r="A254" s="76" t="s">
        <v>65</v>
      </c>
      <c r="B254" s="77" t="s">
        <v>67</v>
      </c>
      <c r="C254" s="77" t="s">
        <v>403</v>
      </c>
      <c r="D254" s="1">
        <v>42.5</v>
      </c>
      <c r="E254" s="29">
        <f t="shared" si="9"/>
        <v>0</v>
      </c>
      <c r="F254" s="1">
        <f t="shared" si="10"/>
        <v>42.5</v>
      </c>
      <c r="G254" s="1">
        <v>42.5</v>
      </c>
      <c r="H254" s="75" t="s">
        <v>118</v>
      </c>
      <c r="I254" s="45"/>
    </row>
    <row r="255" spans="1:9" s="46" customFormat="1" ht="18.75">
      <c r="A255" s="76" t="s">
        <v>65</v>
      </c>
      <c r="B255" s="77" t="s">
        <v>67</v>
      </c>
      <c r="C255" s="77" t="s">
        <v>8</v>
      </c>
      <c r="D255" s="1">
        <v>42.5</v>
      </c>
      <c r="E255" s="29">
        <f t="shared" si="9"/>
        <v>0</v>
      </c>
      <c r="F255" s="1">
        <f t="shared" si="10"/>
        <v>42.5</v>
      </c>
      <c r="G255" s="1">
        <v>42.5</v>
      </c>
      <c r="H255" s="75" t="s">
        <v>118</v>
      </c>
      <c r="I255" s="45"/>
    </row>
    <row r="256" spans="1:9" s="46" customFormat="1" ht="18.75">
      <c r="A256" s="76" t="s">
        <v>65</v>
      </c>
      <c r="B256" s="77" t="s">
        <v>67</v>
      </c>
      <c r="C256" s="77" t="s">
        <v>388</v>
      </c>
      <c r="D256" s="1">
        <v>42.5</v>
      </c>
      <c r="E256" s="29">
        <f t="shared" si="9"/>
        <v>0</v>
      </c>
      <c r="F256" s="1">
        <f t="shared" si="10"/>
        <v>42.5</v>
      </c>
      <c r="G256" s="1">
        <v>42.5</v>
      </c>
      <c r="H256" s="75" t="s">
        <v>118</v>
      </c>
      <c r="I256" s="45"/>
    </row>
    <row r="257" spans="1:9" s="46" customFormat="1" ht="18.75">
      <c r="A257" s="76" t="s">
        <v>65</v>
      </c>
      <c r="B257" s="77" t="s">
        <v>67</v>
      </c>
      <c r="C257" s="77" t="s">
        <v>404</v>
      </c>
      <c r="D257" s="1">
        <v>42.5</v>
      </c>
      <c r="E257" s="29">
        <f>100-(F257/D257)*100</f>
        <v>0</v>
      </c>
      <c r="F257" s="1">
        <f>SUM(D257)</f>
        <v>42.5</v>
      </c>
      <c r="G257" s="1">
        <v>42.5</v>
      </c>
      <c r="H257" s="75" t="s">
        <v>118</v>
      </c>
      <c r="I257" s="45"/>
    </row>
    <row r="258" spans="1:9" s="46" customFormat="1" ht="18.75">
      <c r="A258" s="76" t="s">
        <v>65</v>
      </c>
      <c r="B258" s="77" t="s">
        <v>67</v>
      </c>
      <c r="C258" s="77" t="s">
        <v>455</v>
      </c>
      <c r="D258" s="1">
        <v>92.448</v>
      </c>
      <c r="E258" s="29">
        <f t="shared" si="9"/>
        <v>0</v>
      </c>
      <c r="F258" s="1">
        <f t="shared" si="10"/>
        <v>92.448</v>
      </c>
      <c r="G258" s="1">
        <v>92.448</v>
      </c>
      <c r="H258" s="75" t="s">
        <v>118</v>
      </c>
      <c r="I258" s="45"/>
    </row>
    <row r="259" spans="1:9" s="46" customFormat="1" ht="61.5" customHeight="1">
      <c r="A259" s="76" t="s">
        <v>65</v>
      </c>
      <c r="B259" s="77" t="s">
        <v>67</v>
      </c>
      <c r="C259" s="77" t="s">
        <v>9</v>
      </c>
      <c r="D259" s="1">
        <v>1087</v>
      </c>
      <c r="E259" s="29">
        <v>0</v>
      </c>
      <c r="F259" s="1">
        <v>1087</v>
      </c>
      <c r="G259" s="98">
        <f>1087-52.655</f>
        <v>1034.345</v>
      </c>
      <c r="H259" s="103" t="s">
        <v>118</v>
      </c>
      <c r="I259" s="45"/>
    </row>
    <row r="260" spans="1:9" s="46" customFormat="1" ht="55.5" customHeight="1">
      <c r="A260" s="99" t="s">
        <v>65</v>
      </c>
      <c r="B260" s="100" t="s">
        <v>67</v>
      </c>
      <c r="C260" s="104" t="s">
        <v>47</v>
      </c>
      <c r="D260" s="98">
        <v>52.655</v>
      </c>
      <c r="E260" s="102">
        <v>0</v>
      </c>
      <c r="F260" s="98">
        <v>52.655</v>
      </c>
      <c r="G260" s="98">
        <v>52.655</v>
      </c>
      <c r="H260" s="103" t="s">
        <v>118</v>
      </c>
      <c r="I260" s="45"/>
    </row>
    <row r="261" spans="1:9" ht="57.75" customHeight="1">
      <c r="A261" s="76" t="s">
        <v>65</v>
      </c>
      <c r="B261" s="77" t="s">
        <v>67</v>
      </c>
      <c r="C261" s="33" t="s">
        <v>169</v>
      </c>
      <c r="D261" s="1">
        <v>2921.18</v>
      </c>
      <c r="E261" s="29">
        <f>100-(F261/D261)*100</f>
        <v>0</v>
      </c>
      <c r="F261" s="1">
        <f>D261</f>
        <v>2921.18</v>
      </c>
      <c r="G261" s="1">
        <v>1.238</v>
      </c>
      <c r="H261" s="75" t="s">
        <v>118</v>
      </c>
      <c r="I261" s="32"/>
    </row>
    <row r="262" spans="1:9" ht="60" customHeight="1">
      <c r="A262" s="76" t="s">
        <v>65</v>
      </c>
      <c r="B262" s="77" t="s">
        <v>67</v>
      </c>
      <c r="C262" s="77" t="s">
        <v>190</v>
      </c>
      <c r="D262" s="1">
        <v>3867.61</v>
      </c>
      <c r="E262" s="29">
        <f>100-(F262/D262)*100</f>
        <v>0</v>
      </c>
      <c r="F262" s="1">
        <f>D262</f>
        <v>3867.61</v>
      </c>
      <c r="G262" s="1">
        <v>1.398</v>
      </c>
      <c r="H262" s="75" t="s">
        <v>118</v>
      </c>
      <c r="I262" s="32"/>
    </row>
    <row r="263" spans="1:9" s="46" customFormat="1" ht="56.25">
      <c r="A263" s="78">
        <v>150101</v>
      </c>
      <c r="B263" s="77" t="s">
        <v>67</v>
      </c>
      <c r="C263" s="77" t="s">
        <v>330</v>
      </c>
      <c r="D263" s="1">
        <v>43.459</v>
      </c>
      <c r="E263" s="29">
        <f aca="true" t="shared" si="11" ref="E263:E295">100-(F263/D263)*100</f>
        <v>0</v>
      </c>
      <c r="F263" s="1">
        <f>SUM(D263)</f>
        <v>43.459</v>
      </c>
      <c r="G263" s="1">
        <v>5.918</v>
      </c>
      <c r="H263" s="75"/>
      <c r="I263" s="45"/>
    </row>
    <row r="264" spans="1:9" s="46" customFormat="1" ht="37.5">
      <c r="A264" s="78">
        <v>150101</v>
      </c>
      <c r="B264" s="77" t="s">
        <v>67</v>
      </c>
      <c r="C264" s="77" t="s">
        <v>331</v>
      </c>
      <c r="D264" s="1">
        <v>65.551</v>
      </c>
      <c r="E264" s="29">
        <f t="shared" si="11"/>
        <v>0</v>
      </c>
      <c r="F264" s="1">
        <v>65.551</v>
      </c>
      <c r="G264" s="1">
        <v>7.298</v>
      </c>
      <c r="H264" s="75"/>
      <c r="I264" s="45"/>
    </row>
    <row r="265" spans="1:9" s="46" customFormat="1" ht="37.5">
      <c r="A265" s="207">
        <v>150101</v>
      </c>
      <c r="B265" s="196" t="s">
        <v>67</v>
      </c>
      <c r="C265" s="77" t="s">
        <v>332</v>
      </c>
      <c r="D265" s="1">
        <v>130.106</v>
      </c>
      <c r="E265" s="29">
        <f t="shared" si="11"/>
        <v>0</v>
      </c>
      <c r="F265" s="1">
        <v>130.106</v>
      </c>
      <c r="G265" s="1">
        <v>124.787</v>
      </c>
      <c r="H265" s="203"/>
      <c r="I265" s="45"/>
    </row>
    <row r="266" spans="1:16" s="28" customFormat="1" ht="36" customHeight="1">
      <c r="A266" s="207"/>
      <c r="B266" s="196"/>
      <c r="C266" s="77" t="s">
        <v>204</v>
      </c>
      <c r="D266" s="1"/>
      <c r="E266" s="29"/>
      <c r="F266" s="1"/>
      <c r="G266" s="1">
        <v>8.534</v>
      </c>
      <c r="H266" s="203"/>
      <c r="I266" s="12"/>
      <c r="J266" s="12"/>
      <c r="K266" s="12"/>
      <c r="L266" s="12"/>
      <c r="M266" s="12"/>
      <c r="N266" s="12"/>
      <c r="P266" s="27"/>
    </row>
    <row r="267" spans="1:9" s="46" customFormat="1" ht="56.25">
      <c r="A267" s="78">
        <v>150101</v>
      </c>
      <c r="B267" s="77" t="s">
        <v>67</v>
      </c>
      <c r="C267" s="77" t="s">
        <v>333</v>
      </c>
      <c r="D267" s="1">
        <v>167.602</v>
      </c>
      <c r="E267" s="29">
        <f t="shared" si="11"/>
        <v>0</v>
      </c>
      <c r="F267" s="1">
        <f>SUM(D267)</f>
        <v>167.602</v>
      </c>
      <c r="G267" s="1">
        <v>161.249</v>
      </c>
      <c r="H267" s="75"/>
      <c r="I267" s="45"/>
    </row>
    <row r="268" spans="1:9" s="46" customFormat="1" ht="42.75" customHeight="1">
      <c r="A268" s="78">
        <v>150101</v>
      </c>
      <c r="B268" s="77" t="s">
        <v>67</v>
      </c>
      <c r="C268" s="77" t="s">
        <v>350</v>
      </c>
      <c r="D268" s="1">
        <v>74.116</v>
      </c>
      <c r="E268" s="29">
        <f t="shared" si="11"/>
        <v>0</v>
      </c>
      <c r="F268" s="1">
        <f>SUM(D268)</f>
        <v>74.116</v>
      </c>
      <c r="G268" s="1">
        <v>5.679</v>
      </c>
      <c r="H268" s="75"/>
      <c r="I268" s="45"/>
    </row>
    <row r="269" spans="1:9" s="46" customFormat="1" ht="56.25">
      <c r="A269" s="78">
        <v>150101</v>
      </c>
      <c r="B269" s="77" t="s">
        <v>67</v>
      </c>
      <c r="C269" s="77" t="s">
        <v>15</v>
      </c>
      <c r="D269" s="1">
        <v>194.696</v>
      </c>
      <c r="E269" s="29">
        <v>0</v>
      </c>
      <c r="F269" s="1">
        <f>SUM(D269)</f>
        <v>194.696</v>
      </c>
      <c r="G269" s="1">
        <v>187.206</v>
      </c>
      <c r="H269" s="75"/>
      <c r="I269" s="45"/>
    </row>
    <row r="270" spans="1:9" s="46" customFormat="1" ht="57.75" customHeight="1">
      <c r="A270" s="207">
        <v>150101</v>
      </c>
      <c r="B270" s="196" t="s">
        <v>67</v>
      </c>
      <c r="C270" s="77" t="s">
        <v>334</v>
      </c>
      <c r="D270" s="1">
        <v>289.311</v>
      </c>
      <c r="E270" s="29">
        <f t="shared" si="11"/>
        <v>0</v>
      </c>
      <c r="F270" s="1">
        <v>289.311</v>
      </c>
      <c r="G270" s="1">
        <v>18.621</v>
      </c>
      <c r="H270" s="203"/>
      <c r="I270" s="45"/>
    </row>
    <row r="271" spans="1:16" s="28" customFormat="1" ht="38.25" customHeight="1">
      <c r="A271" s="207"/>
      <c r="B271" s="196"/>
      <c r="C271" s="77" t="s">
        <v>204</v>
      </c>
      <c r="D271" s="1"/>
      <c r="E271" s="29"/>
      <c r="F271" s="1"/>
      <c r="G271" s="1">
        <v>18.621</v>
      </c>
      <c r="H271" s="203"/>
      <c r="I271" s="12"/>
      <c r="J271" s="12"/>
      <c r="K271" s="12"/>
      <c r="L271" s="12"/>
      <c r="M271" s="12"/>
      <c r="N271" s="12"/>
      <c r="P271" s="27"/>
    </row>
    <row r="272" spans="1:9" s="46" customFormat="1" ht="60" customHeight="1">
      <c r="A272" s="207">
        <v>150101</v>
      </c>
      <c r="B272" s="196" t="s">
        <v>67</v>
      </c>
      <c r="C272" s="77" t="s">
        <v>335</v>
      </c>
      <c r="D272" s="1">
        <v>214.529</v>
      </c>
      <c r="E272" s="29">
        <f t="shared" si="11"/>
        <v>0</v>
      </c>
      <c r="F272" s="1">
        <v>214.529</v>
      </c>
      <c r="G272" s="1">
        <v>195.57</v>
      </c>
      <c r="H272" s="203"/>
      <c r="I272" s="45"/>
    </row>
    <row r="273" spans="1:16" s="28" customFormat="1" ht="38.25" customHeight="1">
      <c r="A273" s="207"/>
      <c r="B273" s="196"/>
      <c r="C273" s="77" t="s">
        <v>204</v>
      </c>
      <c r="D273" s="1"/>
      <c r="E273" s="29"/>
      <c r="F273" s="1"/>
      <c r="G273" s="1">
        <v>14.616</v>
      </c>
      <c r="H273" s="203"/>
      <c r="I273" s="12"/>
      <c r="J273" s="12"/>
      <c r="K273" s="12"/>
      <c r="L273" s="12"/>
      <c r="M273" s="12"/>
      <c r="N273" s="12"/>
      <c r="P273" s="27"/>
    </row>
    <row r="274" spans="1:9" s="46" customFormat="1" ht="57" customHeight="1">
      <c r="A274" s="207">
        <v>150101</v>
      </c>
      <c r="B274" s="196" t="s">
        <v>67</v>
      </c>
      <c r="C274" s="77" t="s">
        <v>336</v>
      </c>
      <c r="D274" s="1">
        <v>176.096</v>
      </c>
      <c r="E274" s="29">
        <f t="shared" si="11"/>
        <v>0</v>
      </c>
      <c r="F274" s="1">
        <v>176.096</v>
      </c>
      <c r="G274" s="1">
        <v>166.495</v>
      </c>
      <c r="H274" s="203"/>
      <c r="I274" s="45"/>
    </row>
    <row r="275" spans="1:16" s="28" customFormat="1" ht="38.25" customHeight="1">
      <c r="A275" s="207"/>
      <c r="B275" s="196"/>
      <c r="C275" s="77" t="s">
        <v>204</v>
      </c>
      <c r="D275" s="1"/>
      <c r="E275" s="29"/>
      <c r="F275" s="1"/>
      <c r="G275" s="1">
        <v>14.042</v>
      </c>
      <c r="H275" s="203"/>
      <c r="I275" s="12"/>
      <c r="J275" s="12"/>
      <c r="K275" s="12"/>
      <c r="L275" s="12"/>
      <c r="M275" s="12"/>
      <c r="N275" s="12"/>
      <c r="P275" s="27"/>
    </row>
    <row r="276" spans="1:9" s="46" customFormat="1" ht="56.25">
      <c r="A276" s="78">
        <v>150101</v>
      </c>
      <c r="B276" s="77" t="s">
        <v>67</v>
      </c>
      <c r="C276" s="77" t="s">
        <v>337</v>
      </c>
      <c r="D276" s="1">
        <v>96.1</v>
      </c>
      <c r="E276" s="29">
        <f t="shared" si="11"/>
        <v>0</v>
      </c>
      <c r="F276" s="1">
        <f>SUM(D276)</f>
        <v>96.1</v>
      </c>
      <c r="G276" s="1">
        <v>5.805</v>
      </c>
      <c r="H276" s="75"/>
      <c r="I276" s="45"/>
    </row>
    <row r="277" spans="1:9" s="46" customFormat="1" ht="37.5">
      <c r="A277" s="78">
        <v>150101</v>
      </c>
      <c r="B277" s="77" t="s">
        <v>67</v>
      </c>
      <c r="C277" s="77" t="s">
        <v>338</v>
      </c>
      <c r="D277" s="1">
        <v>86.681</v>
      </c>
      <c r="E277" s="29">
        <f t="shared" si="11"/>
        <v>0</v>
      </c>
      <c r="F277" s="1">
        <v>86.681</v>
      </c>
      <c r="G277" s="1">
        <v>8.998</v>
      </c>
      <c r="H277" s="75"/>
      <c r="I277" s="45"/>
    </row>
    <row r="278" spans="1:9" s="46" customFormat="1" ht="37.5">
      <c r="A278" s="207">
        <v>150101</v>
      </c>
      <c r="B278" s="196" t="s">
        <v>67</v>
      </c>
      <c r="C278" s="77" t="s">
        <v>339</v>
      </c>
      <c r="D278" s="1">
        <v>47.312</v>
      </c>
      <c r="E278" s="29">
        <f t="shared" si="11"/>
        <v>0</v>
      </c>
      <c r="F278" s="1">
        <v>47.312</v>
      </c>
      <c r="G278" s="1">
        <v>46.12</v>
      </c>
      <c r="H278" s="203"/>
      <c r="I278" s="45"/>
    </row>
    <row r="279" spans="1:16" s="28" customFormat="1" ht="32.25" customHeight="1">
      <c r="A279" s="207"/>
      <c r="B279" s="196"/>
      <c r="C279" s="77" t="s">
        <v>204</v>
      </c>
      <c r="D279" s="1"/>
      <c r="E279" s="29"/>
      <c r="F279" s="1"/>
      <c r="G279" s="1">
        <v>5.53</v>
      </c>
      <c r="H279" s="203"/>
      <c r="I279" s="12"/>
      <c r="J279" s="12"/>
      <c r="K279" s="12"/>
      <c r="L279" s="12"/>
      <c r="M279" s="12"/>
      <c r="N279" s="12"/>
      <c r="P279" s="27"/>
    </row>
    <row r="280" spans="1:9" s="46" customFormat="1" ht="37.5">
      <c r="A280" s="207">
        <v>150101</v>
      </c>
      <c r="B280" s="196" t="s">
        <v>67</v>
      </c>
      <c r="C280" s="77" t="s">
        <v>340</v>
      </c>
      <c r="D280" s="1">
        <v>63.614</v>
      </c>
      <c r="E280" s="29">
        <f t="shared" si="11"/>
        <v>0</v>
      </c>
      <c r="F280" s="1">
        <v>63.614</v>
      </c>
      <c r="G280" s="1">
        <v>5.902</v>
      </c>
      <c r="H280" s="203"/>
      <c r="I280" s="45"/>
    </row>
    <row r="281" spans="1:16" s="28" customFormat="1" ht="32.25" customHeight="1">
      <c r="A281" s="207"/>
      <c r="B281" s="196"/>
      <c r="C281" s="77" t="s">
        <v>204</v>
      </c>
      <c r="D281" s="1"/>
      <c r="E281" s="29"/>
      <c r="F281" s="1"/>
      <c r="G281" s="1">
        <v>5.901</v>
      </c>
      <c r="H281" s="203"/>
      <c r="I281" s="12"/>
      <c r="J281" s="12"/>
      <c r="K281" s="12"/>
      <c r="L281" s="12"/>
      <c r="M281" s="12"/>
      <c r="N281" s="12"/>
      <c r="P281" s="27"/>
    </row>
    <row r="282" spans="1:9" s="46" customFormat="1" ht="37.5">
      <c r="A282" s="207">
        <v>150101</v>
      </c>
      <c r="B282" s="196" t="s">
        <v>67</v>
      </c>
      <c r="C282" s="77" t="s">
        <v>341</v>
      </c>
      <c r="D282" s="1">
        <v>220.506</v>
      </c>
      <c r="E282" s="29">
        <f t="shared" si="11"/>
        <v>0</v>
      </c>
      <c r="F282" s="1">
        <f>SUM(D282)</f>
        <v>220.506</v>
      </c>
      <c r="G282" s="1">
        <v>220.506</v>
      </c>
      <c r="H282" s="203"/>
      <c r="I282" s="45"/>
    </row>
    <row r="283" spans="1:16" s="28" customFormat="1" ht="33" customHeight="1">
      <c r="A283" s="207"/>
      <c r="B283" s="196"/>
      <c r="C283" s="77" t="s">
        <v>204</v>
      </c>
      <c r="D283" s="1"/>
      <c r="E283" s="29"/>
      <c r="F283" s="1"/>
      <c r="G283" s="1">
        <v>9.399</v>
      </c>
      <c r="H283" s="203"/>
      <c r="I283" s="12"/>
      <c r="J283" s="12"/>
      <c r="K283" s="12"/>
      <c r="L283" s="12"/>
      <c r="M283" s="12"/>
      <c r="N283" s="12"/>
      <c r="P283" s="27"/>
    </row>
    <row r="284" spans="1:9" s="46" customFormat="1" ht="37.5">
      <c r="A284" s="207">
        <v>150101</v>
      </c>
      <c r="B284" s="196" t="s">
        <v>67</v>
      </c>
      <c r="C284" s="77" t="s">
        <v>342</v>
      </c>
      <c r="D284" s="1">
        <v>88.917</v>
      </c>
      <c r="E284" s="29">
        <f t="shared" si="11"/>
        <v>0</v>
      </c>
      <c r="F284" s="1">
        <v>88.917</v>
      </c>
      <c r="G284" s="1">
        <v>84.634</v>
      </c>
      <c r="H284" s="203"/>
      <c r="I284" s="45"/>
    </row>
    <row r="285" spans="1:16" s="28" customFormat="1" ht="39" customHeight="1">
      <c r="A285" s="207"/>
      <c r="B285" s="196"/>
      <c r="C285" s="77" t="s">
        <v>204</v>
      </c>
      <c r="D285" s="1"/>
      <c r="E285" s="29"/>
      <c r="F285" s="1"/>
      <c r="G285" s="1">
        <v>7.792</v>
      </c>
      <c r="H285" s="203"/>
      <c r="I285" s="12"/>
      <c r="J285" s="12"/>
      <c r="K285" s="12"/>
      <c r="L285" s="12"/>
      <c r="M285" s="12"/>
      <c r="N285" s="12"/>
      <c r="P285" s="27"/>
    </row>
    <row r="286" spans="1:9" s="46" customFormat="1" ht="39.75" customHeight="1">
      <c r="A286" s="78">
        <v>150101</v>
      </c>
      <c r="B286" s="77" t="s">
        <v>67</v>
      </c>
      <c r="C286" s="77" t="s">
        <v>343</v>
      </c>
      <c r="D286" s="1">
        <v>159.508</v>
      </c>
      <c r="E286" s="29">
        <f t="shared" si="11"/>
        <v>0</v>
      </c>
      <c r="F286" s="1">
        <f>SUM(D286)</f>
        <v>159.508</v>
      </c>
      <c r="G286" s="1">
        <v>159.508</v>
      </c>
      <c r="H286" s="75"/>
      <c r="I286" s="45"/>
    </row>
    <row r="287" spans="1:9" s="46" customFormat="1" ht="37.5">
      <c r="A287" s="207">
        <v>150101</v>
      </c>
      <c r="B287" s="196" t="s">
        <v>67</v>
      </c>
      <c r="C287" s="77" t="s">
        <v>50</v>
      </c>
      <c r="D287" s="1">
        <v>53.803</v>
      </c>
      <c r="E287" s="29">
        <f t="shared" si="11"/>
        <v>0</v>
      </c>
      <c r="F287" s="1">
        <f>SUM(D287)</f>
        <v>53.803</v>
      </c>
      <c r="G287" s="1">
        <v>6.305</v>
      </c>
      <c r="H287" s="203"/>
      <c r="I287" s="45"/>
    </row>
    <row r="288" spans="1:16" s="28" customFormat="1" ht="48.75" customHeight="1">
      <c r="A288" s="207"/>
      <c r="B288" s="196"/>
      <c r="C288" s="77" t="s">
        <v>204</v>
      </c>
      <c r="D288" s="1"/>
      <c r="E288" s="29"/>
      <c r="F288" s="1"/>
      <c r="G288" s="1">
        <v>4.559</v>
      </c>
      <c r="H288" s="203"/>
      <c r="I288" s="12"/>
      <c r="J288" s="12"/>
      <c r="K288" s="12"/>
      <c r="L288" s="12"/>
      <c r="M288" s="12"/>
      <c r="N288" s="12"/>
      <c r="P288" s="27"/>
    </row>
    <row r="289" spans="1:9" s="46" customFormat="1" ht="41.25" customHeight="1">
      <c r="A289" s="78">
        <v>150101</v>
      </c>
      <c r="B289" s="77" t="s">
        <v>67</v>
      </c>
      <c r="C289" s="77" t="s">
        <v>51</v>
      </c>
      <c r="D289" s="1">
        <v>113.424</v>
      </c>
      <c r="E289" s="29">
        <f t="shared" si="11"/>
        <v>0</v>
      </c>
      <c r="F289" s="1">
        <f>SUM(D289)</f>
        <v>113.424</v>
      </c>
      <c r="G289" s="1">
        <v>6.226</v>
      </c>
      <c r="H289" s="75"/>
      <c r="I289" s="45"/>
    </row>
    <row r="290" spans="1:9" s="46" customFormat="1" ht="37.5">
      <c r="A290" s="207">
        <v>150101</v>
      </c>
      <c r="B290" s="196" t="s">
        <v>67</v>
      </c>
      <c r="C290" s="77" t="s">
        <v>52</v>
      </c>
      <c r="D290" s="1">
        <v>76.218</v>
      </c>
      <c r="E290" s="29">
        <f t="shared" si="11"/>
        <v>0</v>
      </c>
      <c r="F290" s="1">
        <f>SUM(D290)</f>
        <v>76.218</v>
      </c>
      <c r="G290" s="1">
        <v>7.091</v>
      </c>
      <c r="H290" s="203"/>
      <c r="I290" s="45"/>
    </row>
    <row r="291" spans="1:16" s="28" customFormat="1" ht="42" customHeight="1">
      <c r="A291" s="207"/>
      <c r="B291" s="196"/>
      <c r="C291" s="77" t="s">
        <v>204</v>
      </c>
      <c r="D291" s="1"/>
      <c r="E291" s="29"/>
      <c r="F291" s="1"/>
      <c r="G291" s="1">
        <v>5.345</v>
      </c>
      <c r="H291" s="203"/>
      <c r="I291" s="12"/>
      <c r="J291" s="12"/>
      <c r="K291" s="12"/>
      <c r="L291" s="12"/>
      <c r="M291" s="12"/>
      <c r="N291" s="12"/>
      <c r="P291" s="27"/>
    </row>
    <row r="292" spans="1:9" s="46" customFormat="1" ht="56.25">
      <c r="A292" s="78">
        <v>150101</v>
      </c>
      <c r="B292" s="77" t="s">
        <v>67</v>
      </c>
      <c r="C292" s="77" t="s">
        <v>429</v>
      </c>
      <c r="D292" s="1">
        <v>469.135</v>
      </c>
      <c r="E292" s="29">
        <f t="shared" si="11"/>
        <v>0</v>
      </c>
      <c r="F292" s="1">
        <f>SUM(D292)</f>
        <v>469.135</v>
      </c>
      <c r="G292" s="1">
        <v>16.39</v>
      </c>
      <c r="H292" s="75"/>
      <c r="I292" s="45"/>
    </row>
    <row r="293" spans="1:9" s="46" customFormat="1" ht="59.25" customHeight="1">
      <c r="A293" s="78">
        <v>150101</v>
      </c>
      <c r="B293" s="77" t="s">
        <v>67</v>
      </c>
      <c r="C293" s="77" t="s">
        <v>447</v>
      </c>
      <c r="D293" s="1">
        <v>911.047</v>
      </c>
      <c r="E293" s="29">
        <f t="shared" si="11"/>
        <v>0</v>
      </c>
      <c r="F293" s="1">
        <f>SUM(D293)</f>
        <v>911.047</v>
      </c>
      <c r="G293" s="1">
        <v>23.166</v>
      </c>
      <c r="H293" s="75"/>
      <c r="I293" s="45"/>
    </row>
    <row r="294" spans="1:9" s="46" customFormat="1" ht="54.75" customHeight="1">
      <c r="A294" s="78">
        <v>150101</v>
      </c>
      <c r="B294" s="77" t="s">
        <v>67</v>
      </c>
      <c r="C294" s="77" t="s">
        <v>448</v>
      </c>
      <c r="D294" s="1">
        <v>520.135</v>
      </c>
      <c r="E294" s="29">
        <f t="shared" si="11"/>
        <v>0</v>
      </c>
      <c r="F294" s="1">
        <f>SUM(D294)</f>
        <v>520.135</v>
      </c>
      <c r="G294" s="1">
        <v>20.552</v>
      </c>
      <c r="H294" s="75"/>
      <c r="I294" s="45"/>
    </row>
    <row r="295" spans="1:9" s="46" customFormat="1" ht="39.75" customHeight="1">
      <c r="A295" s="78">
        <v>150101</v>
      </c>
      <c r="B295" s="77" t="s">
        <v>67</v>
      </c>
      <c r="C295" s="77" t="s">
        <v>348</v>
      </c>
      <c r="D295" s="1">
        <v>5</v>
      </c>
      <c r="E295" s="29">
        <f t="shared" si="11"/>
        <v>0</v>
      </c>
      <c r="F295" s="1">
        <v>5</v>
      </c>
      <c r="G295" s="1">
        <v>5</v>
      </c>
      <c r="H295" s="75"/>
      <c r="I295" s="45"/>
    </row>
    <row r="296" spans="1:9" s="46" customFormat="1" ht="57" customHeight="1">
      <c r="A296" s="78">
        <v>150101</v>
      </c>
      <c r="B296" s="77" t="s">
        <v>67</v>
      </c>
      <c r="C296" s="97" t="s">
        <v>45</v>
      </c>
      <c r="D296" s="1">
        <v>5</v>
      </c>
      <c r="E296" s="29">
        <f>100-(F296/D296)*100</f>
        <v>0</v>
      </c>
      <c r="F296" s="1">
        <v>5</v>
      </c>
      <c r="G296" s="1">
        <v>5</v>
      </c>
      <c r="H296" s="75"/>
      <c r="I296" s="45"/>
    </row>
    <row r="297" spans="1:9" s="46" customFormat="1" ht="37.5">
      <c r="A297" s="78">
        <v>150101</v>
      </c>
      <c r="B297" s="77" t="s">
        <v>67</v>
      </c>
      <c r="C297" s="92" t="s">
        <v>42</v>
      </c>
      <c r="D297" s="1">
        <v>44.165</v>
      </c>
      <c r="E297" s="29">
        <f>100-(F297/D297)*100</f>
        <v>0</v>
      </c>
      <c r="F297" s="1">
        <v>44.165</v>
      </c>
      <c r="G297" s="1">
        <v>44.165</v>
      </c>
      <c r="H297" s="75"/>
      <c r="I297" s="45"/>
    </row>
    <row r="298" spans="1:9" s="46" customFormat="1" ht="56.25">
      <c r="A298" s="78">
        <v>150101</v>
      </c>
      <c r="B298" s="77" t="s">
        <v>67</v>
      </c>
      <c r="C298" s="92" t="s">
        <v>34</v>
      </c>
      <c r="D298" s="1">
        <v>75.492</v>
      </c>
      <c r="E298" s="29">
        <f>100-(F298/D298)*100</f>
        <v>0</v>
      </c>
      <c r="F298" s="1">
        <v>75.492</v>
      </c>
      <c r="G298" s="1">
        <v>75.492</v>
      </c>
      <c r="H298" s="75"/>
      <c r="I298" s="45"/>
    </row>
    <row r="299" spans="1:9" s="46" customFormat="1" ht="56.25">
      <c r="A299" s="78">
        <v>150101</v>
      </c>
      <c r="B299" s="77" t="s">
        <v>67</v>
      </c>
      <c r="C299" s="92" t="s">
        <v>35</v>
      </c>
      <c r="D299" s="1">
        <v>183.104</v>
      </c>
      <c r="E299" s="29">
        <f>100-(F299/D299)*100</f>
        <v>35.13850052429221</v>
      </c>
      <c r="F299" s="1">
        <v>118.764</v>
      </c>
      <c r="G299" s="1">
        <v>64.34</v>
      </c>
      <c r="H299" s="75"/>
      <c r="I299" s="45"/>
    </row>
    <row r="300" spans="1:9" s="46" customFormat="1" ht="39.75" customHeight="1">
      <c r="A300" s="78">
        <v>150101</v>
      </c>
      <c r="B300" s="77" t="s">
        <v>67</v>
      </c>
      <c r="C300" s="77" t="s">
        <v>346</v>
      </c>
      <c r="D300" s="1"/>
      <c r="E300" s="29"/>
      <c r="F300" s="1"/>
      <c r="G300" s="1">
        <v>0.397</v>
      </c>
      <c r="H300" s="75"/>
      <c r="I300" s="45"/>
    </row>
    <row r="301" spans="1:9" s="46" customFormat="1" ht="54.75" customHeight="1">
      <c r="A301" s="78">
        <v>150101</v>
      </c>
      <c r="B301" s="77" t="s">
        <v>67</v>
      </c>
      <c r="C301" s="77" t="s">
        <v>347</v>
      </c>
      <c r="D301" s="1"/>
      <c r="E301" s="29"/>
      <c r="F301" s="1"/>
      <c r="G301" s="1">
        <v>1.043</v>
      </c>
      <c r="H301" s="75"/>
      <c r="I301" s="45"/>
    </row>
    <row r="302" spans="1:9" ht="74.25" customHeight="1">
      <c r="A302" s="76" t="s">
        <v>65</v>
      </c>
      <c r="B302" s="77" t="s">
        <v>67</v>
      </c>
      <c r="C302" s="77" t="s">
        <v>211</v>
      </c>
      <c r="D302" s="1">
        <v>51.997</v>
      </c>
      <c r="E302" s="29">
        <f>100-(F302/D302)*100</f>
        <v>1.1441429313229605</v>
      </c>
      <c r="F302" s="1">
        <f>51.997-0.59492</f>
        <v>51.40208</v>
      </c>
      <c r="G302" s="1">
        <v>10.661</v>
      </c>
      <c r="H302" s="75"/>
      <c r="I302" s="32"/>
    </row>
    <row r="303" spans="1:9" ht="75" customHeight="1">
      <c r="A303" s="76" t="s">
        <v>65</v>
      </c>
      <c r="B303" s="77" t="s">
        <v>67</v>
      </c>
      <c r="C303" s="77" t="s">
        <v>212</v>
      </c>
      <c r="D303" s="1">
        <v>44.962</v>
      </c>
      <c r="E303" s="29">
        <f aca="true" t="shared" si="12" ref="E303:E317">100-(F303/D303)*100</f>
        <v>1.9837195854276928</v>
      </c>
      <c r="F303" s="1">
        <f>44.962-0.89192</f>
        <v>44.070080000000004</v>
      </c>
      <c r="G303" s="1">
        <v>10.766</v>
      </c>
      <c r="H303" s="75"/>
      <c r="I303" s="32"/>
    </row>
    <row r="304" spans="1:9" ht="57.75" customHeight="1">
      <c r="A304" s="76" t="s">
        <v>65</v>
      </c>
      <c r="B304" s="77" t="s">
        <v>67</v>
      </c>
      <c r="C304" s="77" t="s">
        <v>213</v>
      </c>
      <c r="D304" s="37">
        <v>20.278</v>
      </c>
      <c r="E304" s="44">
        <f t="shared" si="12"/>
        <v>0</v>
      </c>
      <c r="F304" s="37">
        <f>SUM(D304)</f>
        <v>20.278</v>
      </c>
      <c r="G304" s="1">
        <v>7.492</v>
      </c>
      <c r="H304" s="75"/>
      <c r="I304" s="32"/>
    </row>
    <row r="305" spans="1:9" ht="57.75" customHeight="1">
      <c r="A305" s="76" t="s">
        <v>65</v>
      </c>
      <c r="B305" s="77" t="s">
        <v>67</v>
      </c>
      <c r="C305" s="77" t="s">
        <v>214</v>
      </c>
      <c r="D305" s="37">
        <v>21.328</v>
      </c>
      <c r="E305" s="44">
        <f t="shared" si="12"/>
        <v>0</v>
      </c>
      <c r="F305" s="37">
        <f>SUM(D305)</f>
        <v>21.328</v>
      </c>
      <c r="G305" s="1">
        <v>7.492</v>
      </c>
      <c r="H305" s="75"/>
      <c r="I305" s="32"/>
    </row>
    <row r="306" spans="1:9" ht="57.75" customHeight="1">
      <c r="A306" s="76" t="s">
        <v>65</v>
      </c>
      <c r="B306" s="77" t="s">
        <v>67</v>
      </c>
      <c r="C306" s="2" t="s">
        <v>215</v>
      </c>
      <c r="D306" s="37">
        <v>16.744</v>
      </c>
      <c r="E306" s="44">
        <f t="shared" si="12"/>
        <v>0</v>
      </c>
      <c r="F306" s="37">
        <f>SUM(D306)</f>
        <v>16.744</v>
      </c>
      <c r="G306" s="1">
        <v>7.492</v>
      </c>
      <c r="H306" s="75"/>
      <c r="I306" s="32"/>
    </row>
    <row r="307" spans="1:9" ht="57.75" customHeight="1">
      <c r="A307" s="76" t="s">
        <v>65</v>
      </c>
      <c r="B307" s="77" t="s">
        <v>67</v>
      </c>
      <c r="C307" s="2" t="s">
        <v>216</v>
      </c>
      <c r="D307" s="37">
        <v>16.014</v>
      </c>
      <c r="E307" s="44">
        <f t="shared" si="12"/>
        <v>0</v>
      </c>
      <c r="F307" s="37">
        <f>SUM(D307)</f>
        <v>16.014</v>
      </c>
      <c r="G307" s="1">
        <v>7.492</v>
      </c>
      <c r="H307" s="75"/>
      <c r="I307" s="32"/>
    </row>
    <row r="308" spans="1:9" ht="57.75" customHeight="1">
      <c r="A308" s="76" t="s">
        <v>65</v>
      </c>
      <c r="B308" s="77" t="s">
        <v>67</v>
      </c>
      <c r="C308" s="2" t="s">
        <v>411</v>
      </c>
      <c r="D308" s="37">
        <v>15</v>
      </c>
      <c r="E308" s="44">
        <f t="shared" si="12"/>
        <v>0</v>
      </c>
      <c r="F308" s="37">
        <f>SUM(D308)</f>
        <v>15</v>
      </c>
      <c r="G308" s="1">
        <v>15</v>
      </c>
      <c r="H308" s="75"/>
      <c r="I308" s="32"/>
    </row>
    <row r="309" spans="1:9" ht="57" customHeight="1">
      <c r="A309" s="189" t="s">
        <v>65</v>
      </c>
      <c r="B309" s="206" t="s">
        <v>67</v>
      </c>
      <c r="C309" s="77" t="s">
        <v>443</v>
      </c>
      <c r="D309" s="1">
        <v>14805.017</v>
      </c>
      <c r="E309" s="29">
        <f t="shared" si="12"/>
        <v>2.9428080359516002</v>
      </c>
      <c r="F309" s="1">
        <f>D309-(79.512+136.904+219.26723)</f>
        <v>14369.33377</v>
      </c>
      <c r="G309" s="1">
        <f>23.974+25</f>
        <v>48.974000000000004</v>
      </c>
      <c r="H309" s="204" t="s">
        <v>118</v>
      </c>
      <c r="I309" s="32"/>
    </row>
    <row r="310" spans="1:9" ht="32.25" customHeight="1">
      <c r="A310" s="189"/>
      <c r="B310" s="206"/>
      <c r="C310" s="77" t="s">
        <v>204</v>
      </c>
      <c r="D310" s="1"/>
      <c r="E310" s="29"/>
      <c r="F310" s="1"/>
      <c r="G310" s="1">
        <v>23.974</v>
      </c>
      <c r="H310" s="205"/>
      <c r="I310" s="32"/>
    </row>
    <row r="311" spans="1:9" ht="41.25" customHeight="1">
      <c r="A311" s="197" t="s">
        <v>65</v>
      </c>
      <c r="B311" s="196" t="s">
        <v>67</v>
      </c>
      <c r="C311" s="77" t="s">
        <v>246</v>
      </c>
      <c r="D311" s="1">
        <v>2489.88</v>
      </c>
      <c r="E311" s="29">
        <f t="shared" si="12"/>
        <v>47.17625829357238</v>
      </c>
      <c r="F311" s="1">
        <f>SUM(D311-98.21146-96.41545-283.54791-696.4574)</f>
        <v>1315.2477800000001</v>
      </c>
      <c r="G311" s="1">
        <v>1315.248</v>
      </c>
      <c r="H311" s="203" t="s">
        <v>118</v>
      </c>
      <c r="I311" s="32"/>
    </row>
    <row r="312" spans="1:16" s="28" customFormat="1" ht="33" customHeight="1">
      <c r="A312" s="197"/>
      <c r="B312" s="196"/>
      <c r="C312" s="77" t="s">
        <v>204</v>
      </c>
      <c r="D312" s="1"/>
      <c r="E312" s="29"/>
      <c r="F312" s="1"/>
      <c r="G312" s="1">
        <v>0.877</v>
      </c>
      <c r="H312" s="203"/>
      <c r="I312" s="12"/>
      <c r="J312" s="12"/>
      <c r="K312" s="12"/>
      <c r="L312" s="12"/>
      <c r="M312" s="12"/>
      <c r="N312" s="12"/>
      <c r="P312" s="27"/>
    </row>
    <row r="313" spans="1:9" ht="37.5" customHeight="1">
      <c r="A313" s="198" t="s">
        <v>65</v>
      </c>
      <c r="B313" s="190" t="s">
        <v>67</v>
      </c>
      <c r="C313" s="77" t="s">
        <v>442</v>
      </c>
      <c r="D313" s="1">
        <v>8969.88</v>
      </c>
      <c r="E313" s="29">
        <f t="shared" si="12"/>
        <v>4.6343031344900965</v>
      </c>
      <c r="F313" s="1">
        <f>D313-(60.3528+37.0812+318.25743)</f>
        <v>8554.188569999998</v>
      </c>
      <c r="G313" s="1">
        <f>25.426+10</f>
        <v>35.426</v>
      </c>
      <c r="H313" s="204" t="s">
        <v>118</v>
      </c>
      <c r="I313" s="32"/>
    </row>
    <row r="314" spans="1:9" ht="39.75" customHeight="1">
      <c r="A314" s="199"/>
      <c r="B314" s="192"/>
      <c r="C314" s="77" t="s">
        <v>204</v>
      </c>
      <c r="D314" s="1"/>
      <c r="E314" s="29"/>
      <c r="F314" s="1"/>
      <c r="G314" s="1">
        <v>25.426</v>
      </c>
      <c r="H314" s="205"/>
      <c r="I314" s="32"/>
    </row>
    <row r="315" spans="1:9" ht="96.75" customHeight="1">
      <c r="A315" s="198" t="s">
        <v>65</v>
      </c>
      <c r="B315" s="190" t="s">
        <v>67</v>
      </c>
      <c r="C315" s="77" t="s">
        <v>5</v>
      </c>
      <c r="D315" s="1">
        <v>7534.352</v>
      </c>
      <c r="E315" s="29">
        <f t="shared" si="12"/>
        <v>3.8576097851547075</v>
      </c>
      <c r="F315" s="1">
        <f>D315-106.63782-184.00808</f>
        <v>7243.7061</v>
      </c>
      <c r="G315" s="1">
        <v>57.141</v>
      </c>
      <c r="H315" s="204" t="s">
        <v>118</v>
      </c>
      <c r="I315" s="32"/>
    </row>
    <row r="316" spans="1:9" ht="30.75" customHeight="1">
      <c r="A316" s="199"/>
      <c r="B316" s="192"/>
      <c r="C316" s="77" t="s">
        <v>204</v>
      </c>
      <c r="D316" s="1"/>
      <c r="E316" s="29"/>
      <c r="F316" s="1"/>
      <c r="G316" s="1">
        <v>3.8</v>
      </c>
      <c r="H316" s="205"/>
      <c r="I316" s="32"/>
    </row>
    <row r="317" spans="1:9" ht="96.75" customHeight="1">
      <c r="A317" s="76" t="s">
        <v>65</v>
      </c>
      <c r="B317" s="77" t="s">
        <v>67</v>
      </c>
      <c r="C317" s="47" t="s">
        <v>457</v>
      </c>
      <c r="D317" s="1">
        <v>71.285</v>
      </c>
      <c r="E317" s="29">
        <f t="shared" si="12"/>
        <v>0</v>
      </c>
      <c r="F317" s="1">
        <f>SUM(D317)</f>
        <v>71.285</v>
      </c>
      <c r="G317" s="1">
        <v>71.285</v>
      </c>
      <c r="H317" s="75" t="s">
        <v>118</v>
      </c>
      <c r="I317" s="32"/>
    </row>
    <row r="318" spans="1:9" ht="54" customHeight="1">
      <c r="A318" s="76" t="s">
        <v>65</v>
      </c>
      <c r="B318" s="77" t="s">
        <v>67</v>
      </c>
      <c r="C318" s="77" t="s">
        <v>217</v>
      </c>
      <c r="D318" s="1">
        <v>2037.432</v>
      </c>
      <c r="E318" s="29">
        <f>100-(F318/D318)*100</f>
        <v>10.877863899261428</v>
      </c>
      <c r="F318" s="1">
        <f>D318-75.93782-145.69126</f>
        <v>1815.8029199999999</v>
      </c>
      <c r="G318" s="1">
        <v>31.788</v>
      </c>
      <c r="H318" s="75" t="s">
        <v>118</v>
      </c>
      <c r="I318" s="32"/>
    </row>
    <row r="319" spans="1:9" ht="63" customHeight="1">
      <c r="A319" s="197" t="s">
        <v>65</v>
      </c>
      <c r="B319" s="196" t="s">
        <v>67</v>
      </c>
      <c r="C319" s="77" t="s">
        <v>247</v>
      </c>
      <c r="D319" s="1">
        <v>4500</v>
      </c>
      <c r="E319" s="29">
        <f>100-(F319/D319)*100</f>
        <v>6.00868088888889</v>
      </c>
      <c r="F319" s="1">
        <f>D319-169.644-100.74664</f>
        <v>4229.6093599999995</v>
      </c>
      <c r="G319" s="1">
        <v>65.675</v>
      </c>
      <c r="H319" s="203" t="s">
        <v>118</v>
      </c>
      <c r="I319" s="32"/>
    </row>
    <row r="320" spans="1:16" s="28" customFormat="1" ht="27" customHeight="1">
      <c r="A320" s="197"/>
      <c r="B320" s="196"/>
      <c r="C320" s="77" t="s">
        <v>204</v>
      </c>
      <c r="D320" s="1"/>
      <c r="E320" s="29"/>
      <c r="F320" s="1"/>
      <c r="G320" s="1">
        <v>35.675</v>
      </c>
      <c r="H320" s="203"/>
      <c r="I320" s="12"/>
      <c r="J320" s="12"/>
      <c r="K320" s="12"/>
      <c r="L320" s="12"/>
      <c r="M320" s="12"/>
      <c r="N320" s="12"/>
      <c r="P320" s="27"/>
    </row>
    <row r="321" spans="1:16" s="28" customFormat="1" ht="78" customHeight="1">
      <c r="A321" s="76" t="s">
        <v>65</v>
      </c>
      <c r="B321" s="77" t="s">
        <v>67</v>
      </c>
      <c r="C321" s="77" t="s">
        <v>444</v>
      </c>
      <c r="D321" s="1">
        <v>1701.166</v>
      </c>
      <c r="E321" s="29">
        <f>100-(F321/D321)*100</f>
        <v>0</v>
      </c>
      <c r="F321" s="1">
        <f>SUM(D321)</f>
        <v>1701.166</v>
      </c>
      <c r="G321" s="94">
        <v>1053.279</v>
      </c>
      <c r="H321" s="75" t="s">
        <v>118</v>
      </c>
      <c r="I321" s="12"/>
      <c r="J321" s="12"/>
      <c r="K321" s="12"/>
      <c r="L321" s="12"/>
      <c r="M321" s="12"/>
      <c r="N321" s="12"/>
      <c r="P321" s="27"/>
    </row>
    <row r="322" spans="1:9" ht="42.75" customHeight="1">
      <c r="A322" s="198" t="s">
        <v>65</v>
      </c>
      <c r="B322" s="190" t="s">
        <v>67</v>
      </c>
      <c r="C322" s="77" t="s">
        <v>428</v>
      </c>
      <c r="D322" s="1">
        <v>12340.582</v>
      </c>
      <c r="E322" s="29">
        <f>100-(F322/D322)*100</f>
        <v>1.53930171202623</v>
      </c>
      <c r="F322" s="1">
        <f>D322-83.80703-106.15176</f>
        <v>12150.62321</v>
      </c>
      <c r="G322" s="1">
        <v>35.727</v>
      </c>
      <c r="H322" s="204" t="s">
        <v>118</v>
      </c>
      <c r="I322" s="32"/>
    </row>
    <row r="323" spans="1:9" ht="25.5" customHeight="1">
      <c r="A323" s="199"/>
      <c r="B323" s="192"/>
      <c r="C323" s="77" t="s">
        <v>204</v>
      </c>
      <c r="D323" s="1"/>
      <c r="E323" s="29"/>
      <c r="F323" s="1"/>
      <c r="G323" s="1">
        <v>9.117</v>
      </c>
      <c r="H323" s="205"/>
      <c r="I323" s="32"/>
    </row>
    <row r="324" spans="1:9" ht="36.75" customHeight="1">
      <c r="A324" s="198" t="s">
        <v>65</v>
      </c>
      <c r="B324" s="190" t="s">
        <v>67</v>
      </c>
      <c r="C324" s="77" t="s">
        <v>426</v>
      </c>
      <c r="D324" s="1">
        <v>344.158</v>
      </c>
      <c r="E324" s="29">
        <f>100-(F324/D324)*100</f>
        <v>77.95700811836423</v>
      </c>
      <c r="F324" s="1">
        <f>D324-268.29528</f>
        <v>75.86272000000002</v>
      </c>
      <c r="G324" s="1">
        <f>0.539+75.324</f>
        <v>75.863</v>
      </c>
      <c r="H324" s="204" t="s">
        <v>118</v>
      </c>
      <c r="I324" s="32"/>
    </row>
    <row r="325" spans="1:9" ht="26.25" customHeight="1">
      <c r="A325" s="199"/>
      <c r="B325" s="192"/>
      <c r="C325" s="77" t="s">
        <v>204</v>
      </c>
      <c r="D325" s="1"/>
      <c r="E325" s="29"/>
      <c r="F325" s="1"/>
      <c r="G325" s="1">
        <v>0.539</v>
      </c>
      <c r="H325" s="205"/>
      <c r="I325" s="32"/>
    </row>
    <row r="326" spans="1:9" ht="55.5" customHeight="1">
      <c r="A326" s="76" t="s">
        <v>65</v>
      </c>
      <c r="B326" s="77" t="s">
        <v>67</v>
      </c>
      <c r="C326" s="48" t="s">
        <v>435</v>
      </c>
      <c r="D326" s="1">
        <v>20146.297</v>
      </c>
      <c r="E326" s="29">
        <f>100-(F326/D326)*100</f>
        <v>1.9964686314313695</v>
      </c>
      <c r="F326" s="1">
        <f>SUM(D326-33.078-159.93627-23.72454-185.47569)</f>
        <v>19744.0825</v>
      </c>
      <c r="G326" s="1">
        <v>44.668</v>
      </c>
      <c r="H326" s="75" t="s">
        <v>118</v>
      </c>
      <c r="I326" s="32"/>
    </row>
    <row r="327" spans="1:9" ht="39.75" customHeight="1">
      <c r="A327" s="76" t="s">
        <v>65</v>
      </c>
      <c r="B327" s="77" t="s">
        <v>67</v>
      </c>
      <c r="C327" s="48" t="s">
        <v>427</v>
      </c>
      <c r="D327" s="1">
        <v>389.279</v>
      </c>
      <c r="E327" s="29">
        <f>100-(F327/D327)*100</f>
        <v>82.4145330213035</v>
      </c>
      <c r="F327" s="1">
        <f>SUM(D327-60-1.5211-259.30137)</f>
        <v>68.45652999999999</v>
      </c>
      <c r="G327" s="1">
        <f>68.457-60</f>
        <v>8.456999999999994</v>
      </c>
      <c r="H327" s="75" t="s">
        <v>118</v>
      </c>
      <c r="I327" s="32"/>
    </row>
    <row r="328" spans="1:9" ht="76.5" customHeight="1">
      <c r="A328" s="76" t="s">
        <v>65</v>
      </c>
      <c r="B328" s="77" t="s">
        <v>67</v>
      </c>
      <c r="C328" s="77" t="s">
        <v>218</v>
      </c>
      <c r="D328" s="1">
        <v>26444.077</v>
      </c>
      <c r="E328" s="31">
        <v>0</v>
      </c>
      <c r="F328" s="1">
        <f>SUM(D328-2968.98013-13451.95099-271.10955)</f>
        <v>9752.036330000003</v>
      </c>
      <c r="G328" s="1">
        <v>32.901</v>
      </c>
      <c r="H328" s="75" t="s">
        <v>118</v>
      </c>
      <c r="I328" s="32"/>
    </row>
    <row r="329" spans="1:9" ht="60" customHeight="1">
      <c r="A329" s="76" t="s">
        <v>65</v>
      </c>
      <c r="B329" s="77" t="s">
        <v>67</v>
      </c>
      <c r="C329" s="77" t="s">
        <v>219</v>
      </c>
      <c r="D329" s="1">
        <v>999.986</v>
      </c>
      <c r="E329" s="29">
        <f aca="true" t="shared" si="13" ref="E329:E340">100-(F329/D329)*100</f>
        <v>4.585515197212757</v>
      </c>
      <c r="F329" s="1">
        <f>SUM(D329-45.85451)</f>
        <v>954.13149</v>
      </c>
      <c r="G329" s="1">
        <v>1.507</v>
      </c>
      <c r="H329" s="75"/>
      <c r="I329" s="32"/>
    </row>
    <row r="330" spans="1:9" ht="56.25" customHeight="1">
      <c r="A330" s="76" t="s">
        <v>65</v>
      </c>
      <c r="B330" s="77" t="s">
        <v>67</v>
      </c>
      <c r="C330" s="77" t="s">
        <v>220</v>
      </c>
      <c r="D330" s="1">
        <v>987.421</v>
      </c>
      <c r="E330" s="29">
        <f t="shared" si="13"/>
        <v>4.226234807645369</v>
      </c>
      <c r="F330" s="1">
        <f>SUM(D330-41.73073)</f>
        <v>945.69027</v>
      </c>
      <c r="G330" s="1">
        <v>1.506</v>
      </c>
      <c r="H330" s="75"/>
      <c r="I330" s="32"/>
    </row>
    <row r="331" spans="1:9" ht="73.5" customHeight="1">
      <c r="A331" s="76" t="s">
        <v>65</v>
      </c>
      <c r="B331" s="77" t="s">
        <v>67</v>
      </c>
      <c r="C331" s="77" t="s">
        <v>221</v>
      </c>
      <c r="D331" s="1">
        <v>882.103</v>
      </c>
      <c r="E331" s="29">
        <f t="shared" si="13"/>
        <v>4.2919817753709</v>
      </c>
      <c r="F331" s="1">
        <f>SUM(D331-37.8597)</f>
        <v>844.2433</v>
      </c>
      <c r="G331" s="1">
        <v>1.394</v>
      </c>
      <c r="H331" s="75"/>
      <c r="I331" s="32"/>
    </row>
    <row r="332" spans="1:9" ht="58.5" customHeight="1">
      <c r="A332" s="76" t="s">
        <v>65</v>
      </c>
      <c r="B332" s="77" t="s">
        <v>67</v>
      </c>
      <c r="C332" s="77" t="s">
        <v>222</v>
      </c>
      <c r="D332" s="1">
        <v>999.994</v>
      </c>
      <c r="E332" s="29">
        <f t="shared" si="13"/>
        <v>4.3136898821393</v>
      </c>
      <c r="F332" s="1">
        <f>SUM(D332-43.13664)</f>
        <v>956.85736</v>
      </c>
      <c r="G332" s="1">
        <v>1.519</v>
      </c>
      <c r="H332" s="75"/>
      <c r="I332" s="32"/>
    </row>
    <row r="333" spans="1:9" ht="78.75" customHeight="1">
      <c r="A333" s="76" t="s">
        <v>65</v>
      </c>
      <c r="B333" s="77" t="s">
        <v>67</v>
      </c>
      <c r="C333" s="77" t="s">
        <v>223</v>
      </c>
      <c r="D333" s="1">
        <v>999.998</v>
      </c>
      <c r="E333" s="29">
        <f t="shared" si="13"/>
        <v>3.881165762331534</v>
      </c>
      <c r="F333" s="1">
        <f>SUM(D333-38.81158)</f>
        <v>961.18642</v>
      </c>
      <c r="G333" s="1">
        <v>1.521</v>
      </c>
      <c r="H333" s="75"/>
      <c r="I333" s="32"/>
    </row>
    <row r="334" spans="1:9" ht="60" customHeight="1">
      <c r="A334" s="197" t="s">
        <v>65</v>
      </c>
      <c r="B334" s="196" t="s">
        <v>67</v>
      </c>
      <c r="C334" s="77" t="s">
        <v>351</v>
      </c>
      <c r="D334" s="1">
        <v>1000</v>
      </c>
      <c r="E334" s="29">
        <f t="shared" si="13"/>
        <v>0</v>
      </c>
      <c r="F334" s="1">
        <v>1000</v>
      </c>
      <c r="G334" s="1">
        <v>57.607</v>
      </c>
      <c r="H334" s="203" t="s">
        <v>118</v>
      </c>
      <c r="I334" s="32"/>
    </row>
    <row r="335" spans="1:16" s="28" customFormat="1" ht="36.75" customHeight="1">
      <c r="A335" s="197"/>
      <c r="B335" s="196"/>
      <c r="C335" s="77" t="s">
        <v>204</v>
      </c>
      <c r="D335" s="1"/>
      <c r="E335" s="29"/>
      <c r="F335" s="1"/>
      <c r="G335" s="1">
        <v>24</v>
      </c>
      <c r="H335" s="203"/>
      <c r="I335" s="12"/>
      <c r="J335" s="12"/>
      <c r="K335" s="12"/>
      <c r="L335" s="12"/>
      <c r="M335" s="12"/>
      <c r="N335" s="12"/>
      <c r="P335" s="27"/>
    </row>
    <row r="336" spans="1:16" s="28" customFormat="1" ht="60" customHeight="1">
      <c r="A336" s="76" t="s">
        <v>65</v>
      </c>
      <c r="B336" s="77" t="s">
        <v>67</v>
      </c>
      <c r="C336" s="77" t="s">
        <v>17</v>
      </c>
      <c r="D336" s="1">
        <v>220</v>
      </c>
      <c r="E336" s="29">
        <v>0</v>
      </c>
      <c r="F336" s="1">
        <v>220</v>
      </c>
      <c r="G336" s="1">
        <v>220</v>
      </c>
      <c r="H336" s="69" t="s">
        <v>118</v>
      </c>
      <c r="I336" s="12"/>
      <c r="J336" s="12"/>
      <c r="K336" s="12"/>
      <c r="L336" s="12"/>
      <c r="M336" s="12"/>
      <c r="N336" s="12"/>
      <c r="P336" s="27"/>
    </row>
    <row r="337" spans="1:16" s="28" customFormat="1" ht="94.5" customHeight="1">
      <c r="A337" s="76" t="s">
        <v>65</v>
      </c>
      <c r="B337" s="77" t="s">
        <v>67</v>
      </c>
      <c r="C337" s="77" t="s">
        <v>29</v>
      </c>
      <c r="D337" s="1">
        <v>85</v>
      </c>
      <c r="E337" s="29">
        <v>0</v>
      </c>
      <c r="F337" s="1">
        <v>85</v>
      </c>
      <c r="G337" s="1">
        <v>85</v>
      </c>
      <c r="H337" s="69" t="s">
        <v>118</v>
      </c>
      <c r="I337" s="12"/>
      <c r="J337" s="12"/>
      <c r="K337" s="12"/>
      <c r="L337" s="12"/>
      <c r="M337" s="12"/>
      <c r="N337" s="12"/>
      <c r="P337" s="27"/>
    </row>
    <row r="338" spans="1:9" ht="63.75" customHeight="1">
      <c r="A338" s="76" t="s">
        <v>65</v>
      </c>
      <c r="B338" s="77" t="s">
        <v>67</v>
      </c>
      <c r="C338" s="77" t="s">
        <v>224</v>
      </c>
      <c r="D338" s="1">
        <v>820.137</v>
      </c>
      <c r="E338" s="29">
        <f t="shared" si="13"/>
        <v>22.53925868482949</v>
      </c>
      <c r="F338" s="1">
        <f>SUM(D338-184.8528)</f>
        <v>635.2841999999999</v>
      </c>
      <c r="G338" s="1">
        <v>322.874</v>
      </c>
      <c r="H338" s="75" t="s">
        <v>261</v>
      </c>
      <c r="I338" s="32"/>
    </row>
    <row r="339" spans="1:9" ht="37.5" customHeight="1">
      <c r="A339" s="76" t="s">
        <v>65</v>
      </c>
      <c r="B339" s="77" t="s">
        <v>67</v>
      </c>
      <c r="C339" s="77" t="s">
        <v>352</v>
      </c>
      <c r="D339" s="1">
        <v>811.974</v>
      </c>
      <c r="E339" s="29">
        <f>100-(F339/D339)*100</f>
        <v>0</v>
      </c>
      <c r="F339" s="1">
        <f>SUM(D339)</f>
        <v>811.974</v>
      </c>
      <c r="G339" s="1">
        <v>703.049</v>
      </c>
      <c r="H339" s="69" t="s">
        <v>118</v>
      </c>
      <c r="I339" s="32"/>
    </row>
    <row r="340" spans="1:9" ht="35.25" customHeight="1">
      <c r="A340" s="197" t="s">
        <v>65</v>
      </c>
      <c r="B340" s="196" t="s">
        <v>67</v>
      </c>
      <c r="C340" s="77" t="s">
        <v>248</v>
      </c>
      <c r="D340" s="1">
        <v>4035.534</v>
      </c>
      <c r="E340" s="29">
        <f t="shared" si="13"/>
        <v>51.40472586775381</v>
      </c>
      <c r="F340" s="1">
        <f>D340-3.48524-2070.96995</f>
        <v>1961.07881</v>
      </c>
      <c r="G340" s="94">
        <v>1306.551</v>
      </c>
      <c r="H340" s="203" t="s">
        <v>118</v>
      </c>
      <c r="I340" s="32"/>
    </row>
    <row r="341" spans="1:16" s="28" customFormat="1" ht="38.25" customHeight="1">
      <c r="A341" s="197"/>
      <c r="B341" s="196"/>
      <c r="C341" s="77" t="s">
        <v>204</v>
      </c>
      <c r="D341" s="1"/>
      <c r="E341" s="29"/>
      <c r="F341" s="1"/>
      <c r="G341" s="1">
        <v>141.689</v>
      </c>
      <c r="H341" s="203"/>
      <c r="I341" s="12"/>
      <c r="J341" s="12"/>
      <c r="K341" s="12"/>
      <c r="L341" s="12"/>
      <c r="M341" s="12"/>
      <c r="N341" s="12"/>
      <c r="P341" s="27"/>
    </row>
    <row r="342" spans="1:9" ht="78.75" customHeight="1">
      <c r="A342" s="73" t="s">
        <v>65</v>
      </c>
      <c r="B342" s="49" t="s">
        <v>67</v>
      </c>
      <c r="C342" s="2" t="s">
        <v>406</v>
      </c>
      <c r="D342" s="1">
        <v>4483.6</v>
      </c>
      <c r="E342" s="29">
        <f>100-(F342/D342)*100</f>
        <v>1.994890712820066</v>
      </c>
      <c r="F342" s="1">
        <f>D342-89.44292</f>
        <v>4394.15708</v>
      </c>
      <c r="G342" s="1">
        <v>0.123</v>
      </c>
      <c r="H342" s="69" t="s">
        <v>118</v>
      </c>
      <c r="I342" s="32"/>
    </row>
    <row r="343" spans="1:9" ht="55.5" customHeight="1">
      <c r="A343" s="197" t="s">
        <v>65</v>
      </c>
      <c r="B343" s="196" t="s">
        <v>67</v>
      </c>
      <c r="C343" s="77" t="s">
        <v>191</v>
      </c>
      <c r="D343" s="1">
        <v>560</v>
      </c>
      <c r="E343" s="29">
        <f>100-(F343/D343)*100</f>
        <v>0</v>
      </c>
      <c r="F343" s="1">
        <f>D343</f>
        <v>560</v>
      </c>
      <c r="G343" s="1">
        <v>60</v>
      </c>
      <c r="H343" s="203" t="s">
        <v>118</v>
      </c>
      <c r="I343" s="32"/>
    </row>
    <row r="344" spans="1:16" s="28" customFormat="1" ht="38.25" customHeight="1">
      <c r="A344" s="197"/>
      <c r="B344" s="196"/>
      <c r="C344" s="77" t="s">
        <v>204</v>
      </c>
      <c r="D344" s="1"/>
      <c r="E344" s="29"/>
      <c r="F344" s="1"/>
      <c r="G344" s="1">
        <v>50</v>
      </c>
      <c r="H344" s="203"/>
      <c r="I344" s="12"/>
      <c r="J344" s="12"/>
      <c r="K344" s="12"/>
      <c r="L344" s="12"/>
      <c r="M344" s="12"/>
      <c r="N344" s="12"/>
      <c r="P344" s="27"/>
    </row>
    <row r="345" spans="1:9" ht="43.5" customHeight="1">
      <c r="A345" s="197" t="s">
        <v>65</v>
      </c>
      <c r="B345" s="196" t="s">
        <v>67</v>
      </c>
      <c r="C345" s="77" t="s">
        <v>179</v>
      </c>
      <c r="D345" s="1">
        <v>1802.026</v>
      </c>
      <c r="E345" s="29">
        <f>100-(F345/D345)*100</f>
        <v>2.662203542013259</v>
      </c>
      <c r="F345" s="1">
        <f>SUM(D345-47.9736)</f>
        <v>1754.0524</v>
      </c>
      <c r="G345" s="1">
        <v>55.998</v>
      </c>
      <c r="H345" s="203" t="s">
        <v>118</v>
      </c>
      <c r="I345" s="32"/>
    </row>
    <row r="346" spans="1:16" s="28" customFormat="1" ht="38.25" customHeight="1">
      <c r="A346" s="197"/>
      <c r="B346" s="196"/>
      <c r="C346" s="77" t="s">
        <v>204</v>
      </c>
      <c r="D346" s="1"/>
      <c r="E346" s="29"/>
      <c r="F346" s="1"/>
      <c r="G346" s="1">
        <v>28.998</v>
      </c>
      <c r="H346" s="203"/>
      <c r="I346" s="12"/>
      <c r="J346" s="12"/>
      <c r="K346" s="12"/>
      <c r="L346" s="12"/>
      <c r="M346" s="12"/>
      <c r="N346" s="12"/>
      <c r="P346" s="27"/>
    </row>
    <row r="347" spans="1:9" ht="57.75" customHeight="1">
      <c r="A347" s="76" t="s">
        <v>65</v>
      </c>
      <c r="B347" s="77" t="s">
        <v>67</v>
      </c>
      <c r="C347" s="48" t="s">
        <v>196</v>
      </c>
      <c r="D347" s="50">
        <v>19003</v>
      </c>
      <c r="E347" s="29">
        <f>100-(F347/D347)*100</f>
        <v>0</v>
      </c>
      <c r="F347" s="50">
        <f>SUM(D347)</f>
        <v>19003</v>
      </c>
      <c r="G347" s="50">
        <f>400-100.423</f>
        <v>299.577</v>
      </c>
      <c r="H347" s="75" t="s">
        <v>118</v>
      </c>
      <c r="I347" s="32"/>
    </row>
    <row r="348" spans="1:9" ht="38.25" customHeight="1">
      <c r="A348" s="76" t="s">
        <v>65</v>
      </c>
      <c r="B348" s="48" t="s">
        <v>67</v>
      </c>
      <c r="C348" s="33" t="s">
        <v>91</v>
      </c>
      <c r="D348" s="50">
        <v>1200</v>
      </c>
      <c r="E348" s="29">
        <f>100-(F348/D348)*100</f>
        <v>0</v>
      </c>
      <c r="F348" s="50">
        <v>1200</v>
      </c>
      <c r="G348" s="50">
        <f>200-19.505-60</f>
        <v>120.495</v>
      </c>
      <c r="H348" s="75" t="s">
        <v>118</v>
      </c>
      <c r="I348" s="32"/>
    </row>
    <row r="349" spans="1:9" ht="76.5" customHeight="1">
      <c r="A349" s="76" t="s">
        <v>65</v>
      </c>
      <c r="B349" s="48" t="s">
        <v>67</v>
      </c>
      <c r="C349" s="77" t="s">
        <v>434</v>
      </c>
      <c r="D349" s="50">
        <v>509</v>
      </c>
      <c r="E349" s="29">
        <f>100-(F349/D349)*100</f>
        <v>64.63654223968567</v>
      </c>
      <c r="F349" s="50">
        <v>180</v>
      </c>
      <c r="G349" s="50">
        <v>5</v>
      </c>
      <c r="H349" s="75" t="s">
        <v>118</v>
      </c>
      <c r="I349" s="32"/>
    </row>
    <row r="350" spans="1:9" ht="37.5" customHeight="1">
      <c r="A350" s="197" t="s">
        <v>65</v>
      </c>
      <c r="B350" s="196" t="s">
        <v>67</v>
      </c>
      <c r="C350" s="48" t="s">
        <v>85</v>
      </c>
      <c r="D350" s="50">
        <v>224.328</v>
      </c>
      <c r="E350" s="29">
        <f>100-(F350/D350)*100</f>
        <v>0</v>
      </c>
      <c r="F350" s="50">
        <v>224.328</v>
      </c>
      <c r="G350" s="50">
        <f>224.328-195.587</f>
        <v>28.741000000000014</v>
      </c>
      <c r="H350" s="203"/>
      <c r="I350" s="32"/>
    </row>
    <row r="351" spans="1:16" s="28" customFormat="1" ht="37.5" customHeight="1">
      <c r="A351" s="197"/>
      <c r="B351" s="196"/>
      <c r="C351" s="77" t="s">
        <v>204</v>
      </c>
      <c r="D351" s="1"/>
      <c r="E351" s="29"/>
      <c r="F351" s="1"/>
      <c r="G351" s="1">
        <v>27.421</v>
      </c>
      <c r="H351" s="203"/>
      <c r="I351" s="12"/>
      <c r="J351" s="12"/>
      <c r="K351" s="12"/>
      <c r="L351" s="12"/>
      <c r="M351" s="12"/>
      <c r="N351" s="12"/>
      <c r="P351" s="27"/>
    </row>
    <row r="352" spans="1:16" s="28" customFormat="1" ht="37.5" customHeight="1">
      <c r="A352" s="76" t="s">
        <v>65</v>
      </c>
      <c r="B352" s="77" t="s">
        <v>67</v>
      </c>
      <c r="C352" s="51" t="s">
        <v>28</v>
      </c>
      <c r="D352" s="1">
        <v>199.007</v>
      </c>
      <c r="E352" s="29">
        <v>0</v>
      </c>
      <c r="F352" s="1">
        <v>199.007</v>
      </c>
      <c r="G352" s="1">
        <v>24.306</v>
      </c>
      <c r="H352" s="75"/>
      <c r="I352" s="12"/>
      <c r="J352" s="12"/>
      <c r="K352" s="12"/>
      <c r="L352" s="12"/>
      <c r="M352" s="12"/>
      <c r="N352" s="12"/>
      <c r="P352" s="27"/>
    </row>
    <row r="353" spans="1:16" s="28" customFormat="1" ht="37.5" customHeight="1">
      <c r="A353" s="76" t="s">
        <v>65</v>
      </c>
      <c r="B353" s="77" t="s">
        <v>67</v>
      </c>
      <c r="C353" s="77" t="s">
        <v>27</v>
      </c>
      <c r="D353" s="1">
        <v>170.506</v>
      </c>
      <c r="E353" s="29">
        <v>0</v>
      </c>
      <c r="F353" s="50">
        <v>170.506</v>
      </c>
      <c r="G353" s="1">
        <v>24.306</v>
      </c>
      <c r="H353" s="75"/>
      <c r="I353" s="12"/>
      <c r="J353" s="12"/>
      <c r="K353" s="12"/>
      <c r="L353" s="12"/>
      <c r="M353" s="12"/>
      <c r="N353" s="12"/>
      <c r="P353" s="27"/>
    </row>
    <row r="354" spans="1:9" ht="37.5" customHeight="1">
      <c r="A354" s="197" t="s">
        <v>65</v>
      </c>
      <c r="B354" s="196" t="s">
        <v>67</v>
      </c>
      <c r="C354" s="48" t="s">
        <v>86</v>
      </c>
      <c r="D354" s="50">
        <v>206.191</v>
      </c>
      <c r="E354" s="29">
        <f>100-(F354/D354)*100</f>
        <v>0</v>
      </c>
      <c r="F354" s="50">
        <v>206.191</v>
      </c>
      <c r="G354" s="50">
        <f>206.191-180.412</f>
        <v>25.778999999999996</v>
      </c>
      <c r="H354" s="203"/>
      <c r="I354" s="32"/>
    </row>
    <row r="355" spans="1:16" s="28" customFormat="1" ht="31.5" customHeight="1">
      <c r="A355" s="197"/>
      <c r="B355" s="196"/>
      <c r="C355" s="77" t="s">
        <v>204</v>
      </c>
      <c r="D355" s="1"/>
      <c r="E355" s="29"/>
      <c r="F355" s="1"/>
      <c r="G355" s="1">
        <v>24.459</v>
      </c>
      <c r="H355" s="203"/>
      <c r="I355" s="12"/>
      <c r="J355" s="12"/>
      <c r="K355" s="12"/>
      <c r="L355" s="12"/>
      <c r="M355" s="12"/>
      <c r="N355" s="12"/>
      <c r="P355" s="27"/>
    </row>
    <row r="356" spans="1:9" ht="41.25" customHeight="1">
      <c r="A356" s="197" t="s">
        <v>65</v>
      </c>
      <c r="B356" s="196" t="s">
        <v>67</v>
      </c>
      <c r="C356" s="48" t="s">
        <v>92</v>
      </c>
      <c r="D356" s="50">
        <v>173.866</v>
      </c>
      <c r="E356" s="29">
        <f>100-(F356/D356)*100</f>
        <v>0</v>
      </c>
      <c r="F356" s="50">
        <v>173.866</v>
      </c>
      <c r="G356" s="50">
        <f>173.866-148.087</f>
        <v>25.779000000000025</v>
      </c>
      <c r="H356" s="203"/>
      <c r="I356" s="32"/>
    </row>
    <row r="357" spans="1:16" s="28" customFormat="1" ht="30.75" customHeight="1">
      <c r="A357" s="197"/>
      <c r="B357" s="196"/>
      <c r="C357" s="77" t="s">
        <v>204</v>
      </c>
      <c r="D357" s="1"/>
      <c r="E357" s="29"/>
      <c r="F357" s="1"/>
      <c r="G357" s="1">
        <v>24.459</v>
      </c>
      <c r="H357" s="203"/>
      <c r="I357" s="12"/>
      <c r="J357" s="12"/>
      <c r="K357" s="12"/>
      <c r="L357" s="12"/>
      <c r="M357" s="12"/>
      <c r="N357" s="12"/>
      <c r="P357" s="27"/>
    </row>
    <row r="358" spans="1:9" ht="99" customHeight="1">
      <c r="A358" s="76" t="s">
        <v>65</v>
      </c>
      <c r="B358" s="77" t="s">
        <v>67</v>
      </c>
      <c r="C358" s="33" t="s">
        <v>408</v>
      </c>
      <c r="D358" s="50">
        <v>1864.696</v>
      </c>
      <c r="E358" s="29">
        <f>100-(F358/D358)*100</f>
        <v>0</v>
      </c>
      <c r="F358" s="50">
        <f aca="true" t="shared" si="14" ref="F358:F364">SUM(D358)</f>
        <v>1864.696</v>
      </c>
      <c r="G358" s="50">
        <v>222.588</v>
      </c>
      <c r="H358" s="75" t="s">
        <v>118</v>
      </c>
      <c r="I358" s="32"/>
    </row>
    <row r="359" spans="1:16" s="28" customFormat="1" ht="77.25" customHeight="1">
      <c r="A359" s="76" t="s">
        <v>65</v>
      </c>
      <c r="B359" s="77" t="s">
        <v>67</v>
      </c>
      <c r="C359" s="33" t="s">
        <v>407</v>
      </c>
      <c r="D359" s="1">
        <v>999.767</v>
      </c>
      <c r="E359" s="29">
        <f>100-(F359/D359)*100</f>
        <v>0</v>
      </c>
      <c r="F359" s="1">
        <f t="shared" si="14"/>
        <v>999.767</v>
      </c>
      <c r="G359" s="1">
        <f>399.767-300</f>
        <v>99.767</v>
      </c>
      <c r="H359" s="75" t="s">
        <v>118</v>
      </c>
      <c r="I359" s="12"/>
      <c r="J359" s="12"/>
      <c r="K359" s="12"/>
      <c r="L359" s="12"/>
      <c r="M359" s="12"/>
      <c r="N359" s="12"/>
      <c r="P359" s="27"/>
    </row>
    <row r="360" spans="1:9" ht="60.75" customHeight="1">
      <c r="A360" s="76" t="s">
        <v>65</v>
      </c>
      <c r="B360" s="77" t="s">
        <v>67</v>
      </c>
      <c r="C360" s="77" t="s">
        <v>182</v>
      </c>
      <c r="D360" s="50">
        <v>160.4</v>
      </c>
      <c r="E360" s="29">
        <f aca="true" t="shared" si="15" ref="E360:E370">100-(F360/D360)*100</f>
        <v>0</v>
      </c>
      <c r="F360" s="50">
        <f t="shared" si="14"/>
        <v>160.4</v>
      </c>
      <c r="G360" s="50">
        <v>149.25</v>
      </c>
      <c r="H360" s="75" t="s">
        <v>118</v>
      </c>
      <c r="I360" s="32"/>
    </row>
    <row r="361" spans="1:9" ht="59.25" customHeight="1">
      <c r="A361" s="76" t="s">
        <v>65</v>
      </c>
      <c r="B361" s="77" t="s">
        <v>67</v>
      </c>
      <c r="C361" s="77" t="s">
        <v>183</v>
      </c>
      <c r="D361" s="50">
        <v>999.431</v>
      </c>
      <c r="E361" s="29">
        <f t="shared" si="15"/>
        <v>0</v>
      </c>
      <c r="F361" s="50">
        <f t="shared" si="14"/>
        <v>999.431</v>
      </c>
      <c r="G361" s="50">
        <f>61.251-60</f>
        <v>1.2509999999999977</v>
      </c>
      <c r="H361" s="75" t="s">
        <v>118</v>
      </c>
      <c r="I361" s="32"/>
    </row>
    <row r="362" spans="1:9" ht="41.25" customHeight="1">
      <c r="A362" s="198" t="s">
        <v>65</v>
      </c>
      <c r="B362" s="190" t="s">
        <v>67</v>
      </c>
      <c r="C362" s="2" t="s">
        <v>424</v>
      </c>
      <c r="D362" s="37">
        <v>200</v>
      </c>
      <c r="E362" s="44">
        <f t="shared" si="15"/>
        <v>0</v>
      </c>
      <c r="F362" s="37">
        <f t="shared" si="14"/>
        <v>200</v>
      </c>
      <c r="G362" s="1">
        <v>71.915</v>
      </c>
      <c r="H362" s="204" t="s">
        <v>118</v>
      </c>
      <c r="I362" s="32"/>
    </row>
    <row r="363" spans="1:9" ht="35.25" customHeight="1">
      <c r="A363" s="199"/>
      <c r="B363" s="192"/>
      <c r="C363" s="77" t="s">
        <v>204</v>
      </c>
      <c r="D363" s="37"/>
      <c r="E363" s="44"/>
      <c r="F363" s="37"/>
      <c r="G363" s="1">
        <v>0.495</v>
      </c>
      <c r="H363" s="205"/>
      <c r="I363" s="32"/>
    </row>
    <row r="364" spans="1:8" ht="76.5" customHeight="1">
      <c r="A364" s="76" t="s">
        <v>65</v>
      </c>
      <c r="B364" s="77" t="s">
        <v>67</v>
      </c>
      <c r="C364" s="77" t="s">
        <v>412</v>
      </c>
      <c r="D364" s="80">
        <v>376.904</v>
      </c>
      <c r="E364" s="29">
        <f>100-(F364/D364)*100</f>
        <v>0</v>
      </c>
      <c r="F364" s="52">
        <f t="shared" si="14"/>
        <v>376.904</v>
      </c>
      <c r="G364" s="80">
        <v>29.247</v>
      </c>
      <c r="H364" s="75" t="s">
        <v>118</v>
      </c>
    </row>
    <row r="365" spans="1:8" ht="43.5" customHeight="1">
      <c r="A365" s="76" t="s">
        <v>65</v>
      </c>
      <c r="B365" s="77" t="s">
        <v>67</v>
      </c>
      <c r="C365" s="77" t="s">
        <v>413</v>
      </c>
      <c r="D365" s="1">
        <v>6008</v>
      </c>
      <c r="E365" s="29">
        <f>100-(F365/D365)*100</f>
        <v>0</v>
      </c>
      <c r="F365" s="1">
        <f>SUM(D365)</f>
        <v>6008</v>
      </c>
      <c r="G365" s="1">
        <f>347.657-20</f>
        <v>327.657</v>
      </c>
      <c r="H365" s="75" t="s">
        <v>118</v>
      </c>
    </row>
    <row r="366" spans="1:8" ht="43.5" customHeight="1">
      <c r="A366" s="76" t="s">
        <v>65</v>
      </c>
      <c r="B366" s="77" t="s">
        <v>67</v>
      </c>
      <c r="C366" s="68" t="s">
        <v>26</v>
      </c>
      <c r="D366" s="1">
        <v>100</v>
      </c>
      <c r="E366" s="29">
        <f>100-(F366/D366)*100</f>
        <v>0</v>
      </c>
      <c r="F366" s="1">
        <f>SUM(D366)</f>
        <v>100</v>
      </c>
      <c r="G366" s="1">
        <v>100</v>
      </c>
      <c r="H366" s="69" t="s">
        <v>118</v>
      </c>
    </row>
    <row r="367" spans="1:9" ht="57" customHeight="1">
      <c r="A367" s="198" t="s">
        <v>65</v>
      </c>
      <c r="B367" s="190" t="s">
        <v>67</v>
      </c>
      <c r="C367" s="77" t="s">
        <v>436</v>
      </c>
      <c r="D367" s="1">
        <v>612.917</v>
      </c>
      <c r="E367" s="29">
        <f t="shared" si="15"/>
        <v>0</v>
      </c>
      <c r="F367" s="1">
        <f>D367-0</f>
        <v>612.917</v>
      </c>
      <c r="G367" s="1">
        <v>72.349</v>
      </c>
      <c r="H367" s="204" t="s">
        <v>118</v>
      </c>
      <c r="I367" s="32"/>
    </row>
    <row r="368" spans="1:9" ht="33" customHeight="1">
      <c r="A368" s="199"/>
      <c r="B368" s="192"/>
      <c r="C368" s="77" t="s">
        <v>204</v>
      </c>
      <c r="D368" s="1"/>
      <c r="E368" s="29"/>
      <c r="F368" s="1"/>
      <c r="G368" s="1">
        <v>71.323</v>
      </c>
      <c r="H368" s="205"/>
      <c r="I368" s="32"/>
    </row>
    <row r="369" spans="1:9" ht="56.25" customHeight="1">
      <c r="A369" s="76" t="s">
        <v>65</v>
      </c>
      <c r="B369" s="77" t="s">
        <v>67</v>
      </c>
      <c r="C369" s="77" t="s">
        <v>409</v>
      </c>
      <c r="D369" s="1">
        <v>353.037</v>
      </c>
      <c r="E369" s="29">
        <f t="shared" si="15"/>
        <v>0</v>
      </c>
      <c r="F369" s="1">
        <f>SUM(D369)</f>
        <v>353.037</v>
      </c>
      <c r="G369" s="1">
        <f>153.037-50</f>
        <v>103.037</v>
      </c>
      <c r="H369" s="75" t="s">
        <v>118</v>
      </c>
      <c r="I369" s="32"/>
    </row>
    <row r="370" spans="1:9" ht="56.25" customHeight="1">
      <c r="A370" s="76" t="s">
        <v>65</v>
      </c>
      <c r="B370" s="77" t="s">
        <v>67</v>
      </c>
      <c r="C370" s="77" t="s">
        <v>225</v>
      </c>
      <c r="D370" s="1">
        <v>1600.549</v>
      </c>
      <c r="E370" s="29">
        <f t="shared" si="15"/>
        <v>61.343151006310954</v>
      </c>
      <c r="F370" s="1">
        <f>1590.766-972.04419</f>
        <v>618.7218100000001</v>
      </c>
      <c r="G370" s="1">
        <v>482.465</v>
      </c>
      <c r="H370" s="75" t="s">
        <v>118</v>
      </c>
      <c r="I370" s="32"/>
    </row>
    <row r="371" spans="1:9" ht="36.75" customHeight="1">
      <c r="A371" s="76" t="s">
        <v>65</v>
      </c>
      <c r="B371" s="77" t="s">
        <v>67</v>
      </c>
      <c r="C371" s="77" t="s">
        <v>12</v>
      </c>
      <c r="D371" s="1">
        <v>386.782</v>
      </c>
      <c r="E371" s="29">
        <f>100-(F371/D371)*100</f>
        <v>0</v>
      </c>
      <c r="F371" s="1">
        <f>SUM(D371)</f>
        <v>386.782</v>
      </c>
      <c r="G371" s="1">
        <f>386.782-100</f>
        <v>286.782</v>
      </c>
      <c r="H371" s="75" t="s">
        <v>118</v>
      </c>
      <c r="I371" s="32"/>
    </row>
    <row r="372" spans="1:10" ht="55.5" customHeight="1">
      <c r="A372" s="76" t="s">
        <v>65</v>
      </c>
      <c r="B372" s="77" t="s">
        <v>67</v>
      </c>
      <c r="C372" s="77" t="s">
        <v>256</v>
      </c>
      <c r="D372" s="1">
        <v>500</v>
      </c>
      <c r="E372" s="29">
        <f>100-(F372/D372)*100</f>
        <v>0</v>
      </c>
      <c r="F372" s="1">
        <v>500</v>
      </c>
      <c r="G372" s="1">
        <v>83.079</v>
      </c>
      <c r="H372" s="75" t="s">
        <v>118</v>
      </c>
      <c r="I372" s="32"/>
      <c r="J372" s="24">
        <f>SUM(G373+G382)</f>
        <v>14897.730999999998</v>
      </c>
    </row>
    <row r="373" spans="1:9" ht="42" customHeight="1">
      <c r="A373" s="189" t="s">
        <v>89</v>
      </c>
      <c r="B373" s="206" t="s">
        <v>193</v>
      </c>
      <c r="C373" s="48" t="s">
        <v>56</v>
      </c>
      <c r="D373" s="1"/>
      <c r="E373" s="29"/>
      <c r="F373" s="1"/>
      <c r="G373" s="1">
        <f>SUM(G375:G381)</f>
        <v>9764.832999999999</v>
      </c>
      <c r="H373" s="75"/>
      <c r="I373" s="32"/>
    </row>
    <row r="374" spans="1:9" s="58" customFormat="1" ht="18.75">
      <c r="A374" s="189"/>
      <c r="B374" s="206"/>
      <c r="C374" s="42" t="s">
        <v>53</v>
      </c>
      <c r="D374" s="54"/>
      <c r="E374" s="55"/>
      <c r="F374" s="54"/>
      <c r="G374" s="54"/>
      <c r="H374" s="56"/>
      <c r="I374" s="57"/>
    </row>
    <row r="375" spans="1:9" s="58" customFormat="1" ht="56.25">
      <c r="A375" s="189"/>
      <c r="B375" s="206"/>
      <c r="C375" s="42" t="s">
        <v>13</v>
      </c>
      <c r="D375" s="54"/>
      <c r="E375" s="55"/>
      <c r="F375" s="54"/>
      <c r="G375" s="1">
        <v>1532.52</v>
      </c>
      <c r="H375" s="56" t="s">
        <v>40</v>
      </c>
      <c r="I375" s="57"/>
    </row>
    <row r="376" spans="1:9" s="58" customFormat="1" ht="93.75">
      <c r="A376" s="189"/>
      <c r="B376" s="206"/>
      <c r="C376" s="3" t="s">
        <v>36</v>
      </c>
      <c r="D376" s="54"/>
      <c r="E376" s="55"/>
      <c r="F376" s="54"/>
      <c r="G376" s="1">
        <v>225.373</v>
      </c>
      <c r="H376" s="56" t="s">
        <v>41</v>
      </c>
      <c r="I376" s="57"/>
    </row>
    <row r="377" spans="1:9" s="58" customFormat="1" ht="131.25" customHeight="1">
      <c r="A377" s="189"/>
      <c r="B377" s="206"/>
      <c r="C377" s="42" t="s">
        <v>22</v>
      </c>
      <c r="D377" s="54"/>
      <c r="E377" s="55"/>
      <c r="F377" s="54"/>
      <c r="G377" s="1">
        <f>3500-1140</f>
        <v>2360</v>
      </c>
      <c r="H377" s="80" t="s">
        <v>57</v>
      </c>
      <c r="I377" s="57"/>
    </row>
    <row r="378" spans="1:9" s="58" customFormat="1" ht="57.75" customHeight="1">
      <c r="A378" s="189"/>
      <c r="B378" s="206"/>
      <c r="C378" s="77" t="s">
        <v>14</v>
      </c>
      <c r="D378" s="54"/>
      <c r="E378" s="55"/>
      <c r="F378" s="54"/>
      <c r="G378" s="1">
        <v>174.5</v>
      </c>
      <c r="H378" s="80" t="s">
        <v>261</v>
      </c>
      <c r="I378" s="57"/>
    </row>
    <row r="379" spans="1:9" s="58" customFormat="1" ht="265.5" customHeight="1">
      <c r="A379" s="189" t="s">
        <v>89</v>
      </c>
      <c r="B379" s="206" t="s">
        <v>193</v>
      </c>
      <c r="C379" s="59" t="s">
        <v>37</v>
      </c>
      <c r="D379" s="54"/>
      <c r="E379" s="55"/>
      <c r="F379" s="54"/>
      <c r="G379" s="1">
        <v>2277.72</v>
      </c>
      <c r="H379" s="80" t="s">
        <v>259</v>
      </c>
      <c r="I379" s="57"/>
    </row>
    <row r="380" spans="1:9" s="58" customFormat="1" ht="71.25" customHeight="1">
      <c r="A380" s="189"/>
      <c r="B380" s="206"/>
      <c r="C380" s="42" t="s">
        <v>410</v>
      </c>
      <c r="D380" s="54"/>
      <c r="E380" s="55"/>
      <c r="F380" s="54"/>
      <c r="G380" s="1">
        <v>506.62</v>
      </c>
      <c r="H380" s="80" t="s">
        <v>58</v>
      </c>
      <c r="I380" s="57"/>
    </row>
    <row r="381" spans="1:9" s="58" customFormat="1" ht="56.25" customHeight="1">
      <c r="A381" s="189"/>
      <c r="B381" s="206"/>
      <c r="C381" s="77" t="s">
        <v>437</v>
      </c>
      <c r="D381" s="54"/>
      <c r="E381" s="55"/>
      <c r="F381" s="54"/>
      <c r="G381" s="1">
        <v>2688.1</v>
      </c>
      <c r="H381" s="80" t="s">
        <v>416</v>
      </c>
      <c r="I381" s="57"/>
    </row>
    <row r="382" spans="1:9" s="46" customFormat="1" ht="37.5" customHeight="1">
      <c r="A382" s="193">
        <v>180409</v>
      </c>
      <c r="B382" s="190" t="s">
        <v>193</v>
      </c>
      <c r="C382" s="77" t="s">
        <v>55</v>
      </c>
      <c r="D382" s="43"/>
      <c r="E382" s="44"/>
      <c r="F382" s="43"/>
      <c r="G382" s="1">
        <f>SUM(G384+G385)</f>
        <v>5132.897999999999</v>
      </c>
      <c r="H382" s="75"/>
      <c r="I382" s="45"/>
    </row>
    <row r="383" spans="1:9" s="58" customFormat="1" ht="18.75">
      <c r="A383" s="194"/>
      <c r="B383" s="191"/>
      <c r="C383" s="42" t="s">
        <v>53</v>
      </c>
      <c r="D383" s="54"/>
      <c r="E383" s="55"/>
      <c r="F383" s="54"/>
      <c r="G383" s="54"/>
      <c r="H383" s="56"/>
      <c r="I383" s="57"/>
    </row>
    <row r="384" spans="1:9" s="58" customFormat="1" ht="94.5" customHeight="1">
      <c r="A384" s="194"/>
      <c r="B384" s="191"/>
      <c r="C384" s="42" t="s">
        <v>54</v>
      </c>
      <c r="D384" s="54"/>
      <c r="E384" s="55"/>
      <c r="F384" s="54"/>
      <c r="G384" s="1">
        <v>2199.604</v>
      </c>
      <c r="H384" s="75" t="s">
        <v>57</v>
      </c>
      <c r="I384" s="57"/>
    </row>
    <row r="385" spans="1:9" s="58" customFormat="1" ht="186.75" customHeight="1">
      <c r="A385" s="195"/>
      <c r="B385" s="192"/>
      <c r="C385" s="42" t="s">
        <v>38</v>
      </c>
      <c r="D385" s="54"/>
      <c r="E385" s="55"/>
      <c r="F385" s="54"/>
      <c r="G385" s="1">
        <v>2933.294</v>
      </c>
      <c r="H385" s="75" t="s">
        <v>259</v>
      </c>
      <c r="I385" s="57"/>
    </row>
    <row r="386" spans="1:16" s="28" customFormat="1" ht="93.75" customHeight="1">
      <c r="A386" s="26" t="s">
        <v>172</v>
      </c>
      <c r="B386" s="77" t="s">
        <v>10</v>
      </c>
      <c r="C386" s="77"/>
      <c r="D386" s="1">
        <f>SUM(D387:D388)</f>
        <v>98</v>
      </c>
      <c r="E386" s="1"/>
      <c r="F386" s="1">
        <f>SUM(F387:F388)</f>
        <v>98</v>
      </c>
      <c r="G386" s="1">
        <f>SUM(G387:G388)</f>
        <v>2256.885</v>
      </c>
      <c r="H386" s="25"/>
      <c r="I386" s="24"/>
      <c r="J386" s="24"/>
      <c r="K386" s="24"/>
      <c r="L386" s="24"/>
      <c r="M386" s="24"/>
      <c r="N386" s="24"/>
      <c r="O386" s="12"/>
      <c r="P386" s="27"/>
    </row>
    <row r="387" spans="1:16" s="28" customFormat="1" ht="59.25" customHeight="1">
      <c r="A387" s="26" t="s">
        <v>65</v>
      </c>
      <c r="B387" s="77" t="s">
        <v>67</v>
      </c>
      <c r="C387" s="77" t="s">
        <v>11</v>
      </c>
      <c r="D387" s="1">
        <v>98</v>
      </c>
      <c r="E387" s="29">
        <f>100-(F387/D387)*100</f>
        <v>0</v>
      </c>
      <c r="F387" s="1">
        <f>SUM(D387)</f>
        <v>98</v>
      </c>
      <c r="G387" s="1">
        <v>98</v>
      </c>
      <c r="H387" s="75"/>
      <c r="I387" s="24"/>
      <c r="J387" s="24"/>
      <c r="K387" s="24"/>
      <c r="L387" s="24"/>
      <c r="M387" s="24"/>
      <c r="N387" s="24"/>
      <c r="O387" s="12"/>
      <c r="P387" s="27"/>
    </row>
    <row r="388" spans="1:16" s="28" customFormat="1" ht="39.75" customHeight="1">
      <c r="A388" s="162">
        <v>180409</v>
      </c>
      <c r="B388" s="190" t="s">
        <v>193</v>
      </c>
      <c r="C388" s="48" t="s">
        <v>56</v>
      </c>
      <c r="D388" s="1"/>
      <c r="E388" s="29"/>
      <c r="F388" s="1"/>
      <c r="G388" s="1">
        <f>SUM(G390:G391)</f>
        <v>2158.885</v>
      </c>
      <c r="H388" s="75"/>
      <c r="I388" s="12"/>
      <c r="J388" s="12"/>
      <c r="K388" s="12"/>
      <c r="L388" s="12"/>
      <c r="M388" s="12"/>
      <c r="N388" s="12"/>
      <c r="P388" s="27"/>
    </row>
    <row r="389" spans="1:9" s="58" customFormat="1" ht="21.75" customHeight="1">
      <c r="A389" s="163"/>
      <c r="B389" s="191"/>
      <c r="C389" s="42" t="s">
        <v>53</v>
      </c>
      <c r="D389" s="54"/>
      <c r="E389" s="54"/>
      <c r="F389" s="54"/>
      <c r="G389" s="54"/>
      <c r="H389" s="56"/>
      <c r="I389" s="57"/>
    </row>
    <row r="390" spans="1:9" s="58" customFormat="1" ht="96" customHeight="1">
      <c r="A390" s="163"/>
      <c r="B390" s="191"/>
      <c r="C390" s="77" t="s">
        <v>420</v>
      </c>
      <c r="D390" s="43"/>
      <c r="E390" s="43"/>
      <c r="F390" s="43"/>
      <c r="G390" s="1">
        <f>454.813-10.87</f>
        <v>443.943</v>
      </c>
      <c r="H390" s="60" t="s">
        <v>419</v>
      </c>
      <c r="I390" s="57"/>
    </row>
    <row r="391" spans="1:9" s="58" customFormat="1" ht="81" customHeight="1">
      <c r="A391" s="163"/>
      <c r="B391" s="191"/>
      <c r="C391" s="77" t="s">
        <v>456</v>
      </c>
      <c r="D391" s="43"/>
      <c r="E391" s="43"/>
      <c r="F391" s="43"/>
      <c r="G391" s="1">
        <f>2329.512-614.57</f>
        <v>1714.942</v>
      </c>
      <c r="H391" s="60" t="s">
        <v>59</v>
      </c>
      <c r="I391" s="57"/>
    </row>
    <row r="392" spans="1:9" ht="76.5" customHeight="1">
      <c r="A392" s="78">
        <v>73</v>
      </c>
      <c r="B392" s="77" t="s">
        <v>71</v>
      </c>
      <c r="C392" s="77"/>
      <c r="D392" s="1">
        <f>SUM(D393:D407)</f>
        <v>118483.678</v>
      </c>
      <c r="E392" s="1"/>
      <c r="F392" s="1">
        <f>SUM(F393:F407)</f>
        <v>106742.66422</v>
      </c>
      <c r="G392" s="1">
        <f>SUM(G393:G407)-G405-G403-G397-G399-G401</f>
        <v>4279.447999999999</v>
      </c>
      <c r="H392" s="75"/>
      <c r="I392" s="32"/>
    </row>
    <row r="393" spans="1:9" ht="45" customHeight="1">
      <c r="A393" s="76" t="s">
        <v>65</v>
      </c>
      <c r="B393" s="77" t="s">
        <v>67</v>
      </c>
      <c r="C393" s="77" t="s">
        <v>97</v>
      </c>
      <c r="D393" s="1">
        <v>13415.939</v>
      </c>
      <c r="E393" s="29">
        <f>100-(F393/D393)*100</f>
        <v>39.61472596141052</v>
      </c>
      <c r="F393" s="1">
        <f>SUM(D393-(2.65228+224.04934+1231.39282+3025.28968+831.30335))</f>
        <v>8101.2515300000005</v>
      </c>
      <c r="G393" s="1">
        <v>1244.405</v>
      </c>
      <c r="H393" s="75" t="s">
        <v>118</v>
      </c>
      <c r="I393" s="32"/>
    </row>
    <row r="394" spans="1:9" ht="40.5" customHeight="1">
      <c r="A394" s="76" t="s">
        <v>65</v>
      </c>
      <c r="B394" s="77" t="s">
        <v>67</v>
      </c>
      <c r="C394" s="77" t="s">
        <v>72</v>
      </c>
      <c r="D394" s="1">
        <f>2952.107</f>
        <v>2952.107</v>
      </c>
      <c r="E394" s="29">
        <f>100-(F394/D394)*100</f>
        <v>62.850767265549656</v>
      </c>
      <c r="F394" s="1">
        <f>SUM(D394)-(300+1551.5749+3.847)</f>
        <v>1096.6851</v>
      </c>
      <c r="G394" s="1">
        <v>96.685</v>
      </c>
      <c r="H394" s="75" t="s">
        <v>118</v>
      </c>
      <c r="I394" s="32"/>
    </row>
    <row r="395" spans="1:9" ht="76.5" customHeight="1">
      <c r="A395" s="76" t="s">
        <v>65</v>
      </c>
      <c r="B395" s="77" t="s">
        <v>67</v>
      </c>
      <c r="C395" s="77" t="s">
        <v>226</v>
      </c>
      <c r="D395" s="61">
        <v>3836.2</v>
      </c>
      <c r="E395" s="29">
        <f>100-(F395/D395)*100</f>
        <v>4.809598039726808</v>
      </c>
      <c r="F395" s="61">
        <f>D395-(28.537+155.9688)</f>
        <v>3651.6942</v>
      </c>
      <c r="G395" s="1">
        <v>31.223</v>
      </c>
      <c r="H395" s="75" t="s">
        <v>118</v>
      </c>
      <c r="I395" s="32"/>
    </row>
    <row r="396" spans="1:9" ht="60" customHeight="1">
      <c r="A396" s="198" t="s">
        <v>65</v>
      </c>
      <c r="B396" s="190" t="s">
        <v>67</v>
      </c>
      <c r="C396" s="33" t="s">
        <v>421</v>
      </c>
      <c r="D396" s="1">
        <v>40486.207</v>
      </c>
      <c r="E396" s="29">
        <f>100-(F396/D396)*100</f>
        <v>1.1220549507144426</v>
      </c>
      <c r="F396" s="1">
        <f>D396-(160+149.35361+138.64421+6.27967)</f>
        <v>40031.92951</v>
      </c>
      <c r="G396" s="1">
        <f>18.061</f>
        <v>18.061</v>
      </c>
      <c r="H396" s="204" t="s">
        <v>118</v>
      </c>
      <c r="I396" s="32"/>
    </row>
    <row r="397" spans="1:16" s="28" customFormat="1" ht="34.5" customHeight="1">
      <c r="A397" s="199"/>
      <c r="B397" s="192"/>
      <c r="C397" s="77" t="s">
        <v>204</v>
      </c>
      <c r="D397" s="1"/>
      <c r="E397" s="29"/>
      <c r="F397" s="1"/>
      <c r="G397" s="1">
        <v>3.408</v>
      </c>
      <c r="H397" s="205"/>
      <c r="I397" s="12"/>
      <c r="J397" s="12"/>
      <c r="K397" s="12"/>
      <c r="L397" s="12"/>
      <c r="M397" s="12"/>
      <c r="N397" s="12"/>
      <c r="P397" s="27"/>
    </row>
    <row r="398" spans="1:9" ht="57.75" customHeight="1">
      <c r="A398" s="198" t="s">
        <v>65</v>
      </c>
      <c r="B398" s="190" t="s">
        <v>67</v>
      </c>
      <c r="C398" s="33" t="s">
        <v>422</v>
      </c>
      <c r="D398" s="1">
        <v>41973.922</v>
      </c>
      <c r="E398" s="29">
        <f>100-(F398/D398)*100</f>
        <v>1.560880038801244</v>
      </c>
      <c r="F398" s="1">
        <f>SUM(D398-249.768-46.62-7.44519-351.32938)</f>
        <v>41318.75943</v>
      </c>
      <c r="G398" s="1">
        <v>16.831</v>
      </c>
      <c r="H398" s="204" t="s">
        <v>118</v>
      </c>
      <c r="I398" s="32"/>
    </row>
    <row r="399" spans="1:16" s="28" customFormat="1" ht="34.5" customHeight="1">
      <c r="A399" s="199"/>
      <c r="B399" s="192"/>
      <c r="C399" s="77" t="s">
        <v>204</v>
      </c>
      <c r="D399" s="1"/>
      <c r="E399" s="29"/>
      <c r="F399" s="1"/>
      <c r="G399" s="1">
        <v>7.119</v>
      </c>
      <c r="H399" s="205"/>
      <c r="I399" s="12"/>
      <c r="J399" s="12"/>
      <c r="K399" s="12"/>
      <c r="L399" s="12"/>
      <c r="M399" s="12"/>
      <c r="N399" s="12"/>
      <c r="P399" s="27"/>
    </row>
    <row r="400" spans="1:9" ht="40.5" customHeight="1">
      <c r="A400" s="198" t="s">
        <v>65</v>
      </c>
      <c r="B400" s="190" t="s">
        <v>67</v>
      </c>
      <c r="C400" s="33" t="s">
        <v>423</v>
      </c>
      <c r="D400" s="1">
        <v>1222.082</v>
      </c>
      <c r="E400" s="29">
        <f>100-(F400/D400)*100</f>
        <v>11.666511739801436</v>
      </c>
      <c r="F400" s="1">
        <f>D400-99.21296-43.36138</f>
        <v>1079.50766</v>
      </c>
      <c r="G400" s="1">
        <f>3.907+0.751</f>
        <v>4.658</v>
      </c>
      <c r="H400" s="204" t="s">
        <v>118</v>
      </c>
      <c r="I400" s="32"/>
    </row>
    <row r="401" spans="1:16" s="28" customFormat="1" ht="34.5" customHeight="1">
      <c r="A401" s="199"/>
      <c r="B401" s="192"/>
      <c r="C401" s="77" t="s">
        <v>204</v>
      </c>
      <c r="D401" s="1"/>
      <c r="E401" s="29"/>
      <c r="F401" s="1"/>
      <c r="G401" s="1">
        <v>3.907</v>
      </c>
      <c r="H401" s="205"/>
      <c r="I401" s="12"/>
      <c r="J401" s="12"/>
      <c r="K401" s="12"/>
      <c r="L401" s="12"/>
      <c r="M401" s="12"/>
      <c r="N401" s="12"/>
      <c r="P401" s="27"/>
    </row>
    <row r="402" spans="1:9" ht="37.5" customHeight="1">
      <c r="A402" s="197" t="s">
        <v>65</v>
      </c>
      <c r="B402" s="196" t="s">
        <v>67</v>
      </c>
      <c r="C402" s="77" t="s">
        <v>249</v>
      </c>
      <c r="D402" s="1">
        <f>137.164</f>
        <v>137.164</v>
      </c>
      <c r="E402" s="62">
        <f>100-(F402/D402)*100</f>
        <v>25.13895045347175</v>
      </c>
      <c r="F402" s="1">
        <f>SUM(D402-34.48159)</f>
        <v>102.68240999999999</v>
      </c>
      <c r="G402" s="1">
        <v>102.682</v>
      </c>
      <c r="H402" s="203" t="s">
        <v>118</v>
      </c>
      <c r="I402" s="32"/>
    </row>
    <row r="403" spans="1:16" s="28" customFormat="1" ht="37.5" customHeight="1">
      <c r="A403" s="197"/>
      <c r="B403" s="196"/>
      <c r="C403" s="77" t="s">
        <v>204</v>
      </c>
      <c r="D403" s="1"/>
      <c r="E403" s="29"/>
      <c r="F403" s="1"/>
      <c r="G403" s="1">
        <v>8.15</v>
      </c>
      <c r="H403" s="203"/>
      <c r="I403" s="12"/>
      <c r="J403" s="12"/>
      <c r="K403" s="12"/>
      <c r="L403" s="12"/>
      <c r="M403" s="12"/>
      <c r="N403" s="12"/>
      <c r="P403" s="27"/>
    </row>
    <row r="404" spans="1:9" ht="74.25" customHeight="1">
      <c r="A404" s="197" t="s">
        <v>69</v>
      </c>
      <c r="B404" s="160" t="s">
        <v>70</v>
      </c>
      <c r="C404" s="77" t="s">
        <v>68</v>
      </c>
      <c r="D404" s="1">
        <v>14110.057</v>
      </c>
      <c r="E404" s="29">
        <f>100-(F404/D404)*100</f>
        <v>21.969454978105347</v>
      </c>
      <c r="F404" s="1">
        <f>SUM(D404)-(56.35656+570.604+1000+338.9424+271.5277+862.47196)</f>
        <v>11010.15438</v>
      </c>
      <c r="G404" s="1">
        <v>2654.903</v>
      </c>
      <c r="H404" s="203" t="s">
        <v>118</v>
      </c>
      <c r="I404" s="32"/>
    </row>
    <row r="405" spans="1:16" s="28" customFormat="1" ht="34.5" customHeight="1">
      <c r="A405" s="197"/>
      <c r="B405" s="160"/>
      <c r="C405" s="77" t="s">
        <v>204</v>
      </c>
      <c r="D405" s="1"/>
      <c r="E405" s="29"/>
      <c r="F405" s="1"/>
      <c r="G405" s="1">
        <v>10.944</v>
      </c>
      <c r="H405" s="203"/>
      <c r="I405" s="12"/>
      <c r="J405" s="12"/>
      <c r="K405" s="12"/>
      <c r="L405" s="12"/>
      <c r="M405" s="12"/>
      <c r="N405" s="12"/>
      <c r="P405" s="27"/>
    </row>
    <row r="406" spans="1:9" ht="57.75" customHeight="1">
      <c r="A406" s="76" t="s">
        <v>65</v>
      </c>
      <c r="B406" s="77" t="s">
        <v>67</v>
      </c>
      <c r="C406" s="77" t="s">
        <v>79</v>
      </c>
      <c r="D406" s="1">
        <v>200</v>
      </c>
      <c r="E406" s="29">
        <f>100-(F406/D406)*100</f>
        <v>0</v>
      </c>
      <c r="F406" s="1">
        <v>200</v>
      </c>
      <c r="G406" s="1">
        <f>200-130</f>
        <v>70</v>
      </c>
      <c r="H406" s="75" t="s">
        <v>118</v>
      </c>
      <c r="I406" s="32"/>
    </row>
    <row r="407" spans="1:9" ht="54" customHeight="1">
      <c r="A407" s="76" t="s">
        <v>65</v>
      </c>
      <c r="B407" s="77" t="s">
        <v>67</v>
      </c>
      <c r="C407" s="77" t="s">
        <v>90</v>
      </c>
      <c r="D407" s="1">
        <v>150</v>
      </c>
      <c r="E407" s="29">
        <f>100-(F407/D407)*100</f>
        <v>0</v>
      </c>
      <c r="F407" s="1">
        <v>150</v>
      </c>
      <c r="G407" s="1">
        <f>150-110</f>
        <v>40</v>
      </c>
      <c r="H407" s="75" t="s">
        <v>118</v>
      </c>
      <c r="I407" s="32"/>
    </row>
    <row r="408" spans="1:9" ht="74.25" customHeight="1">
      <c r="A408" s="78">
        <v>92</v>
      </c>
      <c r="B408" s="77" t="s">
        <v>80</v>
      </c>
      <c r="C408" s="80"/>
      <c r="D408" s="1">
        <f>SUM(D409:D419)</f>
        <v>14068.349</v>
      </c>
      <c r="E408" s="29"/>
      <c r="F408" s="1">
        <f>SUM(F409:F419)</f>
        <v>13077.91676</v>
      </c>
      <c r="G408" s="1">
        <f>SUM(G409:G419)-G414-G417</f>
        <v>2140.2380000000003</v>
      </c>
      <c r="H408" s="75"/>
      <c r="I408" s="32"/>
    </row>
    <row r="409" spans="1:9" ht="38.25" customHeight="1">
      <c r="A409" s="76" t="s">
        <v>65</v>
      </c>
      <c r="B409" s="77" t="s">
        <v>67</v>
      </c>
      <c r="C409" s="77" t="s">
        <v>81</v>
      </c>
      <c r="D409" s="1">
        <v>10000</v>
      </c>
      <c r="E409" s="29">
        <f>100-(F409/D409)*100</f>
        <v>0</v>
      </c>
      <c r="F409" s="1">
        <v>10000</v>
      </c>
      <c r="G409" s="1">
        <f>916.704-570</f>
        <v>346.70399999999995</v>
      </c>
      <c r="H409" s="75" t="s">
        <v>118</v>
      </c>
      <c r="I409" s="32"/>
    </row>
    <row r="410" spans="1:9" ht="57.75" customHeight="1">
      <c r="A410" s="76" t="s">
        <v>65</v>
      </c>
      <c r="B410" s="77" t="s">
        <v>67</v>
      </c>
      <c r="C410" s="77" t="s">
        <v>227</v>
      </c>
      <c r="D410" s="61">
        <v>336.698</v>
      </c>
      <c r="E410" s="29">
        <f>100-(F410/D410)*100</f>
        <v>75.316123053894</v>
      </c>
      <c r="F410" s="1">
        <f>D410-253.58788</f>
        <v>83.11011999999997</v>
      </c>
      <c r="G410" s="1">
        <v>43.783</v>
      </c>
      <c r="H410" s="75" t="s">
        <v>118</v>
      </c>
      <c r="I410" s="32"/>
    </row>
    <row r="411" spans="1:9" ht="78" customHeight="1">
      <c r="A411" s="76" t="s">
        <v>65</v>
      </c>
      <c r="B411" s="77" t="s">
        <v>67</v>
      </c>
      <c r="C411" s="77" t="s">
        <v>228</v>
      </c>
      <c r="D411" s="61">
        <v>929.782</v>
      </c>
      <c r="E411" s="29">
        <f>100-(F411/D411)*100</f>
        <v>0.06635533920854186</v>
      </c>
      <c r="F411" s="1">
        <f>D411-0.61696</f>
        <v>929.1650400000001</v>
      </c>
      <c r="G411" s="1">
        <f>291.294</f>
        <v>291.294</v>
      </c>
      <c r="H411" s="75" t="s">
        <v>118</v>
      </c>
      <c r="I411" s="32"/>
    </row>
    <row r="412" spans="1:9" ht="63" customHeight="1">
      <c r="A412" s="76" t="s">
        <v>65</v>
      </c>
      <c r="B412" s="77" t="s">
        <v>67</v>
      </c>
      <c r="C412" s="77" t="s">
        <v>83</v>
      </c>
      <c r="D412" s="1">
        <v>146.946</v>
      </c>
      <c r="E412" s="29">
        <f>100-(F412/D412)*100</f>
        <v>0</v>
      </c>
      <c r="F412" s="1">
        <f>SUM(D412)</f>
        <v>146.946</v>
      </c>
      <c r="G412" s="1">
        <v>146.946</v>
      </c>
      <c r="H412" s="75" t="s">
        <v>118</v>
      </c>
      <c r="I412" s="32"/>
    </row>
    <row r="413" spans="1:9" ht="58.5" customHeight="1">
      <c r="A413" s="197" t="s">
        <v>65</v>
      </c>
      <c r="B413" s="196" t="s">
        <v>67</v>
      </c>
      <c r="C413" s="77" t="s">
        <v>61</v>
      </c>
      <c r="D413" s="61">
        <f>1000-124.05</f>
        <v>875.95</v>
      </c>
      <c r="E413" s="29">
        <f>100-(F413/D413)*100</f>
        <v>53.85677264684057</v>
      </c>
      <c r="F413" s="1">
        <f>SUM(D413-471.7584)</f>
        <v>404.19160000000005</v>
      </c>
      <c r="G413" s="93">
        <v>304.192</v>
      </c>
      <c r="H413" s="203" t="s">
        <v>118</v>
      </c>
      <c r="I413" s="32"/>
    </row>
    <row r="414" spans="1:9" ht="42.75" customHeight="1">
      <c r="A414" s="197"/>
      <c r="B414" s="196"/>
      <c r="C414" s="77" t="s">
        <v>204</v>
      </c>
      <c r="D414" s="61"/>
      <c r="E414" s="29"/>
      <c r="F414" s="1"/>
      <c r="G414" s="1">
        <v>43.256</v>
      </c>
      <c r="H414" s="203"/>
      <c r="I414" s="32"/>
    </row>
    <row r="415" spans="1:9" ht="87" customHeight="1">
      <c r="A415" s="76" t="s">
        <v>65</v>
      </c>
      <c r="B415" s="77" t="s">
        <v>67</v>
      </c>
      <c r="C415" s="105" t="s">
        <v>48</v>
      </c>
      <c r="D415" s="61">
        <v>100</v>
      </c>
      <c r="E415" s="29">
        <v>0</v>
      </c>
      <c r="F415" s="1">
        <v>100</v>
      </c>
      <c r="G415" s="1">
        <v>100</v>
      </c>
      <c r="H415" s="75"/>
      <c r="I415" s="32"/>
    </row>
    <row r="416" spans="1:9" ht="43.5" customHeight="1">
      <c r="A416" s="197" t="s">
        <v>65</v>
      </c>
      <c r="B416" s="196" t="s">
        <v>67</v>
      </c>
      <c r="C416" s="77" t="s">
        <v>60</v>
      </c>
      <c r="D416" s="61">
        <f>1000-0.264</f>
        <v>999.736</v>
      </c>
      <c r="E416" s="29">
        <f>100-(F416/D416)*100</f>
        <v>26.38562780574071</v>
      </c>
      <c r="F416" s="1">
        <f>SUM(D416-263.78662)</f>
        <v>735.94938</v>
      </c>
      <c r="G416" s="1">
        <v>582.588</v>
      </c>
      <c r="H416" s="203" t="s">
        <v>118</v>
      </c>
      <c r="I416" s="32"/>
    </row>
    <row r="417" spans="1:9" ht="39.75" customHeight="1">
      <c r="A417" s="197"/>
      <c r="B417" s="196"/>
      <c r="C417" s="77" t="s">
        <v>204</v>
      </c>
      <c r="D417" s="61"/>
      <c r="E417" s="29"/>
      <c r="F417" s="1"/>
      <c r="G417" s="1">
        <v>444.096</v>
      </c>
      <c r="H417" s="203"/>
      <c r="I417" s="32"/>
    </row>
    <row r="418" spans="1:9" ht="75" customHeight="1">
      <c r="A418" s="76" t="s">
        <v>65</v>
      </c>
      <c r="B418" s="77" t="s">
        <v>67</v>
      </c>
      <c r="C418" s="77" t="s">
        <v>229</v>
      </c>
      <c r="D418" s="61">
        <v>609.237</v>
      </c>
      <c r="E418" s="29">
        <f>100-(F418/D418)*100</f>
        <v>0.11200567266924111</v>
      </c>
      <c r="F418" s="1">
        <f>D418-0.68238</f>
        <v>608.55462</v>
      </c>
      <c r="G418" s="1">
        <v>254.731</v>
      </c>
      <c r="H418" s="75" t="s">
        <v>118</v>
      </c>
      <c r="I418" s="32"/>
    </row>
    <row r="419" spans="1:9" ht="58.5" customHeight="1">
      <c r="A419" s="76" t="s">
        <v>65</v>
      </c>
      <c r="B419" s="77" t="s">
        <v>67</v>
      </c>
      <c r="C419" s="77" t="s">
        <v>84</v>
      </c>
      <c r="D419" s="1">
        <v>70</v>
      </c>
      <c r="E419" s="29">
        <f>100-(F419/D419)*100</f>
        <v>0</v>
      </c>
      <c r="F419" s="1">
        <v>70</v>
      </c>
      <c r="G419" s="1">
        <f>70</f>
        <v>70</v>
      </c>
      <c r="H419" s="75" t="s">
        <v>118</v>
      </c>
      <c r="I419" s="32"/>
    </row>
    <row r="420" spans="1:8" ht="70.5" customHeight="1">
      <c r="A420" s="78">
        <v>93</v>
      </c>
      <c r="B420" s="77" t="s">
        <v>185</v>
      </c>
      <c r="C420" s="77"/>
      <c r="D420" s="1">
        <f>SUM(D421:D423)</f>
        <v>4329.606</v>
      </c>
      <c r="E420" s="1"/>
      <c r="F420" s="1">
        <f>SUM(F421:F423)</f>
        <v>4134.48064</v>
      </c>
      <c r="G420" s="1">
        <f>SUM(G421:G423)-G422</f>
        <v>46.88699999999999</v>
      </c>
      <c r="H420" s="75"/>
    </row>
    <row r="421" spans="1:8" ht="36" customHeight="1">
      <c r="A421" s="198" t="s">
        <v>65</v>
      </c>
      <c r="B421" s="190" t="s">
        <v>67</v>
      </c>
      <c r="C421" s="77" t="s">
        <v>445</v>
      </c>
      <c r="D421" s="61">
        <v>3333.606</v>
      </c>
      <c r="E421" s="29">
        <f>100-(F421/D421)*100</f>
        <v>5.853282001532278</v>
      </c>
      <c r="F421" s="1">
        <f>D421-195.12536</f>
        <v>3138.48064</v>
      </c>
      <c r="G421" s="80">
        <v>4.228</v>
      </c>
      <c r="H421" s="75" t="s">
        <v>118</v>
      </c>
    </row>
    <row r="422" spans="1:8" ht="34.5" customHeight="1">
      <c r="A422" s="199"/>
      <c r="B422" s="192"/>
      <c r="C422" s="77" t="s">
        <v>204</v>
      </c>
      <c r="D422" s="61"/>
      <c r="E422" s="29"/>
      <c r="F422" s="1"/>
      <c r="G422" s="80">
        <v>2.692</v>
      </c>
      <c r="H422" s="75"/>
    </row>
    <row r="423" spans="1:8" ht="38.25" customHeight="1">
      <c r="A423" s="76" t="s">
        <v>65</v>
      </c>
      <c r="B423" s="77" t="s">
        <v>67</v>
      </c>
      <c r="C423" s="77" t="s">
        <v>354</v>
      </c>
      <c r="D423" s="61">
        <v>996</v>
      </c>
      <c r="E423" s="29">
        <f>100-(F423/D423)*100</f>
        <v>0</v>
      </c>
      <c r="F423" s="1">
        <f>D423</f>
        <v>996</v>
      </c>
      <c r="G423" s="52">
        <f>942.659-815-85</f>
        <v>42.65899999999999</v>
      </c>
      <c r="H423" s="75" t="s">
        <v>118</v>
      </c>
    </row>
    <row r="424" spans="1:9" ht="76.5" customHeight="1">
      <c r="A424" s="76" t="s">
        <v>184</v>
      </c>
      <c r="B424" s="77" t="s">
        <v>94</v>
      </c>
      <c r="C424" s="80"/>
      <c r="D424" s="1">
        <f>SUM(D425)</f>
        <v>1145.573</v>
      </c>
      <c r="E424" s="29"/>
      <c r="F424" s="1">
        <f>SUM(F425)</f>
        <v>1145.573</v>
      </c>
      <c r="G424" s="1">
        <f>SUM(G425:G426)-G426</f>
        <v>1042.845</v>
      </c>
      <c r="H424" s="75"/>
      <c r="I424" s="32"/>
    </row>
    <row r="425" spans="1:9" ht="42.75" customHeight="1">
      <c r="A425" s="197" t="s">
        <v>65</v>
      </c>
      <c r="B425" s="196" t="s">
        <v>67</v>
      </c>
      <c r="C425" s="77" t="s">
        <v>95</v>
      </c>
      <c r="D425" s="1">
        <v>1145.573</v>
      </c>
      <c r="E425" s="29">
        <f>100-(F425/D425)*100</f>
        <v>0</v>
      </c>
      <c r="F425" s="1">
        <f>SUM(D425)</f>
        <v>1145.573</v>
      </c>
      <c r="G425" s="1">
        <f>1139.704-96.859</f>
        <v>1042.845</v>
      </c>
      <c r="H425" s="203" t="s">
        <v>118</v>
      </c>
      <c r="I425" s="32"/>
    </row>
    <row r="426" spans="1:16" s="28" customFormat="1" ht="36" customHeight="1" thickBot="1">
      <c r="A426" s="186"/>
      <c r="B426" s="219"/>
      <c r="C426" s="79" t="s">
        <v>204</v>
      </c>
      <c r="D426" s="63"/>
      <c r="E426" s="64"/>
      <c r="F426" s="63"/>
      <c r="G426" s="63">
        <v>21.734</v>
      </c>
      <c r="H426" s="187"/>
      <c r="I426" s="12"/>
      <c r="J426" s="12"/>
      <c r="K426" s="12"/>
      <c r="L426" s="12"/>
      <c r="M426" s="12"/>
      <c r="N426" s="12"/>
      <c r="P426" s="27"/>
    </row>
    <row r="430" spans="1:8" ht="20.25">
      <c r="A430" s="65"/>
      <c r="B430" s="65"/>
      <c r="C430" s="65"/>
      <c r="D430" s="4"/>
      <c r="E430" s="4"/>
      <c r="F430" s="85"/>
      <c r="G430" s="4"/>
      <c r="H430" s="4"/>
    </row>
    <row r="431" spans="1:8" ht="20.25">
      <c r="A431" s="65"/>
      <c r="B431" s="65"/>
      <c r="C431" s="65"/>
      <c r="D431" s="4"/>
      <c r="E431" s="4"/>
      <c r="F431" s="200"/>
      <c r="G431" s="200"/>
      <c r="H431" s="4"/>
    </row>
    <row r="432" spans="1:8" ht="20.25">
      <c r="A432" s="65"/>
      <c r="B432" s="65"/>
      <c r="C432" s="65"/>
      <c r="D432" s="4"/>
      <c r="E432" s="4"/>
      <c r="F432" s="85"/>
      <c r="G432" s="4"/>
      <c r="H432" s="4"/>
    </row>
  </sheetData>
  <sheetProtection/>
  <mergeCells count="246">
    <mergeCell ref="B86:B89"/>
    <mergeCell ref="A86:A89"/>
    <mergeCell ref="H86:H89"/>
    <mergeCell ref="H72:H73"/>
    <mergeCell ref="H60:H64"/>
    <mergeCell ref="B67:B71"/>
    <mergeCell ref="A67:A71"/>
    <mergeCell ref="H67:H71"/>
    <mergeCell ref="B36:B40"/>
    <mergeCell ref="A36:A40"/>
    <mergeCell ref="H36:H40"/>
    <mergeCell ref="B53:B57"/>
    <mergeCell ref="A53:A57"/>
    <mergeCell ref="A50:A51"/>
    <mergeCell ref="A44:A45"/>
    <mergeCell ref="H287:H288"/>
    <mergeCell ref="H284:H285"/>
    <mergeCell ref="B284:B285"/>
    <mergeCell ref="H290:H291"/>
    <mergeCell ref="H53:H57"/>
    <mergeCell ref="A80:A83"/>
    <mergeCell ref="A65:A66"/>
    <mergeCell ref="H398:H399"/>
    <mergeCell ref="H80:H83"/>
    <mergeCell ref="A290:A291"/>
    <mergeCell ref="A388:A391"/>
    <mergeCell ref="H315:H316"/>
    <mergeCell ref="B311:B312"/>
    <mergeCell ref="H334:H335"/>
    <mergeCell ref="H425:H426"/>
    <mergeCell ref="A356:A357"/>
    <mergeCell ref="B404:B405"/>
    <mergeCell ref="H402:H403"/>
    <mergeCell ref="H400:H401"/>
    <mergeCell ref="B416:B417"/>
    <mergeCell ref="H416:H417"/>
    <mergeCell ref="B413:B414"/>
    <mergeCell ref="A413:A414"/>
    <mergeCell ref="H413:H414"/>
    <mergeCell ref="B313:B314"/>
    <mergeCell ref="A398:A399"/>
    <mergeCell ref="A421:A422"/>
    <mergeCell ref="A322:A323"/>
    <mergeCell ref="B421:B422"/>
    <mergeCell ref="H354:H355"/>
    <mergeCell ref="B343:B344"/>
    <mergeCell ref="B345:B346"/>
    <mergeCell ref="A313:A314"/>
    <mergeCell ref="B425:B426"/>
    <mergeCell ref="A425:A426"/>
    <mergeCell ref="A404:A405"/>
    <mergeCell ref="A416:A417"/>
    <mergeCell ref="H356:H357"/>
    <mergeCell ref="A373:A378"/>
    <mergeCell ref="A367:A368"/>
    <mergeCell ref="H313:H314"/>
    <mergeCell ref="H396:H397"/>
    <mergeCell ref="H322:H323"/>
    <mergeCell ref="B379:B381"/>
    <mergeCell ref="A396:A397"/>
    <mergeCell ref="A362:A363"/>
    <mergeCell ref="B356:B357"/>
    <mergeCell ref="B388:B391"/>
    <mergeCell ref="A324:A325"/>
    <mergeCell ref="H340:H341"/>
    <mergeCell ref="B354:B355"/>
    <mergeCell ref="H324:H325"/>
    <mergeCell ref="B324:B325"/>
    <mergeCell ref="H350:H351"/>
    <mergeCell ref="H343:H344"/>
    <mergeCell ref="H282:H283"/>
    <mergeCell ref="A282:A283"/>
    <mergeCell ref="H280:H281"/>
    <mergeCell ref="H135:H136"/>
    <mergeCell ref="A28:A29"/>
    <mergeCell ref="A133:A134"/>
    <mergeCell ref="H104:H105"/>
    <mergeCell ref="A106:A107"/>
    <mergeCell ref="H44:H45"/>
    <mergeCell ref="B123:B124"/>
    <mergeCell ref="B60:B64"/>
    <mergeCell ref="H28:H29"/>
    <mergeCell ref="H41:H42"/>
    <mergeCell ref="B44:B45"/>
    <mergeCell ref="B28:B29"/>
    <mergeCell ref="B23:B24"/>
    <mergeCell ref="B334:B335"/>
    <mergeCell ref="H146:H147"/>
    <mergeCell ref="B221:B222"/>
    <mergeCell ref="B287:B288"/>
    <mergeCell ref="H115:H116"/>
    <mergeCell ref="B99:B100"/>
    <mergeCell ref="H99:H100"/>
    <mergeCell ref="H76:H77"/>
    <mergeCell ref="F4:H4"/>
    <mergeCell ref="B17:B18"/>
    <mergeCell ref="A21:A22"/>
    <mergeCell ref="B33:B34"/>
    <mergeCell ref="A33:A34"/>
    <mergeCell ref="H33:H34"/>
    <mergeCell ref="A23:A24"/>
    <mergeCell ref="H30:H31"/>
    <mergeCell ref="B30:B31"/>
    <mergeCell ref="A30:A31"/>
    <mergeCell ref="F5:H6"/>
    <mergeCell ref="A7:H7"/>
    <mergeCell ref="A9:H9"/>
    <mergeCell ref="G8:H8"/>
    <mergeCell ref="A17:A18"/>
    <mergeCell ref="B21:B22"/>
    <mergeCell ref="H21:H22"/>
    <mergeCell ref="H23:H24"/>
    <mergeCell ref="H11:H12"/>
    <mergeCell ref="H50:H51"/>
    <mergeCell ref="H47:H48"/>
    <mergeCell ref="B47:B48"/>
    <mergeCell ref="B50:B51"/>
    <mergeCell ref="C11:C12"/>
    <mergeCell ref="D11:D12"/>
    <mergeCell ref="E11:E12"/>
    <mergeCell ref="F11:F12"/>
    <mergeCell ref="G11:G12"/>
    <mergeCell ref="A58:A59"/>
    <mergeCell ref="B41:B42"/>
    <mergeCell ref="A60:A64"/>
    <mergeCell ref="B115:B116"/>
    <mergeCell ref="A99:A100"/>
    <mergeCell ref="B72:B73"/>
    <mergeCell ref="A41:A42"/>
    <mergeCell ref="B97:B98"/>
    <mergeCell ref="B106:B107"/>
    <mergeCell ref="A47:A48"/>
    <mergeCell ref="H106:H107"/>
    <mergeCell ref="A72:A73"/>
    <mergeCell ref="H101:H102"/>
    <mergeCell ref="B101:B102"/>
    <mergeCell ref="A101:A102"/>
    <mergeCell ref="B80:B83"/>
    <mergeCell ref="B76:B77"/>
    <mergeCell ref="A76:A77"/>
    <mergeCell ref="A97:A98"/>
    <mergeCell ref="H97:H98"/>
    <mergeCell ref="H117:H118"/>
    <mergeCell ref="B104:B105"/>
    <mergeCell ref="A104:A105"/>
    <mergeCell ref="B110:B111"/>
    <mergeCell ref="H108:H109"/>
    <mergeCell ref="A117:A118"/>
    <mergeCell ref="A115:A116"/>
    <mergeCell ref="B117:B118"/>
    <mergeCell ref="A108:A109"/>
    <mergeCell ref="B108:B109"/>
    <mergeCell ref="H311:H312"/>
    <mergeCell ref="H221:H222"/>
    <mergeCell ref="H110:H111"/>
    <mergeCell ref="A110:A111"/>
    <mergeCell ref="A119:A120"/>
    <mergeCell ref="B146:B147"/>
    <mergeCell ref="H127:H128"/>
    <mergeCell ref="A221:A222"/>
    <mergeCell ref="B119:B120"/>
    <mergeCell ref="H121:H122"/>
    <mergeCell ref="A123:A124"/>
    <mergeCell ref="B127:B128"/>
    <mergeCell ref="A121:A122"/>
    <mergeCell ref="A125:A126"/>
    <mergeCell ref="H309:H310"/>
    <mergeCell ref="B282:B283"/>
    <mergeCell ref="A146:A147"/>
    <mergeCell ref="H270:H271"/>
    <mergeCell ref="H272:H273"/>
    <mergeCell ref="B265:B266"/>
    <mergeCell ref="A265:A266"/>
    <mergeCell ref="B270:B271"/>
    <mergeCell ref="H274:H275"/>
    <mergeCell ref="H265:H266"/>
    <mergeCell ref="H129:H130"/>
    <mergeCell ref="B135:B136"/>
    <mergeCell ref="A129:A130"/>
    <mergeCell ref="H278:H279"/>
    <mergeCell ref="A270:A271"/>
    <mergeCell ref="A135:A136"/>
    <mergeCell ref="A272:A273"/>
    <mergeCell ref="A278:A279"/>
    <mergeCell ref="B272:B273"/>
    <mergeCell ref="A280:A281"/>
    <mergeCell ref="A274:A275"/>
    <mergeCell ref="A402:A403"/>
    <mergeCell ref="A400:A401"/>
    <mergeCell ref="B400:B401"/>
    <mergeCell ref="B396:B397"/>
    <mergeCell ref="B398:B399"/>
    <mergeCell ref="H65:H66"/>
    <mergeCell ref="H345:H346"/>
    <mergeCell ref="A334:A335"/>
    <mergeCell ref="A350:A351"/>
    <mergeCell ref="B280:B281"/>
    <mergeCell ref="B319:B320"/>
    <mergeCell ref="A340:A341"/>
    <mergeCell ref="A345:A346"/>
    <mergeCell ref="A343:A344"/>
    <mergeCell ref="H319:H320"/>
    <mergeCell ref="H404:H405"/>
    <mergeCell ref="A25:A26"/>
    <mergeCell ref="B25:B26"/>
    <mergeCell ref="H25:H26"/>
    <mergeCell ref="H125:H126"/>
    <mergeCell ref="H123:H124"/>
    <mergeCell ref="A319:A320"/>
    <mergeCell ref="A127:A128"/>
    <mergeCell ref="B129:B130"/>
    <mergeCell ref="B65:B66"/>
    <mergeCell ref="H119:H120"/>
    <mergeCell ref="H133:H134"/>
    <mergeCell ref="B133:B134"/>
    <mergeCell ref="B402:B403"/>
    <mergeCell ref="B340:B341"/>
    <mergeCell ref="H367:H368"/>
    <mergeCell ref="H362:H363"/>
    <mergeCell ref="B362:B363"/>
    <mergeCell ref="B373:B378"/>
    <mergeCell ref="B315:B316"/>
    <mergeCell ref="F431:G431"/>
    <mergeCell ref="F1:G1"/>
    <mergeCell ref="F2:G2"/>
    <mergeCell ref="B125:B126"/>
    <mergeCell ref="B309:B310"/>
    <mergeCell ref="B290:B291"/>
    <mergeCell ref="B121:B122"/>
    <mergeCell ref="B58:B59"/>
    <mergeCell ref="B10:C10"/>
    <mergeCell ref="F3:H3"/>
    <mergeCell ref="B274:B275"/>
    <mergeCell ref="A311:A312"/>
    <mergeCell ref="A315:A316"/>
    <mergeCell ref="A354:A355"/>
    <mergeCell ref="B350:B351"/>
    <mergeCell ref="A309:A310"/>
    <mergeCell ref="B322:B323"/>
    <mergeCell ref="A284:A285"/>
    <mergeCell ref="A287:A288"/>
    <mergeCell ref="A379:A381"/>
    <mergeCell ref="B382:B385"/>
    <mergeCell ref="A382:A385"/>
    <mergeCell ref="B278:B279"/>
    <mergeCell ref="B367:B368"/>
  </mergeCells>
  <printOptions horizontalCentered="1"/>
  <pageMargins left="0.2362204724409449" right="0.2362204724409449" top="0.7480314960629921" bottom="0.1968503937007874" header="0.31496062992125984" footer="0.31496062992125984"/>
  <pageSetup firstPageNumber="1" useFirstPageNumber="1" fitToHeight="25" horizontalDpi="600" verticalDpi="600" orientation="landscape" paperSize="9" scale="80" r:id="rId1"/>
  <headerFooter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P104"/>
  <sheetViews>
    <sheetView view="pageBreakPreview" zoomScale="75" zoomScaleSheetLayoutView="75" zoomScalePageLayoutView="0" workbookViewId="0" topLeftCell="A1">
      <selection activeCell="A1" sqref="A1"/>
    </sheetView>
  </sheetViews>
  <sheetFormatPr defaultColWidth="9.140625" defaultRowHeight="15"/>
  <cols>
    <col min="1" max="1" width="19.140625" style="153" customWidth="1"/>
    <col min="2" max="2" width="50.28125" style="153" customWidth="1"/>
    <col min="3" max="3" width="22.140625" style="183" customWidth="1"/>
    <col min="4" max="4" width="18.7109375" style="183" customWidth="1"/>
    <col min="5" max="5" width="16.140625" style="149" bestFit="1" customWidth="1"/>
    <col min="6" max="6" width="29.8515625" style="151" customWidth="1"/>
    <col min="7" max="7" width="36.7109375" style="151" customWidth="1"/>
    <col min="8" max="9" width="9.140625" style="151" customWidth="1"/>
    <col min="10" max="16384" width="9.140625" style="153" customWidth="1"/>
  </cols>
  <sheetData>
    <row r="1" spans="1:6" s="120" customFormat="1" ht="22.5" customHeight="1">
      <c r="A1" s="117"/>
      <c r="B1" s="117"/>
      <c r="C1" s="117"/>
      <c r="D1" s="117" t="s">
        <v>119</v>
      </c>
      <c r="E1" s="118"/>
      <c r="F1" s="119"/>
    </row>
    <row r="2" spans="1:5" s="120" customFormat="1" ht="40.5" customHeight="1">
      <c r="A2" s="111" t="s">
        <v>163</v>
      </c>
      <c r="B2" s="111"/>
      <c r="C2" s="111"/>
      <c r="D2" s="111"/>
      <c r="E2" s="118"/>
    </row>
    <row r="3" spans="1:5" s="120" customFormat="1" ht="22.5" customHeight="1" thickBot="1">
      <c r="A3" s="117"/>
      <c r="B3" s="117"/>
      <c r="C3" s="121"/>
      <c r="D3" s="117" t="s">
        <v>102</v>
      </c>
      <c r="E3" s="118"/>
    </row>
    <row r="4" spans="1:5" s="120" customFormat="1" ht="46.5" customHeight="1">
      <c r="A4" s="122" t="s">
        <v>103</v>
      </c>
      <c r="B4" s="123" t="s">
        <v>64</v>
      </c>
      <c r="C4" s="112" t="s">
        <v>104</v>
      </c>
      <c r="D4" s="113" t="s">
        <v>111</v>
      </c>
      <c r="E4" s="118"/>
    </row>
    <row r="5" spans="1:5" s="120" customFormat="1" ht="65.25" customHeight="1" thickBot="1">
      <c r="A5" s="124" t="s">
        <v>108</v>
      </c>
      <c r="B5" s="136" t="s">
        <v>109</v>
      </c>
      <c r="C5" s="127"/>
      <c r="D5" s="114"/>
      <c r="E5" s="118"/>
    </row>
    <row r="6" spans="1:5" s="120" customFormat="1" ht="18" customHeight="1" thickBot="1">
      <c r="A6" s="137">
        <v>1</v>
      </c>
      <c r="B6" s="138">
        <v>2</v>
      </c>
      <c r="C6" s="138">
        <v>3</v>
      </c>
      <c r="D6" s="139">
        <v>4</v>
      </c>
      <c r="E6" s="140"/>
    </row>
    <row r="7" spans="1:7" s="120" customFormat="1" ht="20.25" customHeight="1">
      <c r="A7" s="141"/>
      <c r="B7" s="142" t="s">
        <v>110</v>
      </c>
      <c r="C7" s="143"/>
      <c r="D7" s="144">
        <f>SUM(D8+D12+D21+D30+D40+D50+D52+D55+D64+D69+D71+D74+D77+D79+D81+D83+D86+D90+D92+D94+D99+D67)</f>
        <v>90030.36000000003</v>
      </c>
      <c r="E7" s="118">
        <f>SUM('таб. 4.1'!G14+'таб. 4.2'!D7)</f>
        <v>210247.15000000002</v>
      </c>
      <c r="F7" s="140">
        <f>SUM(E7-'таб. 4.1'!G15)</f>
        <v>200247.15000000002</v>
      </c>
      <c r="G7" s="140">
        <f>SUM(E7-F7)</f>
        <v>10000</v>
      </c>
    </row>
    <row r="8" spans="1:5" s="120" customFormat="1" ht="24.75" customHeight="1">
      <c r="A8" s="145" t="s">
        <v>120</v>
      </c>
      <c r="B8" s="96" t="s">
        <v>198</v>
      </c>
      <c r="C8" s="96"/>
      <c r="D8" s="146">
        <f>SUM(D9:D11)-D10</f>
        <v>670.196</v>
      </c>
      <c r="E8" s="118">
        <f>SUM(D8+'таб. 4.1'!G16)</f>
        <v>1508.94</v>
      </c>
    </row>
    <row r="9" spans="1:5" s="120" customFormat="1" ht="23.25" customHeight="1">
      <c r="A9" s="125" t="s">
        <v>122</v>
      </c>
      <c r="B9" s="96" t="s">
        <v>123</v>
      </c>
      <c r="C9" s="127" t="s">
        <v>124</v>
      </c>
      <c r="D9" s="146">
        <f>978.826-370.48</f>
        <v>608.346</v>
      </c>
      <c r="E9" s="118"/>
    </row>
    <row r="10" spans="1:15" ht="35.25" customHeight="1">
      <c r="A10" s="126"/>
      <c r="B10" s="147" t="s">
        <v>204</v>
      </c>
      <c r="C10" s="128"/>
      <c r="D10" s="148">
        <v>231.245</v>
      </c>
      <c r="F10" s="150"/>
      <c r="H10" s="140"/>
      <c r="I10" s="140"/>
      <c r="J10" s="140"/>
      <c r="K10" s="140"/>
      <c r="L10" s="140"/>
      <c r="M10" s="140"/>
      <c r="N10" s="120"/>
      <c r="O10" s="152"/>
    </row>
    <row r="11" spans="1:5" s="120" customFormat="1" ht="23.25" customHeight="1">
      <c r="A11" s="145" t="s">
        <v>252</v>
      </c>
      <c r="B11" s="96" t="s">
        <v>44</v>
      </c>
      <c r="C11" s="96" t="s">
        <v>124</v>
      </c>
      <c r="D11" s="146">
        <v>61.85</v>
      </c>
      <c r="E11" s="118"/>
    </row>
    <row r="12" spans="1:15" ht="39.75" customHeight="1">
      <c r="A12" s="154">
        <v>10</v>
      </c>
      <c r="B12" s="155" t="s">
        <v>76</v>
      </c>
      <c r="C12" s="155"/>
      <c r="D12" s="148">
        <f>SUM(D13+D15+D17+D18+D19+D20)</f>
        <v>8861.844000000001</v>
      </c>
      <c r="E12" s="149">
        <f>SUM(D12+'таб. 4.1'!G20)</f>
        <v>26997.420000000002</v>
      </c>
      <c r="F12" s="150"/>
      <c r="H12" s="140"/>
      <c r="I12" s="140"/>
      <c r="J12" s="140"/>
      <c r="K12" s="140"/>
      <c r="L12" s="140"/>
      <c r="M12" s="140"/>
      <c r="N12" s="120"/>
      <c r="O12" s="152"/>
    </row>
    <row r="13" spans="1:15" ht="20.25" customHeight="1">
      <c r="A13" s="133" t="s">
        <v>126</v>
      </c>
      <c r="B13" s="147" t="s">
        <v>127</v>
      </c>
      <c r="C13" s="115" t="s">
        <v>124</v>
      </c>
      <c r="D13" s="148">
        <v>2768.246</v>
      </c>
      <c r="F13" s="150"/>
      <c r="H13" s="140"/>
      <c r="I13" s="140"/>
      <c r="J13" s="140"/>
      <c r="K13" s="140"/>
      <c r="L13" s="140"/>
      <c r="M13" s="140"/>
      <c r="N13" s="120"/>
      <c r="O13" s="152"/>
    </row>
    <row r="14" spans="1:15" ht="38.25" customHeight="1">
      <c r="A14" s="133"/>
      <c r="B14" s="147" t="s">
        <v>204</v>
      </c>
      <c r="C14" s="115"/>
      <c r="D14" s="148">
        <v>170.836</v>
      </c>
      <c r="F14" s="150"/>
      <c r="H14" s="140"/>
      <c r="I14" s="140"/>
      <c r="J14" s="140"/>
      <c r="K14" s="140"/>
      <c r="L14" s="140"/>
      <c r="M14" s="140"/>
      <c r="N14" s="120"/>
      <c r="O14" s="152"/>
    </row>
    <row r="15" spans="1:15" ht="74.25" customHeight="1">
      <c r="A15" s="133" t="s">
        <v>128</v>
      </c>
      <c r="B15" s="96" t="s">
        <v>129</v>
      </c>
      <c r="C15" s="115" t="s">
        <v>124</v>
      </c>
      <c r="D15" s="148">
        <v>5748.979</v>
      </c>
      <c r="F15" s="150"/>
      <c r="H15" s="140"/>
      <c r="I15" s="140"/>
      <c r="J15" s="140"/>
      <c r="K15" s="140"/>
      <c r="L15" s="140"/>
      <c r="M15" s="140"/>
      <c r="N15" s="120"/>
      <c r="O15" s="152"/>
    </row>
    <row r="16" spans="1:15" ht="35.25" customHeight="1">
      <c r="A16" s="133"/>
      <c r="B16" s="147" t="s">
        <v>204</v>
      </c>
      <c r="C16" s="115"/>
      <c r="D16" s="148">
        <v>596.572</v>
      </c>
      <c r="E16" s="149" t="s">
        <v>344</v>
      </c>
      <c r="F16" s="150"/>
      <c r="H16" s="140"/>
      <c r="I16" s="140"/>
      <c r="J16" s="140"/>
      <c r="K16" s="140"/>
      <c r="L16" s="140"/>
      <c r="M16" s="140"/>
      <c r="N16" s="120"/>
      <c r="O16" s="152"/>
    </row>
    <row r="17" spans="1:15" ht="26.25" customHeight="1">
      <c r="A17" s="158" t="s">
        <v>263</v>
      </c>
      <c r="B17" s="155" t="s">
        <v>264</v>
      </c>
      <c r="C17" s="157" t="s">
        <v>124</v>
      </c>
      <c r="D17" s="148">
        <v>18</v>
      </c>
      <c r="F17" s="150"/>
      <c r="H17" s="140"/>
      <c r="I17" s="140"/>
      <c r="J17" s="140"/>
      <c r="K17" s="140"/>
      <c r="L17" s="140"/>
      <c r="M17" s="140"/>
      <c r="N17" s="120"/>
      <c r="O17" s="152"/>
    </row>
    <row r="18" spans="1:16" ht="33.75" customHeight="1">
      <c r="A18" s="156" t="s">
        <v>130</v>
      </c>
      <c r="B18" s="96" t="s">
        <v>131</v>
      </c>
      <c r="C18" s="157" t="s">
        <v>124</v>
      </c>
      <c r="D18" s="148">
        <v>249.619</v>
      </c>
      <c r="F18" s="150"/>
      <c r="H18" s="140"/>
      <c r="I18" s="140"/>
      <c r="J18" s="140"/>
      <c r="K18" s="140"/>
      <c r="L18" s="140"/>
      <c r="M18" s="140"/>
      <c r="N18" s="120"/>
      <c r="O18" s="152"/>
      <c r="P18" s="120"/>
    </row>
    <row r="19" spans="1:16" ht="42.75" customHeight="1">
      <c r="A19" s="156" t="s">
        <v>430</v>
      </c>
      <c r="B19" s="96" t="s">
        <v>431</v>
      </c>
      <c r="C19" s="157" t="s">
        <v>124</v>
      </c>
      <c r="D19" s="148">
        <v>17.5</v>
      </c>
      <c r="F19" s="150"/>
      <c r="H19" s="140"/>
      <c r="I19" s="140"/>
      <c r="J19" s="140"/>
      <c r="K19" s="140"/>
      <c r="L19" s="140"/>
      <c r="M19" s="140"/>
      <c r="N19" s="120"/>
      <c r="O19" s="152"/>
      <c r="P19" s="120"/>
    </row>
    <row r="20" spans="1:15" ht="38.25" customHeight="1">
      <c r="A20" s="158" t="s">
        <v>265</v>
      </c>
      <c r="B20" s="155" t="s">
        <v>266</v>
      </c>
      <c r="C20" s="157" t="s">
        <v>124</v>
      </c>
      <c r="D20" s="148">
        <v>59.5</v>
      </c>
      <c r="F20" s="150"/>
      <c r="H20" s="140"/>
      <c r="I20" s="140"/>
      <c r="J20" s="140"/>
      <c r="K20" s="140"/>
      <c r="L20" s="140"/>
      <c r="M20" s="140"/>
      <c r="N20" s="120"/>
      <c r="O20" s="152"/>
    </row>
    <row r="21" spans="1:16" ht="36.75" customHeight="1">
      <c r="A21" s="154">
        <v>14</v>
      </c>
      <c r="B21" s="155" t="s">
        <v>134</v>
      </c>
      <c r="C21" s="157"/>
      <c r="D21" s="148">
        <f>SUM(D22:D29)-D23-D25-D27</f>
        <v>11135.123000000001</v>
      </c>
      <c r="E21" s="149">
        <f>SUM(D21+'таб. 4.1'!G46)</f>
        <v>27398.855000000003</v>
      </c>
      <c r="F21" s="150"/>
      <c r="H21" s="140"/>
      <c r="I21" s="140"/>
      <c r="J21" s="140"/>
      <c r="K21" s="140"/>
      <c r="L21" s="140"/>
      <c r="M21" s="140"/>
      <c r="N21" s="120"/>
      <c r="O21" s="152"/>
      <c r="P21" s="120"/>
    </row>
    <row r="22" spans="1:16" ht="18" customHeight="1">
      <c r="A22" s="133" t="s">
        <v>135</v>
      </c>
      <c r="B22" s="147" t="s">
        <v>136</v>
      </c>
      <c r="C22" s="115" t="s">
        <v>124</v>
      </c>
      <c r="D22" s="148">
        <v>8239.626</v>
      </c>
      <c r="F22" s="150"/>
      <c r="H22" s="140"/>
      <c r="I22" s="140"/>
      <c r="J22" s="140"/>
      <c r="K22" s="140"/>
      <c r="L22" s="140"/>
      <c r="M22" s="140"/>
      <c r="N22" s="120"/>
      <c r="O22" s="152"/>
      <c r="P22" s="120"/>
    </row>
    <row r="23" spans="1:15" ht="38.25" customHeight="1">
      <c r="A23" s="133"/>
      <c r="B23" s="147" t="s">
        <v>204</v>
      </c>
      <c r="C23" s="115"/>
      <c r="D23" s="148">
        <v>3320.311</v>
      </c>
      <c r="F23" s="150"/>
      <c r="H23" s="140"/>
      <c r="I23" s="140"/>
      <c r="J23" s="140"/>
      <c r="K23" s="140"/>
      <c r="L23" s="140"/>
      <c r="M23" s="140"/>
      <c r="N23" s="120"/>
      <c r="O23" s="152"/>
    </row>
    <row r="24" spans="1:16" ht="19.5" customHeight="1">
      <c r="A24" s="133" t="s">
        <v>137</v>
      </c>
      <c r="B24" s="96" t="s">
        <v>138</v>
      </c>
      <c r="C24" s="164" t="s">
        <v>124</v>
      </c>
      <c r="D24" s="148">
        <f>943.464-55.856</f>
        <v>887.6080000000001</v>
      </c>
      <c r="F24" s="150"/>
      <c r="H24" s="140"/>
      <c r="I24" s="140"/>
      <c r="J24" s="140"/>
      <c r="K24" s="140"/>
      <c r="L24" s="140"/>
      <c r="M24" s="140"/>
      <c r="N24" s="120"/>
      <c r="O24" s="152"/>
      <c r="P24" s="120"/>
    </row>
    <row r="25" spans="1:15" ht="38.25" customHeight="1">
      <c r="A25" s="133"/>
      <c r="B25" s="147" t="s">
        <v>204</v>
      </c>
      <c r="C25" s="164"/>
      <c r="D25" s="148">
        <v>11.4</v>
      </c>
      <c r="F25" s="150"/>
      <c r="H25" s="140"/>
      <c r="I25" s="140"/>
      <c r="J25" s="140"/>
      <c r="K25" s="140"/>
      <c r="L25" s="140"/>
      <c r="M25" s="140"/>
      <c r="N25" s="120"/>
      <c r="O25" s="152"/>
    </row>
    <row r="26" spans="1:16" ht="54" customHeight="1">
      <c r="A26" s="133" t="s">
        <v>139</v>
      </c>
      <c r="B26" s="96" t="s">
        <v>140</v>
      </c>
      <c r="C26" s="159" t="s">
        <v>124</v>
      </c>
      <c r="D26" s="148">
        <v>1039.665</v>
      </c>
      <c r="F26" s="150"/>
      <c r="H26" s="140"/>
      <c r="I26" s="140"/>
      <c r="J26" s="140"/>
      <c r="K26" s="140"/>
      <c r="L26" s="140"/>
      <c r="M26" s="140"/>
      <c r="N26" s="120"/>
      <c r="O26" s="152"/>
      <c r="P26" s="120"/>
    </row>
    <row r="27" spans="1:15" ht="31.5" customHeight="1">
      <c r="A27" s="133"/>
      <c r="B27" s="147" t="s">
        <v>204</v>
      </c>
      <c r="C27" s="165"/>
      <c r="D27" s="148">
        <v>56.19</v>
      </c>
      <c r="F27" s="150"/>
      <c r="H27" s="140"/>
      <c r="I27" s="140"/>
      <c r="J27" s="140"/>
      <c r="K27" s="140"/>
      <c r="L27" s="140"/>
      <c r="M27" s="140"/>
      <c r="N27" s="120"/>
      <c r="O27" s="152"/>
    </row>
    <row r="28" spans="1:15" ht="33.75" customHeight="1">
      <c r="A28" s="156" t="s">
        <v>253</v>
      </c>
      <c r="B28" s="147" t="s">
        <v>254</v>
      </c>
      <c r="C28" s="155" t="s">
        <v>124</v>
      </c>
      <c r="D28" s="148">
        <v>11</v>
      </c>
      <c r="F28" s="150"/>
      <c r="H28" s="140"/>
      <c r="I28" s="140"/>
      <c r="J28" s="140"/>
      <c r="K28" s="140"/>
      <c r="L28" s="140"/>
      <c r="M28" s="140"/>
      <c r="N28" s="120"/>
      <c r="O28" s="152"/>
    </row>
    <row r="29" spans="1:15" ht="37.5" customHeight="1">
      <c r="A29" s="156" t="s">
        <v>432</v>
      </c>
      <c r="B29" s="147" t="s">
        <v>433</v>
      </c>
      <c r="C29" s="155" t="s">
        <v>124</v>
      </c>
      <c r="D29" s="148">
        <v>957.224</v>
      </c>
      <c r="F29" s="150"/>
      <c r="H29" s="140"/>
      <c r="I29" s="140"/>
      <c r="J29" s="140"/>
      <c r="K29" s="140"/>
      <c r="L29" s="140"/>
      <c r="M29" s="140"/>
      <c r="N29" s="120"/>
      <c r="O29" s="152"/>
    </row>
    <row r="30" spans="1:16" ht="39" customHeight="1">
      <c r="A30" s="154">
        <v>15</v>
      </c>
      <c r="B30" s="89" t="s">
        <v>78</v>
      </c>
      <c r="C30" s="89"/>
      <c r="D30" s="66">
        <f>SUM(D31+D33+D35+D38+D37)</f>
        <v>1087.92</v>
      </c>
      <c r="E30" s="149">
        <f>SUM(D30+'таб. 4.1'!G85)</f>
        <v>6404.594</v>
      </c>
      <c r="F30" s="150"/>
      <c r="H30" s="140"/>
      <c r="I30" s="140"/>
      <c r="J30" s="140"/>
      <c r="K30" s="140"/>
      <c r="L30" s="140"/>
      <c r="M30" s="140"/>
      <c r="N30" s="120"/>
      <c r="O30" s="152"/>
      <c r="P30" s="120"/>
    </row>
    <row r="31" spans="1:16" ht="180.75" customHeight="1">
      <c r="A31" s="156" t="s">
        <v>141</v>
      </c>
      <c r="B31" s="166" t="s">
        <v>186</v>
      </c>
      <c r="C31" s="155" t="s">
        <v>124</v>
      </c>
      <c r="D31" s="148">
        <v>36.413</v>
      </c>
      <c r="F31" s="150"/>
      <c r="H31" s="140"/>
      <c r="I31" s="140"/>
      <c r="J31" s="140"/>
      <c r="K31" s="140"/>
      <c r="L31" s="140"/>
      <c r="M31" s="140"/>
      <c r="N31" s="120"/>
      <c r="O31" s="152"/>
      <c r="P31" s="120"/>
    </row>
    <row r="32" spans="1:16" ht="210" customHeight="1">
      <c r="A32" s="156"/>
      <c r="B32" s="167" t="s">
        <v>142</v>
      </c>
      <c r="C32" s="155"/>
      <c r="D32" s="148">
        <v>36.413</v>
      </c>
      <c r="F32" s="150"/>
      <c r="H32" s="140"/>
      <c r="I32" s="140"/>
      <c r="J32" s="140"/>
      <c r="K32" s="140"/>
      <c r="L32" s="140"/>
      <c r="M32" s="140"/>
      <c r="N32" s="120"/>
      <c r="O32" s="152"/>
      <c r="P32" s="120"/>
    </row>
    <row r="33" spans="1:15" ht="18.75" customHeight="1">
      <c r="A33" s="133" t="s">
        <v>122</v>
      </c>
      <c r="B33" s="147" t="s">
        <v>123</v>
      </c>
      <c r="C33" s="164" t="s">
        <v>124</v>
      </c>
      <c r="D33" s="148">
        <f>1285.484-1000</f>
        <v>285.4839999999999</v>
      </c>
      <c r="F33" s="150"/>
      <c r="H33" s="140"/>
      <c r="I33" s="140"/>
      <c r="J33" s="140"/>
      <c r="K33" s="140"/>
      <c r="L33" s="140"/>
      <c r="M33" s="140"/>
      <c r="N33" s="120"/>
      <c r="O33" s="152"/>
    </row>
    <row r="34" spans="1:15" ht="38.25" customHeight="1">
      <c r="A34" s="133"/>
      <c r="B34" s="147" t="s">
        <v>204</v>
      </c>
      <c r="C34" s="164"/>
      <c r="D34" s="148">
        <v>77</v>
      </c>
      <c r="F34" s="150"/>
      <c r="H34" s="140"/>
      <c r="I34" s="140"/>
      <c r="J34" s="140"/>
      <c r="K34" s="140"/>
      <c r="L34" s="140"/>
      <c r="M34" s="140"/>
      <c r="N34" s="120"/>
      <c r="O34" s="152"/>
    </row>
    <row r="35" spans="1:16" ht="40.5" customHeight="1">
      <c r="A35" s="133" t="s">
        <v>180</v>
      </c>
      <c r="B35" s="168" t="s">
        <v>181</v>
      </c>
      <c r="C35" s="164" t="s">
        <v>124</v>
      </c>
      <c r="D35" s="148">
        <v>477.023</v>
      </c>
      <c r="F35" s="150"/>
      <c r="H35" s="140"/>
      <c r="I35" s="140"/>
      <c r="J35" s="140"/>
      <c r="K35" s="140"/>
      <c r="L35" s="140"/>
      <c r="M35" s="140"/>
      <c r="N35" s="120"/>
      <c r="O35" s="152"/>
      <c r="P35" s="120"/>
    </row>
    <row r="36" spans="1:15" ht="36" customHeight="1">
      <c r="A36" s="133"/>
      <c r="B36" s="147" t="s">
        <v>204</v>
      </c>
      <c r="C36" s="164"/>
      <c r="D36" s="148">
        <v>249.139</v>
      </c>
      <c r="F36" s="150"/>
      <c r="H36" s="140"/>
      <c r="I36" s="140"/>
      <c r="J36" s="140"/>
      <c r="K36" s="140"/>
      <c r="L36" s="140"/>
      <c r="M36" s="140"/>
      <c r="N36" s="120"/>
      <c r="O36" s="152"/>
    </row>
    <row r="37" spans="1:15" ht="38.25" customHeight="1">
      <c r="A37" s="156" t="s">
        <v>362</v>
      </c>
      <c r="B37" s="147" t="s">
        <v>363</v>
      </c>
      <c r="C37" s="155" t="s">
        <v>124</v>
      </c>
      <c r="D37" s="148">
        <v>44</v>
      </c>
      <c r="F37" s="150"/>
      <c r="H37" s="140"/>
      <c r="I37" s="140"/>
      <c r="J37" s="140"/>
      <c r="K37" s="140"/>
      <c r="L37" s="140"/>
      <c r="M37" s="140"/>
      <c r="N37" s="120"/>
      <c r="O37" s="152"/>
    </row>
    <row r="38" spans="1:15" ht="38.25" customHeight="1">
      <c r="A38" s="131" t="s">
        <v>132</v>
      </c>
      <c r="B38" s="96" t="s">
        <v>133</v>
      </c>
      <c r="C38" s="129" t="s">
        <v>124</v>
      </c>
      <c r="D38" s="148">
        <v>245</v>
      </c>
      <c r="F38" s="150"/>
      <c r="H38" s="140"/>
      <c r="I38" s="140"/>
      <c r="J38" s="140"/>
      <c r="K38" s="140"/>
      <c r="L38" s="140"/>
      <c r="M38" s="140"/>
      <c r="N38" s="120"/>
      <c r="O38" s="152"/>
    </row>
    <row r="39" spans="1:15" ht="38.25" customHeight="1">
      <c r="A39" s="132"/>
      <c r="B39" s="96" t="s">
        <v>204</v>
      </c>
      <c r="C39" s="130"/>
      <c r="D39" s="148">
        <v>96.59</v>
      </c>
      <c r="F39" s="150"/>
      <c r="H39" s="140"/>
      <c r="I39" s="140"/>
      <c r="J39" s="140"/>
      <c r="K39" s="140"/>
      <c r="L39" s="140"/>
      <c r="M39" s="140"/>
      <c r="N39" s="120"/>
      <c r="O39" s="152"/>
    </row>
    <row r="40" spans="1:16" ht="39" customHeight="1">
      <c r="A40" s="154">
        <v>24</v>
      </c>
      <c r="B40" s="155" t="s">
        <v>143</v>
      </c>
      <c r="C40" s="155"/>
      <c r="D40" s="148">
        <f>SUM(D41:D49)-D42-D44-D46-D48</f>
        <v>3035.847</v>
      </c>
      <c r="E40" s="149">
        <f>SUM(D40+'таб. 4.1'!G92)</f>
        <v>3230.7810000000004</v>
      </c>
      <c r="F40" s="150"/>
      <c r="H40" s="140"/>
      <c r="I40" s="140"/>
      <c r="J40" s="140"/>
      <c r="K40" s="140"/>
      <c r="L40" s="140"/>
      <c r="M40" s="140"/>
      <c r="N40" s="120"/>
      <c r="O40" s="152"/>
      <c r="P40" s="120"/>
    </row>
    <row r="41" spans="1:15" ht="25.5" customHeight="1">
      <c r="A41" s="133" t="s">
        <v>144</v>
      </c>
      <c r="B41" s="147" t="s">
        <v>145</v>
      </c>
      <c r="C41" s="164" t="s">
        <v>124</v>
      </c>
      <c r="D41" s="148">
        <v>194.379</v>
      </c>
      <c r="F41" s="150"/>
      <c r="H41" s="140"/>
      <c r="I41" s="140"/>
      <c r="J41" s="140"/>
      <c r="K41" s="140"/>
      <c r="L41" s="140"/>
      <c r="M41" s="140"/>
      <c r="N41" s="120"/>
      <c r="O41" s="152"/>
    </row>
    <row r="42" spans="1:15" ht="38.25" customHeight="1">
      <c r="A42" s="133"/>
      <c r="B42" s="147" t="s">
        <v>204</v>
      </c>
      <c r="C42" s="164"/>
      <c r="D42" s="148">
        <v>64.407</v>
      </c>
      <c r="F42" s="150"/>
      <c r="H42" s="140"/>
      <c r="I42" s="140"/>
      <c r="J42" s="140"/>
      <c r="K42" s="140"/>
      <c r="L42" s="140"/>
      <c r="M42" s="140"/>
      <c r="N42" s="120"/>
      <c r="O42" s="152"/>
    </row>
    <row r="43" spans="1:15" ht="21.75" customHeight="1">
      <c r="A43" s="133" t="s">
        <v>146</v>
      </c>
      <c r="B43" s="147" t="s">
        <v>147</v>
      </c>
      <c r="C43" s="164" t="s">
        <v>124</v>
      </c>
      <c r="D43" s="148">
        <v>1241.407</v>
      </c>
      <c r="F43" s="150"/>
      <c r="H43" s="140"/>
      <c r="I43" s="140"/>
      <c r="J43" s="140"/>
      <c r="K43" s="140"/>
      <c r="L43" s="140"/>
      <c r="M43" s="140"/>
      <c r="N43" s="120"/>
      <c r="O43" s="152"/>
    </row>
    <row r="44" spans="1:15" ht="38.25" customHeight="1">
      <c r="A44" s="133"/>
      <c r="B44" s="147" t="s">
        <v>204</v>
      </c>
      <c r="C44" s="164"/>
      <c r="D44" s="148">
        <v>1005.624</v>
      </c>
      <c r="F44" s="150"/>
      <c r="H44" s="140"/>
      <c r="I44" s="140"/>
      <c r="J44" s="140"/>
      <c r="K44" s="140"/>
      <c r="L44" s="140"/>
      <c r="M44" s="140"/>
      <c r="N44" s="120"/>
      <c r="O44" s="152"/>
    </row>
    <row r="45" spans="1:15" ht="37.5">
      <c r="A45" s="133" t="s">
        <v>148</v>
      </c>
      <c r="B45" s="147" t="s">
        <v>149</v>
      </c>
      <c r="C45" s="164" t="s">
        <v>124</v>
      </c>
      <c r="D45" s="148">
        <v>201.556</v>
      </c>
      <c r="F45" s="150"/>
      <c r="H45" s="140"/>
      <c r="I45" s="140"/>
      <c r="J45" s="140"/>
      <c r="K45" s="140"/>
      <c r="L45" s="140"/>
      <c r="M45" s="140"/>
      <c r="N45" s="120"/>
      <c r="O45" s="152"/>
    </row>
    <row r="46" spans="1:15" ht="38.25" customHeight="1">
      <c r="A46" s="133"/>
      <c r="B46" s="147" t="s">
        <v>204</v>
      </c>
      <c r="C46" s="164"/>
      <c r="D46" s="148">
        <v>107.156</v>
      </c>
      <c r="F46" s="150"/>
      <c r="H46" s="140"/>
      <c r="I46" s="140"/>
      <c r="J46" s="140"/>
      <c r="K46" s="140"/>
      <c r="L46" s="140"/>
      <c r="M46" s="140"/>
      <c r="N46" s="120"/>
      <c r="O46" s="152"/>
    </row>
    <row r="47" spans="1:15" ht="23.25" customHeight="1">
      <c r="A47" s="133" t="s">
        <v>150</v>
      </c>
      <c r="B47" s="155" t="s">
        <v>151</v>
      </c>
      <c r="C47" s="164" t="s">
        <v>124</v>
      </c>
      <c r="D47" s="148">
        <v>1216.429</v>
      </c>
      <c r="F47" s="150"/>
      <c r="H47" s="140"/>
      <c r="I47" s="140"/>
      <c r="J47" s="140"/>
      <c r="K47" s="140"/>
      <c r="L47" s="140"/>
      <c r="M47" s="140"/>
      <c r="N47" s="120"/>
      <c r="O47" s="152"/>
    </row>
    <row r="48" spans="1:15" ht="35.25" customHeight="1">
      <c r="A48" s="133"/>
      <c r="B48" s="147" t="s">
        <v>204</v>
      </c>
      <c r="C48" s="164"/>
      <c r="D48" s="148">
        <v>163.087</v>
      </c>
      <c r="F48" s="150"/>
      <c r="H48" s="140"/>
      <c r="I48" s="140"/>
      <c r="J48" s="140"/>
      <c r="K48" s="140"/>
      <c r="L48" s="140"/>
      <c r="M48" s="140"/>
      <c r="N48" s="120"/>
      <c r="O48" s="152"/>
    </row>
    <row r="49" spans="1:15" ht="28.5" customHeight="1">
      <c r="A49" s="156" t="s">
        <v>152</v>
      </c>
      <c r="B49" s="155" t="s">
        <v>153</v>
      </c>
      <c r="C49" s="155" t="s">
        <v>124</v>
      </c>
      <c r="D49" s="148">
        <v>182.076</v>
      </c>
      <c r="F49" s="150"/>
      <c r="H49" s="140"/>
      <c r="I49" s="140"/>
      <c r="J49" s="140"/>
      <c r="K49" s="140"/>
      <c r="L49" s="140"/>
      <c r="M49" s="140"/>
      <c r="N49" s="120"/>
      <c r="O49" s="152"/>
    </row>
    <row r="50" spans="1:15" ht="40.5" customHeight="1">
      <c r="A50" s="154">
        <v>32</v>
      </c>
      <c r="B50" s="155" t="s">
        <v>154</v>
      </c>
      <c r="C50" s="155"/>
      <c r="D50" s="148">
        <f>SUM(D51)</f>
        <v>37</v>
      </c>
      <c r="E50" s="149">
        <f>SUM(D50+'таб. 4.1'!G94)</f>
        <v>508.20000000000005</v>
      </c>
      <c r="F50" s="150"/>
      <c r="H50" s="140"/>
      <c r="I50" s="140"/>
      <c r="J50" s="140"/>
      <c r="K50" s="140"/>
      <c r="L50" s="140"/>
      <c r="M50" s="140"/>
      <c r="N50" s="120"/>
      <c r="O50" s="152"/>
    </row>
    <row r="51" spans="1:15" ht="25.5" customHeight="1">
      <c r="A51" s="156" t="s">
        <v>122</v>
      </c>
      <c r="B51" s="147" t="s">
        <v>123</v>
      </c>
      <c r="C51" s="155" t="s">
        <v>124</v>
      </c>
      <c r="D51" s="148">
        <v>37</v>
      </c>
      <c r="F51" s="150"/>
      <c r="H51" s="140"/>
      <c r="I51" s="140"/>
      <c r="J51" s="140"/>
      <c r="K51" s="140"/>
      <c r="L51" s="140"/>
      <c r="M51" s="140"/>
      <c r="N51" s="120"/>
      <c r="O51" s="152"/>
    </row>
    <row r="52" spans="1:15" ht="40.5" customHeight="1">
      <c r="A52" s="156" t="s">
        <v>199</v>
      </c>
      <c r="B52" s="147" t="s">
        <v>200</v>
      </c>
      <c r="C52" s="155"/>
      <c r="D52" s="148">
        <f>SUM(D53:D54)-D54</f>
        <v>43.05</v>
      </c>
      <c r="E52" s="149">
        <f>SUM(D52)</f>
        <v>43.05</v>
      </c>
      <c r="F52" s="150"/>
      <c r="H52" s="140"/>
      <c r="I52" s="140"/>
      <c r="J52" s="140"/>
      <c r="K52" s="140"/>
      <c r="L52" s="140"/>
      <c r="M52" s="140"/>
      <c r="N52" s="120"/>
      <c r="O52" s="152"/>
    </row>
    <row r="53" spans="1:15" ht="29.25" customHeight="1">
      <c r="A53" s="133" t="s">
        <v>122</v>
      </c>
      <c r="B53" s="147" t="s">
        <v>123</v>
      </c>
      <c r="C53" s="164" t="s">
        <v>124</v>
      </c>
      <c r="D53" s="148">
        <v>43.05</v>
      </c>
      <c r="F53" s="150"/>
      <c r="H53" s="140"/>
      <c r="I53" s="140"/>
      <c r="J53" s="140"/>
      <c r="K53" s="140"/>
      <c r="L53" s="140"/>
      <c r="M53" s="140"/>
      <c r="N53" s="120"/>
      <c r="O53" s="152"/>
    </row>
    <row r="54" spans="1:15" ht="38.25" customHeight="1">
      <c r="A54" s="133"/>
      <c r="B54" s="147" t="s">
        <v>204</v>
      </c>
      <c r="C54" s="164"/>
      <c r="D54" s="148">
        <v>43.05</v>
      </c>
      <c r="F54" s="150"/>
      <c r="H54" s="140"/>
      <c r="I54" s="140"/>
      <c r="J54" s="140"/>
      <c r="K54" s="140"/>
      <c r="L54" s="140"/>
      <c r="M54" s="140"/>
      <c r="N54" s="120"/>
      <c r="O54" s="152"/>
    </row>
    <row r="55" spans="1:15" ht="40.5" customHeight="1">
      <c r="A55" s="154">
        <v>40</v>
      </c>
      <c r="B55" s="155" t="s">
        <v>188</v>
      </c>
      <c r="C55" s="155"/>
      <c r="D55" s="148">
        <f>SUM(D56:D63)-D58-D61-D63</f>
        <v>54656.827</v>
      </c>
      <c r="E55" s="149">
        <f>SUM(D55+'таб. 4.1'!G96)</f>
        <v>113886.454</v>
      </c>
      <c r="F55" s="150"/>
      <c r="H55" s="140"/>
      <c r="I55" s="140"/>
      <c r="J55" s="140"/>
      <c r="K55" s="140"/>
      <c r="L55" s="140"/>
      <c r="M55" s="140"/>
      <c r="N55" s="120"/>
      <c r="O55" s="152"/>
    </row>
    <row r="56" spans="1:15" ht="25.5" customHeight="1">
      <c r="A56" s="156" t="s">
        <v>122</v>
      </c>
      <c r="B56" s="147" t="s">
        <v>123</v>
      </c>
      <c r="C56" s="155" t="s">
        <v>124</v>
      </c>
      <c r="D56" s="148">
        <v>90</v>
      </c>
      <c r="F56" s="150"/>
      <c r="H56" s="140"/>
      <c r="I56" s="140"/>
      <c r="J56" s="140"/>
      <c r="K56" s="140"/>
      <c r="L56" s="140"/>
      <c r="M56" s="140"/>
      <c r="N56" s="120"/>
      <c r="O56" s="152"/>
    </row>
    <row r="57" spans="1:15" ht="39" customHeight="1">
      <c r="A57" s="133" t="s">
        <v>155</v>
      </c>
      <c r="B57" s="147" t="s">
        <v>156</v>
      </c>
      <c r="C57" s="164" t="s">
        <v>124</v>
      </c>
      <c r="D57" s="148">
        <v>48255.289</v>
      </c>
      <c r="F57" s="150"/>
      <c r="H57" s="140"/>
      <c r="I57" s="140"/>
      <c r="J57" s="140"/>
      <c r="K57" s="140"/>
      <c r="L57" s="140"/>
      <c r="M57" s="140"/>
      <c r="N57" s="120"/>
      <c r="O57" s="152"/>
    </row>
    <row r="58" spans="1:15" ht="38.25" customHeight="1">
      <c r="A58" s="133"/>
      <c r="B58" s="147" t="s">
        <v>204</v>
      </c>
      <c r="C58" s="164"/>
      <c r="D58" s="148">
        <v>7409.833</v>
      </c>
      <c r="F58" s="150"/>
      <c r="H58" s="140"/>
      <c r="I58" s="140"/>
      <c r="J58" s="140"/>
      <c r="K58" s="140"/>
      <c r="L58" s="140"/>
      <c r="M58" s="140"/>
      <c r="N58" s="120"/>
      <c r="O58" s="152"/>
    </row>
    <row r="59" spans="1:15" ht="59.25" customHeight="1">
      <c r="A59" s="156" t="s">
        <v>358</v>
      </c>
      <c r="B59" s="147" t="s">
        <v>359</v>
      </c>
      <c r="C59" s="155" t="s">
        <v>124</v>
      </c>
      <c r="D59" s="148">
        <f>1050.217-148.406</f>
        <v>901.8110000000001</v>
      </c>
      <c r="F59" s="150"/>
      <c r="H59" s="140"/>
      <c r="I59" s="140"/>
      <c r="J59" s="140"/>
      <c r="K59" s="140"/>
      <c r="L59" s="140"/>
      <c r="M59" s="140"/>
      <c r="N59" s="120"/>
      <c r="O59" s="152"/>
    </row>
    <row r="60" spans="1:15" ht="25.5" customHeight="1">
      <c r="A60" s="133" t="s">
        <v>159</v>
      </c>
      <c r="B60" s="96" t="s">
        <v>189</v>
      </c>
      <c r="C60" s="164" t="s">
        <v>124</v>
      </c>
      <c r="D60" s="148">
        <v>2567.578</v>
      </c>
      <c r="F60" s="150"/>
      <c r="H60" s="140"/>
      <c r="I60" s="140"/>
      <c r="J60" s="140"/>
      <c r="K60" s="140"/>
      <c r="L60" s="140"/>
      <c r="M60" s="140"/>
      <c r="N60" s="169"/>
      <c r="O60" s="152"/>
    </row>
    <row r="61" spans="1:15" ht="38.25" customHeight="1">
      <c r="A61" s="133"/>
      <c r="B61" s="147" t="s">
        <v>204</v>
      </c>
      <c r="C61" s="164"/>
      <c r="D61" s="148">
        <v>319.273</v>
      </c>
      <c r="F61" s="150"/>
      <c r="H61" s="140"/>
      <c r="I61" s="140"/>
      <c r="J61" s="140"/>
      <c r="K61" s="140"/>
      <c r="L61" s="140"/>
      <c r="M61" s="140"/>
      <c r="N61" s="120"/>
      <c r="O61" s="152"/>
    </row>
    <row r="62" spans="1:15" ht="22.5" customHeight="1">
      <c r="A62" s="133" t="s">
        <v>157</v>
      </c>
      <c r="B62" s="147" t="s">
        <v>125</v>
      </c>
      <c r="C62" s="164" t="s">
        <v>124</v>
      </c>
      <c r="D62" s="148">
        <v>2842.149</v>
      </c>
      <c r="F62" s="150"/>
      <c r="H62" s="140"/>
      <c r="I62" s="140"/>
      <c r="J62" s="140"/>
      <c r="K62" s="140"/>
      <c r="L62" s="140"/>
      <c r="M62" s="140"/>
      <c r="N62" s="120"/>
      <c r="O62" s="152"/>
    </row>
    <row r="63" spans="1:15" ht="38.25" customHeight="1">
      <c r="A63" s="133"/>
      <c r="B63" s="147" t="s">
        <v>204</v>
      </c>
      <c r="C63" s="164"/>
      <c r="D63" s="148">
        <v>13.632</v>
      </c>
      <c r="F63" s="150"/>
      <c r="H63" s="140"/>
      <c r="I63" s="140"/>
      <c r="J63" s="140"/>
      <c r="K63" s="140"/>
      <c r="L63" s="140"/>
      <c r="M63" s="140"/>
      <c r="N63" s="120"/>
      <c r="O63" s="152"/>
    </row>
    <row r="64" spans="1:15" ht="41.25" customHeight="1">
      <c r="A64" s="154">
        <v>45</v>
      </c>
      <c r="B64" s="155" t="s">
        <v>160</v>
      </c>
      <c r="C64" s="155" t="s">
        <v>158</v>
      </c>
      <c r="D64" s="148">
        <f>SUM(D65)</f>
        <v>80.104</v>
      </c>
      <c r="E64" s="149">
        <f>SUM(D64)</f>
        <v>80.104</v>
      </c>
      <c r="F64" s="150"/>
      <c r="H64" s="140"/>
      <c r="I64" s="140"/>
      <c r="J64" s="140"/>
      <c r="K64" s="140"/>
      <c r="L64" s="140"/>
      <c r="M64" s="140"/>
      <c r="N64" s="169"/>
      <c r="O64" s="152"/>
    </row>
    <row r="65" spans="1:15" ht="21.75" customHeight="1">
      <c r="A65" s="133" t="s">
        <v>122</v>
      </c>
      <c r="B65" s="147" t="s">
        <v>123</v>
      </c>
      <c r="C65" s="164" t="s">
        <v>124</v>
      </c>
      <c r="D65" s="148">
        <v>80.104</v>
      </c>
      <c r="F65" s="150"/>
      <c r="H65" s="140"/>
      <c r="I65" s="140"/>
      <c r="J65" s="140"/>
      <c r="K65" s="140"/>
      <c r="L65" s="140"/>
      <c r="M65" s="140"/>
      <c r="N65" s="169"/>
      <c r="O65" s="152"/>
    </row>
    <row r="66" spans="1:15" ht="35.25" customHeight="1">
      <c r="A66" s="133"/>
      <c r="B66" s="147" t="s">
        <v>204</v>
      </c>
      <c r="C66" s="164"/>
      <c r="D66" s="148">
        <v>10.423</v>
      </c>
      <c r="F66" s="150"/>
      <c r="H66" s="140"/>
      <c r="I66" s="140"/>
      <c r="J66" s="140"/>
      <c r="K66" s="140"/>
      <c r="L66" s="140"/>
      <c r="M66" s="140"/>
      <c r="N66" s="120"/>
      <c r="O66" s="152"/>
    </row>
    <row r="67" spans="1:15" ht="40.5" customHeight="1">
      <c r="A67" s="154">
        <v>48</v>
      </c>
      <c r="B67" s="155" t="s">
        <v>43</v>
      </c>
      <c r="C67" s="155" t="s">
        <v>158</v>
      </c>
      <c r="D67" s="148">
        <f>SUM(D68)</f>
        <v>98</v>
      </c>
      <c r="F67" s="150"/>
      <c r="H67" s="140"/>
      <c r="I67" s="140"/>
      <c r="J67" s="140"/>
      <c r="K67" s="140"/>
      <c r="L67" s="140"/>
      <c r="M67" s="140"/>
      <c r="N67" s="120"/>
      <c r="O67" s="152"/>
    </row>
    <row r="68" spans="1:15" ht="35.25" customHeight="1">
      <c r="A68" s="156" t="s">
        <v>122</v>
      </c>
      <c r="B68" s="147" t="s">
        <v>123</v>
      </c>
      <c r="C68" s="155" t="s">
        <v>124</v>
      </c>
      <c r="D68" s="148">
        <v>98</v>
      </c>
      <c r="F68" s="150"/>
      <c r="H68" s="140"/>
      <c r="I68" s="140"/>
      <c r="J68" s="140"/>
      <c r="K68" s="140"/>
      <c r="L68" s="140"/>
      <c r="M68" s="140"/>
      <c r="N68" s="120"/>
      <c r="O68" s="152"/>
    </row>
    <row r="69" spans="1:15" ht="39" customHeight="1">
      <c r="A69" s="154">
        <v>56</v>
      </c>
      <c r="B69" s="155" t="s">
        <v>171</v>
      </c>
      <c r="C69" s="155" t="s">
        <v>158</v>
      </c>
      <c r="D69" s="148">
        <f>SUM(D70)</f>
        <v>29</v>
      </c>
      <c r="E69" s="149">
        <f>SUM(D69)</f>
        <v>29</v>
      </c>
      <c r="F69" s="150"/>
      <c r="H69" s="140"/>
      <c r="I69" s="140"/>
      <c r="J69" s="140"/>
      <c r="K69" s="140"/>
      <c r="L69" s="140"/>
      <c r="M69" s="140"/>
      <c r="N69" s="169"/>
      <c r="O69" s="152"/>
    </row>
    <row r="70" spans="1:15" ht="21.75" customHeight="1">
      <c r="A70" s="156" t="s">
        <v>122</v>
      </c>
      <c r="B70" s="147" t="s">
        <v>123</v>
      </c>
      <c r="C70" s="155" t="s">
        <v>124</v>
      </c>
      <c r="D70" s="148">
        <v>29</v>
      </c>
      <c r="F70" s="150"/>
      <c r="H70" s="140"/>
      <c r="I70" s="140"/>
      <c r="J70" s="140"/>
      <c r="K70" s="140"/>
      <c r="L70" s="140"/>
      <c r="M70" s="140"/>
      <c r="N70" s="169"/>
      <c r="O70" s="152"/>
    </row>
    <row r="71" spans="1:15" s="172" customFormat="1" ht="57" customHeight="1">
      <c r="A71" s="145" t="s">
        <v>172</v>
      </c>
      <c r="B71" s="96" t="s">
        <v>173</v>
      </c>
      <c r="C71" s="96"/>
      <c r="D71" s="146">
        <f>SUM(D72:D73)</f>
        <v>2353.16</v>
      </c>
      <c r="E71" s="118">
        <f>SUM(D71+'таб. 4.1'!G386)</f>
        <v>4610.045</v>
      </c>
      <c r="F71" s="170"/>
      <c r="G71" s="171"/>
      <c r="H71" s="140"/>
      <c r="I71" s="140"/>
      <c r="J71" s="140"/>
      <c r="K71" s="140"/>
      <c r="L71" s="140"/>
      <c r="M71" s="140"/>
      <c r="N71" s="169"/>
      <c r="O71" s="152"/>
    </row>
    <row r="72" spans="1:15" s="172" customFormat="1" ht="29.25" customHeight="1">
      <c r="A72" s="145" t="s">
        <v>157</v>
      </c>
      <c r="B72" s="96" t="s">
        <v>125</v>
      </c>
      <c r="C72" s="155" t="s">
        <v>124</v>
      </c>
      <c r="D72" s="146">
        <v>1469.66</v>
      </c>
      <c r="E72" s="118"/>
      <c r="F72" s="170"/>
      <c r="G72" s="171"/>
      <c r="H72" s="140"/>
      <c r="I72" s="140"/>
      <c r="J72" s="140"/>
      <c r="K72" s="140"/>
      <c r="L72" s="140"/>
      <c r="M72" s="140"/>
      <c r="N72" s="169"/>
      <c r="O72" s="152"/>
    </row>
    <row r="73" spans="1:15" ht="37.5" customHeight="1">
      <c r="A73" s="156" t="s">
        <v>417</v>
      </c>
      <c r="B73" s="147" t="s">
        <v>418</v>
      </c>
      <c r="C73" s="155" t="s">
        <v>124</v>
      </c>
      <c r="D73" s="148">
        <f>1583.5-700</f>
        <v>883.5</v>
      </c>
      <c r="F73" s="150"/>
      <c r="H73" s="140"/>
      <c r="I73" s="140"/>
      <c r="J73" s="140"/>
      <c r="K73" s="140"/>
      <c r="L73" s="140"/>
      <c r="M73" s="140"/>
      <c r="N73" s="169"/>
      <c r="O73" s="152"/>
    </row>
    <row r="74" spans="1:15" ht="55.5" customHeight="1">
      <c r="A74" s="173">
        <v>67</v>
      </c>
      <c r="B74" s="96" t="s">
        <v>194</v>
      </c>
      <c r="C74" s="155"/>
      <c r="D74" s="148">
        <f>SUM(D75:D76)</f>
        <v>6758.5599999999995</v>
      </c>
      <c r="E74" s="149">
        <f>SUM(D74)</f>
        <v>6758.5599999999995</v>
      </c>
      <c r="F74" s="150"/>
      <c r="G74" s="153"/>
      <c r="H74" s="140"/>
      <c r="I74" s="140"/>
      <c r="J74" s="140"/>
      <c r="K74" s="140"/>
      <c r="L74" s="140"/>
      <c r="M74" s="140"/>
      <c r="N74" s="120"/>
      <c r="O74" s="152"/>
    </row>
    <row r="75" spans="1:15" ht="60.75" customHeight="1">
      <c r="A75" s="145" t="s">
        <v>96</v>
      </c>
      <c r="B75" s="96" t="s">
        <v>114</v>
      </c>
      <c r="C75" s="155" t="s">
        <v>124</v>
      </c>
      <c r="D75" s="148">
        <v>6686.021</v>
      </c>
      <c r="F75" s="150"/>
      <c r="G75" s="153"/>
      <c r="H75" s="140"/>
      <c r="I75" s="140"/>
      <c r="J75" s="140"/>
      <c r="K75" s="140"/>
      <c r="L75" s="140"/>
      <c r="M75" s="140"/>
      <c r="N75" s="120"/>
      <c r="O75" s="152"/>
    </row>
    <row r="76" spans="1:15" ht="26.25" customHeight="1">
      <c r="A76" s="145" t="s">
        <v>174</v>
      </c>
      <c r="B76" s="96" t="s">
        <v>175</v>
      </c>
      <c r="C76" s="155" t="s">
        <v>124</v>
      </c>
      <c r="D76" s="148">
        <v>72.539</v>
      </c>
      <c r="F76" s="150"/>
      <c r="G76" s="153"/>
      <c r="H76" s="140"/>
      <c r="I76" s="140"/>
      <c r="J76" s="140"/>
      <c r="K76" s="140"/>
      <c r="L76" s="140"/>
      <c r="M76" s="140"/>
      <c r="N76" s="120"/>
      <c r="O76" s="152"/>
    </row>
    <row r="77" spans="1:15" ht="37.5" customHeight="1">
      <c r="A77" s="156">
        <v>73</v>
      </c>
      <c r="B77" s="155" t="s">
        <v>71</v>
      </c>
      <c r="C77" s="155"/>
      <c r="D77" s="148">
        <f>SUM(D78:D78)</f>
        <v>30</v>
      </c>
      <c r="E77" s="149">
        <f>SUM(D77+'таб. 4.1'!G392)</f>
        <v>4309.447999999999</v>
      </c>
      <c r="F77" s="150"/>
      <c r="G77" s="153"/>
      <c r="H77" s="140"/>
      <c r="I77" s="140"/>
      <c r="J77" s="140"/>
      <c r="K77" s="140"/>
      <c r="L77" s="140"/>
      <c r="M77" s="140"/>
      <c r="N77" s="120"/>
      <c r="O77" s="152"/>
    </row>
    <row r="78" spans="1:15" ht="25.5" customHeight="1">
      <c r="A78" s="156" t="s">
        <v>122</v>
      </c>
      <c r="B78" s="147" t="s">
        <v>123</v>
      </c>
      <c r="C78" s="155" t="s">
        <v>124</v>
      </c>
      <c r="D78" s="148">
        <v>30</v>
      </c>
      <c r="F78" s="150"/>
      <c r="G78" s="153"/>
      <c r="H78" s="140"/>
      <c r="I78" s="140"/>
      <c r="J78" s="140"/>
      <c r="K78" s="140"/>
      <c r="L78" s="140"/>
      <c r="M78" s="140"/>
      <c r="N78" s="120"/>
      <c r="O78" s="152"/>
    </row>
    <row r="79" spans="1:15" ht="39" customHeight="1">
      <c r="A79" s="145" t="s">
        <v>438</v>
      </c>
      <c r="B79" s="96" t="s">
        <v>439</v>
      </c>
      <c r="C79" s="155"/>
      <c r="D79" s="148">
        <f>SUM(D80)</f>
        <v>760.407</v>
      </c>
      <c r="E79" s="149">
        <f>SUM(D79)</f>
        <v>760.407</v>
      </c>
      <c r="F79" s="150"/>
      <c r="G79" s="153"/>
      <c r="H79" s="140"/>
      <c r="I79" s="140"/>
      <c r="J79" s="140"/>
      <c r="K79" s="140"/>
      <c r="L79" s="140"/>
      <c r="M79" s="140"/>
      <c r="N79" s="120"/>
      <c r="O79" s="152"/>
    </row>
    <row r="80" spans="1:15" ht="23.25" customHeight="1">
      <c r="A80" s="145" t="s">
        <v>440</v>
      </c>
      <c r="B80" s="96" t="s">
        <v>441</v>
      </c>
      <c r="C80" s="155" t="s">
        <v>124</v>
      </c>
      <c r="D80" s="148">
        <v>760.407</v>
      </c>
      <c r="F80" s="150"/>
      <c r="G80" s="153"/>
      <c r="H80" s="140"/>
      <c r="I80" s="140"/>
      <c r="J80" s="140"/>
      <c r="K80" s="140"/>
      <c r="L80" s="140"/>
      <c r="M80" s="140"/>
      <c r="N80" s="120"/>
      <c r="O80" s="152"/>
    </row>
    <row r="81" spans="1:15" ht="37.5" customHeight="1">
      <c r="A81" s="145" t="s">
        <v>361</v>
      </c>
      <c r="B81" s="96" t="s">
        <v>360</v>
      </c>
      <c r="C81" s="155"/>
      <c r="D81" s="148">
        <f>SUM(D82)</f>
        <v>112.012</v>
      </c>
      <c r="E81" s="149">
        <f>SUM(D81)</f>
        <v>112.012</v>
      </c>
      <c r="F81" s="150"/>
      <c r="G81" s="153"/>
      <c r="H81" s="140"/>
      <c r="I81" s="140"/>
      <c r="J81" s="140"/>
      <c r="K81" s="140"/>
      <c r="L81" s="140"/>
      <c r="M81" s="140"/>
      <c r="N81" s="120"/>
      <c r="O81" s="152"/>
    </row>
    <row r="82" spans="1:15" ht="24" customHeight="1">
      <c r="A82" s="156" t="s">
        <v>122</v>
      </c>
      <c r="B82" s="147" t="s">
        <v>123</v>
      </c>
      <c r="C82" s="155" t="s">
        <v>124</v>
      </c>
      <c r="D82" s="148">
        <f>105.037+6.975</f>
        <v>112.012</v>
      </c>
      <c r="F82" s="150"/>
      <c r="G82" s="153"/>
      <c r="H82" s="140"/>
      <c r="I82" s="140"/>
      <c r="J82" s="140"/>
      <c r="K82" s="140"/>
      <c r="L82" s="140"/>
      <c r="M82" s="140"/>
      <c r="N82" s="120"/>
      <c r="O82" s="152"/>
    </row>
    <row r="83" spans="1:15" ht="39.75" customHeight="1">
      <c r="A83" s="145" t="s">
        <v>364</v>
      </c>
      <c r="B83" s="96" t="s">
        <v>365</v>
      </c>
      <c r="C83" s="155"/>
      <c r="D83" s="148">
        <f>SUM(D84:D85)</f>
        <v>17.975</v>
      </c>
      <c r="E83" s="149">
        <f>SUM(D83)</f>
        <v>17.975</v>
      </c>
      <c r="F83" s="150"/>
      <c r="G83" s="153"/>
      <c r="H83" s="140"/>
      <c r="I83" s="140"/>
      <c r="J83" s="140"/>
      <c r="K83" s="140"/>
      <c r="L83" s="140"/>
      <c r="M83" s="140"/>
      <c r="N83" s="120"/>
      <c r="O83" s="152"/>
    </row>
    <row r="84" spans="1:15" ht="22.5" customHeight="1">
      <c r="A84" s="156" t="s">
        <v>122</v>
      </c>
      <c r="B84" s="147" t="s">
        <v>123</v>
      </c>
      <c r="C84" s="155" t="s">
        <v>124</v>
      </c>
      <c r="D84" s="148">
        <v>6.975</v>
      </c>
      <c r="F84" s="150"/>
      <c r="G84" s="153"/>
      <c r="H84" s="140"/>
      <c r="I84" s="140"/>
      <c r="J84" s="140"/>
      <c r="K84" s="140"/>
      <c r="L84" s="140"/>
      <c r="M84" s="140"/>
      <c r="N84" s="120"/>
      <c r="O84" s="152"/>
    </row>
    <row r="85" spans="1:15" ht="26.25" customHeight="1">
      <c r="A85" s="156" t="s">
        <v>159</v>
      </c>
      <c r="B85" s="96" t="s">
        <v>355</v>
      </c>
      <c r="C85" s="155" t="s">
        <v>124</v>
      </c>
      <c r="D85" s="148">
        <v>11</v>
      </c>
      <c r="F85" s="150"/>
      <c r="G85" s="153"/>
      <c r="H85" s="140"/>
      <c r="I85" s="140"/>
      <c r="J85" s="140"/>
      <c r="K85" s="140"/>
      <c r="L85" s="140"/>
      <c r="M85" s="140"/>
      <c r="N85" s="120"/>
      <c r="O85" s="152"/>
    </row>
    <row r="86" spans="1:15" ht="39.75" customHeight="1">
      <c r="A86" s="145" t="s">
        <v>201</v>
      </c>
      <c r="B86" s="96" t="s">
        <v>80</v>
      </c>
      <c r="C86" s="174"/>
      <c r="D86" s="175">
        <f>SUM(D88+D87)</f>
        <v>45.882</v>
      </c>
      <c r="E86" s="149">
        <f>SUM(D86+'таб. 4.1'!G408)</f>
        <v>2186.1200000000003</v>
      </c>
      <c r="F86" s="150"/>
      <c r="G86" s="153"/>
      <c r="H86" s="140"/>
      <c r="I86" s="140"/>
      <c r="J86" s="140"/>
      <c r="K86" s="140"/>
      <c r="L86" s="140"/>
      <c r="M86" s="140"/>
      <c r="N86" s="120"/>
      <c r="O86" s="152"/>
    </row>
    <row r="87" spans="1:15" ht="17.25" customHeight="1">
      <c r="A87" s="145" t="s">
        <v>122</v>
      </c>
      <c r="B87" s="174" t="s">
        <v>356</v>
      </c>
      <c r="C87" s="174" t="s">
        <v>124</v>
      </c>
      <c r="D87" s="175">
        <v>6.975</v>
      </c>
      <c r="F87" s="150"/>
      <c r="G87" s="153"/>
      <c r="H87" s="140"/>
      <c r="I87" s="140"/>
      <c r="J87" s="140"/>
      <c r="K87" s="140"/>
      <c r="L87" s="140"/>
      <c r="M87" s="140"/>
      <c r="N87" s="120"/>
      <c r="O87" s="152"/>
    </row>
    <row r="88" spans="1:15" ht="24" customHeight="1">
      <c r="A88" s="134" t="s">
        <v>159</v>
      </c>
      <c r="B88" s="174" t="s">
        <v>353</v>
      </c>
      <c r="C88" s="106" t="s">
        <v>124</v>
      </c>
      <c r="D88" s="176" t="s">
        <v>202</v>
      </c>
      <c r="F88" s="150"/>
      <c r="G88" s="153"/>
      <c r="H88" s="140"/>
      <c r="I88" s="140"/>
      <c r="J88" s="140"/>
      <c r="K88" s="140"/>
      <c r="L88" s="140"/>
      <c r="M88" s="140"/>
      <c r="N88" s="120"/>
      <c r="O88" s="152"/>
    </row>
    <row r="89" spans="1:15" ht="36.75" customHeight="1">
      <c r="A89" s="134"/>
      <c r="B89" s="147" t="s">
        <v>204</v>
      </c>
      <c r="C89" s="106"/>
      <c r="D89" s="177" t="s">
        <v>202</v>
      </c>
      <c r="F89" s="150"/>
      <c r="G89" s="153"/>
      <c r="H89" s="140"/>
      <c r="I89" s="140"/>
      <c r="J89" s="140"/>
      <c r="K89" s="140"/>
      <c r="L89" s="140"/>
      <c r="M89" s="140"/>
      <c r="N89" s="120"/>
      <c r="O89" s="152"/>
    </row>
    <row r="90" spans="1:15" ht="36.75" customHeight="1">
      <c r="A90" s="145" t="s">
        <v>18</v>
      </c>
      <c r="B90" s="147" t="s">
        <v>20</v>
      </c>
      <c r="C90" s="174"/>
      <c r="D90" s="177" t="s">
        <v>19</v>
      </c>
      <c r="E90" s="149">
        <f>SUM(D90+'таб. 4.1'!G420)</f>
        <v>68.262</v>
      </c>
      <c r="F90" s="150"/>
      <c r="G90" s="153"/>
      <c r="H90" s="140"/>
      <c r="I90" s="140"/>
      <c r="J90" s="140"/>
      <c r="K90" s="140"/>
      <c r="L90" s="140"/>
      <c r="M90" s="140"/>
      <c r="N90" s="120"/>
      <c r="O90" s="152"/>
    </row>
    <row r="91" spans="1:15" ht="30" customHeight="1">
      <c r="A91" s="145" t="s">
        <v>122</v>
      </c>
      <c r="B91" s="174" t="s">
        <v>356</v>
      </c>
      <c r="C91" s="159" t="s">
        <v>124</v>
      </c>
      <c r="D91" s="177" t="s">
        <v>19</v>
      </c>
      <c r="F91" s="150"/>
      <c r="G91" s="153"/>
      <c r="H91" s="140"/>
      <c r="I91" s="140"/>
      <c r="J91" s="140"/>
      <c r="K91" s="140"/>
      <c r="L91" s="140"/>
      <c r="M91" s="140"/>
      <c r="N91" s="120"/>
      <c r="O91" s="152"/>
    </row>
    <row r="92" spans="1:11" ht="39" customHeight="1">
      <c r="A92" s="173">
        <v>94</v>
      </c>
      <c r="B92" s="96" t="s">
        <v>262</v>
      </c>
      <c r="C92" s="159"/>
      <c r="D92" s="178">
        <f>SUM(D93:D93)</f>
        <v>6.975</v>
      </c>
      <c r="E92" s="179">
        <f>SUM(D92)</f>
        <v>6.975</v>
      </c>
      <c r="F92" s="180"/>
      <c r="G92" s="140"/>
      <c r="H92" s="180"/>
      <c r="I92" s="140"/>
      <c r="J92" s="180"/>
      <c r="K92" s="151"/>
    </row>
    <row r="93" spans="1:11" ht="21" customHeight="1">
      <c r="A93" s="145" t="s">
        <v>122</v>
      </c>
      <c r="B93" s="174" t="s">
        <v>356</v>
      </c>
      <c r="C93" s="159" t="s">
        <v>124</v>
      </c>
      <c r="D93" s="178">
        <v>6.975</v>
      </c>
      <c r="E93" s="179"/>
      <c r="F93" s="180"/>
      <c r="G93" s="140"/>
      <c r="H93" s="180"/>
      <c r="I93" s="140"/>
      <c r="J93" s="180"/>
      <c r="K93" s="151"/>
    </row>
    <row r="94" spans="1:15" ht="34.5" customHeight="1">
      <c r="A94" s="145" t="s">
        <v>184</v>
      </c>
      <c r="B94" s="96" t="s">
        <v>94</v>
      </c>
      <c r="C94" s="174"/>
      <c r="D94" s="146">
        <f>SUM(D97+D95)</f>
        <v>35.74</v>
      </c>
      <c r="E94" s="149">
        <f>SUM(D94+'таб. 4.1'!G424)</f>
        <v>1078.585</v>
      </c>
      <c r="F94" s="150"/>
      <c r="G94" s="153"/>
      <c r="H94" s="140"/>
      <c r="I94" s="140"/>
      <c r="J94" s="140"/>
      <c r="K94" s="140"/>
      <c r="L94" s="140"/>
      <c r="M94" s="140"/>
      <c r="N94" s="120"/>
      <c r="O94" s="152"/>
    </row>
    <row r="95" spans="1:15" ht="26.25" customHeight="1">
      <c r="A95" s="134" t="s">
        <v>122</v>
      </c>
      <c r="B95" s="174" t="s">
        <v>356</v>
      </c>
      <c r="C95" s="106" t="s">
        <v>124</v>
      </c>
      <c r="D95" s="146">
        <f>8.765+6.975</f>
        <v>15.74</v>
      </c>
      <c r="F95" s="150"/>
      <c r="G95" s="153"/>
      <c r="H95" s="140"/>
      <c r="I95" s="140"/>
      <c r="J95" s="140"/>
      <c r="K95" s="140"/>
      <c r="L95" s="140"/>
      <c r="M95" s="140"/>
      <c r="N95" s="120"/>
      <c r="O95" s="152"/>
    </row>
    <row r="96" spans="1:15" ht="36.75" customHeight="1">
      <c r="A96" s="134"/>
      <c r="B96" s="147" t="s">
        <v>204</v>
      </c>
      <c r="C96" s="106"/>
      <c r="D96" s="177" t="s">
        <v>1</v>
      </c>
      <c r="F96" s="150"/>
      <c r="G96" s="153"/>
      <c r="H96" s="140"/>
      <c r="I96" s="140"/>
      <c r="J96" s="140"/>
      <c r="K96" s="140"/>
      <c r="L96" s="140"/>
      <c r="M96" s="140"/>
      <c r="N96" s="120"/>
      <c r="O96" s="152"/>
    </row>
    <row r="97" spans="1:15" ht="21.75" customHeight="1">
      <c r="A97" s="134" t="s">
        <v>159</v>
      </c>
      <c r="B97" s="174" t="s">
        <v>353</v>
      </c>
      <c r="C97" s="106" t="s">
        <v>124</v>
      </c>
      <c r="D97" s="177" t="s">
        <v>250</v>
      </c>
      <c r="F97" s="150"/>
      <c r="G97" s="153"/>
      <c r="H97" s="140"/>
      <c r="I97" s="140"/>
      <c r="J97" s="140"/>
      <c r="K97" s="140"/>
      <c r="L97" s="140"/>
      <c r="M97" s="140"/>
      <c r="N97" s="120"/>
      <c r="O97" s="152"/>
    </row>
    <row r="98" spans="1:15" ht="36.75" customHeight="1">
      <c r="A98" s="134"/>
      <c r="B98" s="147" t="s">
        <v>204</v>
      </c>
      <c r="C98" s="106"/>
      <c r="D98" s="177" t="s">
        <v>250</v>
      </c>
      <c r="F98" s="150"/>
      <c r="G98" s="153"/>
      <c r="H98" s="140"/>
      <c r="I98" s="140"/>
      <c r="J98" s="140"/>
      <c r="K98" s="140"/>
      <c r="L98" s="140"/>
      <c r="M98" s="140"/>
      <c r="N98" s="120"/>
      <c r="O98" s="152"/>
    </row>
    <row r="99" spans="1:15" ht="39.75" customHeight="1">
      <c r="A99" s="145" t="s">
        <v>203</v>
      </c>
      <c r="B99" s="96" t="s">
        <v>357</v>
      </c>
      <c r="C99" s="174"/>
      <c r="D99" s="146">
        <f>SUM(D100)</f>
        <v>153.363</v>
      </c>
      <c r="E99" s="149">
        <f>SUM(D99)</f>
        <v>153.363</v>
      </c>
      <c r="F99" s="150"/>
      <c r="G99" s="153"/>
      <c r="H99" s="140"/>
      <c r="I99" s="140"/>
      <c r="J99" s="140"/>
      <c r="K99" s="140"/>
      <c r="L99" s="140"/>
      <c r="M99" s="140"/>
      <c r="N99" s="120"/>
      <c r="O99" s="152"/>
    </row>
    <row r="100" spans="1:15" ht="22.5" customHeight="1">
      <c r="A100" s="133" t="s">
        <v>122</v>
      </c>
      <c r="B100" s="147" t="s">
        <v>356</v>
      </c>
      <c r="C100" s="164" t="s">
        <v>124</v>
      </c>
      <c r="D100" s="148">
        <f>146.388+6.975</f>
        <v>153.363</v>
      </c>
      <c r="F100" s="150"/>
      <c r="G100" s="153"/>
      <c r="H100" s="140"/>
      <c r="I100" s="140"/>
      <c r="J100" s="140"/>
      <c r="K100" s="140"/>
      <c r="L100" s="140"/>
      <c r="M100" s="140"/>
      <c r="N100" s="120"/>
      <c r="O100" s="152"/>
    </row>
    <row r="101" spans="1:15" ht="36.75" customHeight="1" thickBot="1">
      <c r="A101" s="110"/>
      <c r="B101" s="181" t="s">
        <v>204</v>
      </c>
      <c r="C101" s="109"/>
      <c r="D101" s="182">
        <v>146.388</v>
      </c>
      <c r="F101" s="150"/>
      <c r="G101" s="153"/>
      <c r="H101" s="140"/>
      <c r="I101" s="140"/>
      <c r="J101" s="140"/>
      <c r="K101" s="140"/>
      <c r="L101" s="140"/>
      <c r="M101" s="140"/>
      <c r="N101" s="120"/>
      <c r="O101" s="152"/>
    </row>
    <row r="102" ht="13.5" customHeight="1"/>
    <row r="103" spans="1:4" ht="24" customHeight="1">
      <c r="A103" s="135"/>
      <c r="B103" s="135"/>
      <c r="C103" s="135"/>
      <c r="D103" s="135"/>
    </row>
    <row r="104" spans="1:9" s="188" customFormat="1" ht="31.5" customHeight="1">
      <c r="A104" s="107" t="s">
        <v>161</v>
      </c>
      <c r="B104" s="107"/>
      <c r="C104" s="108" t="s">
        <v>162</v>
      </c>
      <c r="D104" s="108"/>
      <c r="E104" s="184"/>
      <c r="F104" s="185"/>
      <c r="G104" s="185"/>
      <c r="H104" s="185"/>
      <c r="I104" s="185"/>
    </row>
    <row r="105" ht="18.75" hidden="1"/>
  </sheetData>
  <sheetProtection/>
  <mergeCells count="49">
    <mergeCell ref="A26:A27"/>
    <mergeCell ref="A22:A23"/>
    <mergeCell ref="C22:C23"/>
    <mergeCell ref="A24:A25"/>
    <mergeCell ref="C24:C25"/>
    <mergeCell ref="A15:A16"/>
    <mergeCell ref="C97:C98"/>
    <mergeCell ref="C57:C58"/>
    <mergeCell ref="A43:A44"/>
    <mergeCell ref="C43:C44"/>
    <mergeCell ref="A53:A54"/>
    <mergeCell ref="C15:C16"/>
    <mergeCell ref="A35:A36"/>
    <mergeCell ref="C35:C36"/>
    <mergeCell ref="A45:A46"/>
    <mergeCell ref="A2:D2"/>
    <mergeCell ref="C4:C5"/>
    <mergeCell ref="D4:D5"/>
    <mergeCell ref="A13:A14"/>
    <mergeCell ref="C13:C14"/>
    <mergeCell ref="C41:C42"/>
    <mergeCell ref="A33:A34"/>
    <mergeCell ref="A104:B104"/>
    <mergeCell ref="C104:D104"/>
    <mergeCell ref="A62:A63"/>
    <mergeCell ref="C62:C63"/>
    <mergeCell ref="A65:A66"/>
    <mergeCell ref="C65:C66"/>
    <mergeCell ref="C100:C101"/>
    <mergeCell ref="A100:A101"/>
    <mergeCell ref="A97:A98"/>
    <mergeCell ref="A103:D103"/>
    <mergeCell ref="C53:C54"/>
    <mergeCell ref="A57:A58"/>
    <mergeCell ref="A88:A89"/>
    <mergeCell ref="C88:C89"/>
    <mergeCell ref="A95:A96"/>
    <mergeCell ref="C95:C96"/>
    <mergeCell ref="A60:A61"/>
    <mergeCell ref="C33:C34"/>
    <mergeCell ref="C60:C61"/>
    <mergeCell ref="A9:A10"/>
    <mergeCell ref="C9:C10"/>
    <mergeCell ref="C38:C39"/>
    <mergeCell ref="C45:C46"/>
    <mergeCell ref="A38:A39"/>
    <mergeCell ref="A47:A48"/>
    <mergeCell ref="C47:C48"/>
    <mergeCell ref="A41:A42"/>
  </mergeCells>
  <printOptions/>
  <pageMargins left="0.9055118110236221" right="0.31496062992125984" top="0.5511811023622047" bottom="0.35433070866141736" header="0.31496062992125984" footer="0.31496062992125984"/>
  <pageSetup firstPageNumber="30" useFirstPageNumber="1" horizontalDpi="600" verticalDpi="600" orientation="portrait" paperSize="9" scale="81"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dc:creator>
  <cp:keywords/>
  <dc:description/>
  <cp:lastModifiedBy>user</cp:lastModifiedBy>
  <cp:lastPrinted>2013-12-19T12:43:10Z</cp:lastPrinted>
  <dcterms:created xsi:type="dcterms:W3CDTF">2010-08-18T08:39:04Z</dcterms:created>
  <dcterms:modified xsi:type="dcterms:W3CDTF">2013-12-27T10:26:02Z</dcterms:modified>
  <cp:category/>
  <cp:version/>
  <cp:contentType/>
  <cp:contentStatus/>
</cp:coreProperties>
</file>