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90" windowWidth="15480" windowHeight="5925" tabRatio="573" activeTab="1"/>
  </bookViews>
  <sheets>
    <sheet name="таб. 4.1" sheetId="1" r:id="rId1"/>
    <sheet name="таб. 4.2" sheetId="2" r:id="rId2"/>
  </sheets>
  <definedNames>
    <definedName name="_xlnm.Print_Titles" localSheetId="0">'таб. 4.1'!$11:$11</definedName>
    <definedName name="_xlnm.Print_Titles" localSheetId="1">'таб. 4.2'!$6:$6</definedName>
    <definedName name="_xlnm.Print_Area" localSheetId="0">'таб. 4.1'!$A$1:$I$427</definedName>
  </definedNames>
  <calcPr fullCalcOnLoad="1"/>
</workbook>
</file>

<file path=xl/sharedStrings.xml><?xml version="1.0" encoding="utf-8"?>
<sst xmlns="http://schemas.openxmlformats.org/spreadsheetml/2006/main" count="1564" uniqueCount="583">
  <si>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</si>
  <si>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 xml:space="preserve">Виконавчий комітет міської ради </t>
  </si>
  <si>
    <t>33</t>
  </si>
  <si>
    <t xml:space="preserve">Управління реєстрації та єдиного реєстру Запорізької міської ради </t>
  </si>
  <si>
    <t>92</t>
  </si>
  <si>
    <t>38,907</t>
  </si>
  <si>
    <t>96</t>
  </si>
  <si>
    <t>в тому числі погашення заборгованості за минулі роки</t>
  </si>
  <si>
    <t>Реконструкція ринку Соцміста КП "Запоріжринок" вул. Рекордна, 2, м. Запоріжжя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</si>
  <si>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</si>
  <si>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</si>
  <si>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</si>
  <si>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Реконструкція, переобладнання та перепланування гуртожитку під житловий будинок  по вул. Нахімова, 6  - погашення заборгованості за минулі роки</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</si>
  <si>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за минулі роки</t>
  </si>
  <si>
    <t>Будівництво мереж зовнішнього освітлення вулиці Історична від буд. 1 до буд. 5 (проектні роботи) -  погашення заборгованості за минулі роки</t>
  </si>
  <si>
    <t>Будівництво мереж зовнішнього освітлення вулиці  Косарєва (проектні роботи) -  погашення заборгованості за минулі роки</t>
  </si>
  <si>
    <t>Будівництво дорожнього полотна провулку Ставропольського (проектні та будівельні роботи)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</si>
  <si>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 -  погашення заборгованості за минулі роки</t>
  </si>
  <si>
    <t>Реконструкція вул. Шамотної в межах від вул. Електричної до вул. Шламової (проектні та будівельні роботи) -  погашення заборгованості за минулі роки</t>
  </si>
  <si>
    <t>Реконструкція вул. Фінальної в межах від вул. Північне шосе до вул. Історичної (проектні та будівельні роботи) -  погашення заборгованості за минулі роки</t>
  </si>
  <si>
    <t>Реконструкція вул.Ніжинської в межах від вул. Олександра Невського до вул. Шмідта (проектні та будівельні роботи)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</si>
  <si>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за минулі роки</t>
  </si>
  <si>
    <t>Реконструкція парку   «Перемоги» в м. Запоріжжя (ІІ черга) -  погашення заборгованості за минулі роки</t>
  </si>
  <si>
    <t>Котельня по вул. Панфьорова, 146а - технічне переоснащення -  погашення заборгованості за минулі роки</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</si>
  <si>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</si>
  <si>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</si>
  <si>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</si>
  <si>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</si>
  <si>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</si>
  <si>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</si>
  <si>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вул.Ракетній, 38а </t>
  </si>
  <si>
    <t xml:space="preserve">Житловий будинок по бул. Вінтера,50 - реконструкція  </t>
  </si>
  <si>
    <t xml:space="preserve">Житловий будинок по вул. Ленській, 1б – реконструкція системи теплопостачання </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</si>
  <si>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</si>
  <si>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</si>
  <si>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</si>
  <si>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</si>
  <si>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64б</t>
  </si>
  <si>
    <t xml:space="preserve">Реконструкція контейнерного майданчика по пр. Леніна,133 </t>
  </si>
  <si>
    <t xml:space="preserve">Реконструкція контейнерного майданчика по бул. Шевченко, 42 </t>
  </si>
  <si>
    <t xml:space="preserve">Реконструкція контейнерного майданчика по вул. Тбіліська, 9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</si>
  <si>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</si>
  <si>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20,000</t>
  </si>
  <si>
    <t xml:space="preserve">Реконструкція системи диспетчеризації ліфтового господарства в Комунарському районі м. Запоріжжя </t>
  </si>
  <si>
    <t xml:space="preserve">120201 </t>
  </si>
  <si>
    <t>080500</t>
  </si>
  <si>
    <t>Загальні і спеціалізовані стоматологічні поліклініки</t>
  </si>
  <si>
    <t>Попередження створенню аварійного стану прибудови комунального підприємства Палац культури "Орбіта"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</si>
  <si>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</si>
  <si>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 xml:space="preserve">Реконструкція  приміщень комунальної установи  "Міська клінічна лікарня №2", м. Запоріжжя (проектні та будівельні роботи) </t>
  </si>
  <si>
    <t>Комунальна установа "Центральна лікарня Орджонікідзевського району" по бул. Шевченко, 25 м. Запоріжжя - реконструкція  - погашення заборгованості за минулі роки</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</si>
  <si>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</si>
  <si>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</si>
  <si>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</si>
  <si>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</si>
  <si>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</si>
  <si>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 xml:space="preserve">Комунальна установа «Запорізька міська багатопрофільна дитяча лікарня №5»  (відділення недоношених новонароджених)  - реконструкція </t>
  </si>
  <si>
    <t>в тому числі за адресами:</t>
  </si>
  <si>
    <t>вул. Перемоги, 65</t>
  </si>
  <si>
    <t>вул. Гагаріна, 8</t>
  </si>
  <si>
    <t>вул. Н.Містечка, 19 гол. фасад.</t>
  </si>
  <si>
    <t>вул. Запорізька, 6</t>
  </si>
  <si>
    <t>вул. Бочарова, 8</t>
  </si>
  <si>
    <t>вул.Косигіна, 9</t>
  </si>
  <si>
    <t>вул.Центральна, 5</t>
  </si>
  <si>
    <t>вул.Фільтрова, 25</t>
  </si>
  <si>
    <t>вул.Фундаментальна, 17</t>
  </si>
  <si>
    <t>вул.Магнітна, 2</t>
  </si>
  <si>
    <t>вул.Алмазна, 45</t>
  </si>
  <si>
    <t>вул.Історична, 73</t>
  </si>
  <si>
    <t>вул.Республіканська, 51</t>
  </si>
  <si>
    <t>пр.Ювілейний,23А</t>
  </si>
  <si>
    <t>вул.Рубана,24</t>
  </si>
  <si>
    <t>вул.Задніпровська,21</t>
  </si>
  <si>
    <t>вул.Задніпровська,27</t>
  </si>
  <si>
    <t>вул.Зестафонська,10-б</t>
  </si>
  <si>
    <t>вул.Дніпровські пороги,21</t>
  </si>
  <si>
    <t>вул.Зернова,30а</t>
  </si>
  <si>
    <t>вул.Кремлівська,81</t>
  </si>
  <si>
    <t xml:space="preserve">вул. Портова, буд. 2                                                                                                                                          </t>
  </si>
  <si>
    <t xml:space="preserve">вул.Чарівна,95   </t>
  </si>
  <si>
    <t>вул.Військбуд,84</t>
  </si>
  <si>
    <t>вул.Памірська,91</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</si>
  <si>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</si>
  <si>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</si>
  <si>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</si>
  <si>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</si>
  <si>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</si>
  <si>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</si>
  <si>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</si>
  <si>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</si>
  <si>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</si>
  <si>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</si>
  <si>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</si>
  <si>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40 років Радянської    України, 49</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</si>
  <si>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</si>
  <si>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</si>
  <si>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</si>
  <si>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</si>
  <si>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</si>
  <si>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</si>
  <si>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</si>
  <si>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вул.Ніжинській,66</t>
  </si>
  <si>
    <t>вул. Історична, 29</t>
  </si>
  <si>
    <t>вул.Глазунова,6</t>
  </si>
  <si>
    <t>вул.Історичній,34</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</si>
  <si>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</si>
  <si>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</si>
  <si>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</si>
  <si>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</si>
  <si>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</si>
  <si>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</si>
  <si>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</si>
  <si>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</si>
  <si>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</si>
  <si>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</si>
  <si>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</si>
  <si>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</si>
  <si>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Тополіна ТП-52</t>
  </si>
  <si>
    <t>Реконструкція мереж зовнішнього освітлення по вул. Володарського</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</si>
  <si>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</si>
  <si>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</si>
  <si>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</si>
  <si>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</si>
  <si>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</si>
  <si>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</si>
  <si>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Логінова</t>
  </si>
  <si>
    <t>Реконструкція мереж зовнішнього освітлення по вул. Метрополітенівській</t>
  </si>
  <si>
    <t>Реконструкція мереж зовнішнього освітлення по вул. Станіславського</t>
  </si>
  <si>
    <t>Реконструкція мереж зовнішнього освітлення по пров. Арбатський</t>
  </si>
  <si>
    <t>Реконструкція мереж зовнішнього освітлення по вул. Оборонна</t>
  </si>
  <si>
    <t xml:space="preserve"> </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</si>
  <si>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</si>
  <si>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Бородинська - погашення заборгованості за минулі роки</t>
  </si>
  <si>
    <t>Будівництво мереж зовнішнього освітлення по вул. Вогнетривка, 1-11 (проектні роботи та експертиза)</t>
  </si>
  <si>
    <t>Реконструкція мереж зовнішнього освітлення по вул. Новгородська (гуртожиток по вул. Новгородська)</t>
  </si>
  <si>
    <t>Реконструкція частини центральної пішохідної алеї по пр. Ювілейному в м. Запоріжжі  (проектні роботи, експертиза)</t>
  </si>
  <si>
    <t>Будівництво спортивного майданчику у парку  «Перемоги» (проектні та будівельні роботи)</t>
  </si>
  <si>
    <t xml:space="preserve">Благоустрій міста </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</si>
  <si>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</si>
  <si>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</si>
  <si>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</si>
  <si>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</si>
  <si>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</si>
  <si>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</si>
  <si>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</si>
  <si>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091209</t>
  </si>
  <si>
    <t>Фінансова підтримка громадських організацій інвалідів і ветеранів</t>
  </si>
  <si>
    <t>91</t>
  </si>
  <si>
    <t>Районна адміністрація Запорізької міської ради по Хортицькому району</t>
  </si>
  <si>
    <t>Реконструкція житлових будинків по пр. Леніна, 171, пр. Леніна, 171а, пр. Леніна, 173 (проектні роботи та експертиза)</t>
  </si>
  <si>
    <t>вул. Грязнова, 2</t>
  </si>
  <si>
    <t>вул. Козача, 47</t>
  </si>
  <si>
    <t>пр. Леніна, 148</t>
  </si>
  <si>
    <t>вул. Комунарівська, 64</t>
  </si>
  <si>
    <t>вул. Свердлова, 39</t>
  </si>
  <si>
    <t>пр. Леніна, 96</t>
  </si>
  <si>
    <t>вул. Історична, 37а</t>
  </si>
  <si>
    <t>вул. Молодіжна, 85</t>
  </si>
  <si>
    <t>вул. Чернівецька, 5</t>
  </si>
  <si>
    <t>вул. Ладозька, 14</t>
  </si>
  <si>
    <t>вул. Кремлівська, 17</t>
  </si>
  <si>
    <t>вул. Гребельна, 1</t>
  </si>
  <si>
    <t>пр. Леніна, 192</t>
  </si>
  <si>
    <t>вул. 14 Жовтня, 9</t>
  </si>
  <si>
    <t>пр. Ювілейний, 29</t>
  </si>
  <si>
    <t>пр. Ювілейний, 24/1</t>
  </si>
  <si>
    <t>вул. Задніпровська, 36</t>
  </si>
  <si>
    <t>вул. Лахтинська, 7</t>
  </si>
  <si>
    <t>пр. Моторобудівників, 3</t>
  </si>
  <si>
    <t>вул. Грязнова, 90а</t>
  </si>
  <si>
    <t>вул. Уральська, 27</t>
  </si>
  <si>
    <t>вул. Деповська, 85</t>
  </si>
  <si>
    <t>вул. Перемоги, 87а</t>
  </si>
  <si>
    <t>вул. Українська,8</t>
  </si>
  <si>
    <t>вул. Гоголя, 124</t>
  </si>
  <si>
    <t>вул. Горького, 55</t>
  </si>
  <si>
    <t>вул. Грязнова, 1а</t>
  </si>
  <si>
    <t>вул. Грязнова, 4</t>
  </si>
  <si>
    <t>вул. Історична, 20а</t>
  </si>
  <si>
    <t>вул. Зестафонська, 1</t>
  </si>
  <si>
    <t>вул. Ладозька, 32</t>
  </si>
  <si>
    <t>вул. Руставі, 3а</t>
  </si>
  <si>
    <t>бул. Гвардійський, 136</t>
  </si>
  <si>
    <t>вул. Запорізького козацтва,3</t>
  </si>
  <si>
    <t>бул. Будівельників, 19</t>
  </si>
  <si>
    <t>бул. Будівельників, 13</t>
  </si>
  <si>
    <t>вул. Військбуд, 84</t>
  </si>
  <si>
    <t>Реконструкція контейнерного майданчика по вул. Матросова, 25 - погашення заборгованості за минулі роки</t>
  </si>
  <si>
    <t>Реконструкція дороги по вул. Глісерній з автомобільною стоянкою в районі парку «Дубовий гай» м. Запоріжжя - погашення заборгованості за минулі роки</t>
  </si>
  <si>
    <t>Будівництво каналізаційної насосної станції та мереж електропостачання в районі Прибрежної магістралі - вул. Тбіліська (проектні та будівельні роботи)</t>
  </si>
  <si>
    <t>Концерн "Міські теплові мережі" (придбання автомобіль ЗАЗ Lanos - 2 одиниці, автомобіль Chevrolet Lacetti - 2 одиниці, автомобіль Chevrolet Epica - 1 одиниця)</t>
  </si>
  <si>
    <t>Реконструкція скверу  Театрального  в м. Запоріжжя (проектні та будівельні роботи)</t>
  </si>
  <si>
    <t>150118</t>
  </si>
  <si>
    <t>Житлове будівництво та придбання житла для окремих категорій населення</t>
  </si>
  <si>
    <t>171000</t>
  </si>
  <si>
    <t>Діяльність і послуги не віднесені до інших категорій</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</si>
  <si>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</si>
  <si>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Будівництво житлового будинку № 25 в кварталі  по вул.Алмазній у сел. Павло-Кічкас м. Запоріжжя (проектні та будівельні роботи)</t>
  </si>
  <si>
    <t>Будівництво житлового будинку № 10 в мікрорайоні 5 житлового масиву "Південний", м. Запоріжжя (пілотний проект)</t>
  </si>
  <si>
    <t xml:space="preserve">Реконструкція скверу ім. 60-річчя СРСР та прилеглої території в м. Запоріжжі (ескізний проект) </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</si>
  <si>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</si>
  <si>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</si>
  <si>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вул.Рекордної від вул. Портова до вул. Алюмінева (проектні роботи)</t>
  </si>
  <si>
    <t xml:space="preserve">Завершення будівництва по вул. Калнишевського, вул. Дорошенко, вул. Рубана (зовнішнє освітлення та дороги) </t>
  </si>
  <si>
    <t>Реконструкція мереж зовнішнього освітлення по бул. Шевченка (центральна алея від пр. Леніна до вул. Перемоги)</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</si>
  <si>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</si>
  <si>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</si>
  <si>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</si>
  <si>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</si>
  <si>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</si>
  <si>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Реконструкція вул.Рекордної, м. Запоріжжя (від вул. Заводська до вул.Алюмінева) (проектні та будівельні роботи)</t>
  </si>
  <si>
    <t>Реконструкція скидного зливового колектору в районі насосної станції № 29 в Хортицькому районі (проектні та будівельні роботи)</t>
  </si>
  <si>
    <t>76</t>
  </si>
  <si>
    <t>Департамент фінансової та бюджетної політики Запорізької міської ради</t>
  </si>
  <si>
    <t>250380</t>
  </si>
  <si>
    <t>Інші субвенції</t>
  </si>
  <si>
    <t>Реконструкція автошляхопроводу  по вул. Карпенка-Карого (проектні та будівельні роботи)</t>
  </si>
  <si>
    <t>Реконструкція шляхопроводу через р. Мокра Московка на автошляху Харків-Сімферополь (проектні та будівельні роботи)</t>
  </si>
  <si>
    <t xml:space="preserve">Ліквідація аварійного стану будівлі навчально-виховного комплексу № 19 по вул. Військбуд, 13 Шевченківського району - реконструкція </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</si>
  <si>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</si>
  <si>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контейнерного майданчика по вул. Патріотична,80</t>
  </si>
  <si>
    <t xml:space="preserve">Реконструкція контейнерного майданчика по вул. Кам"яногірська, 2 </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</si>
  <si>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</si>
  <si>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в тому числі за рахунок</t>
  </si>
  <si>
    <t>співфінансування за рахунок коштів бюджету міста</t>
  </si>
  <si>
    <t>Придбання житла для воїнів - інтернаціоналістів - погашення заборгованості за минулі роки</t>
  </si>
  <si>
    <t>Реконструкція будівлі дошкільного навчального закладу №285  по пр. 40-річчя Перемоги, 15а, Комунарського району (проектні та будівельні роботи)</t>
  </si>
  <si>
    <t>Результативність впроваджених заходів (в кількісних та якісних показниках)</t>
  </si>
  <si>
    <t>Затверджені видатки на 2013 рік</t>
  </si>
  <si>
    <t>Профінансовано станом на 01.01.2014</t>
  </si>
  <si>
    <t>Комунальне підприємство "Зеленбуд" (придбання бензопил "STIHL" 341 - 6 од., бензопил  "Мотор-Січ МС 370" - 2 од., газонокосарок "Мотор-Січ" - 9 од., мотоножиць "STIHL" - 4 од., мотокіс "STIHL"  - 15 од., високорізів "STIHL"  - 8 од.)</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</si>
  <si>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"Husqvarna"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бензопил "Мотор Січ МС - 370" - 49 од., верстатів для заточування ланцюгів пільних "Мотор Січ СЗ - 150" - 9 од., візків "Мотор Січ ТС - 1" - 40 од., мотоблоків "Мотор Січ МБ - 4,05" - 40 од., інструментів для роботи з трубами ПВХ - 11 од., перфораторів - 14 од., наборів інструментів слюсаря-сантехніка - 18 од., зварювальних інверторів - 14 од.)</t>
  </si>
  <si>
    <t>Фінансування не здійснювалось</t>
  </si>
  <si>
    <t>Виконано проектні роботи, отримано позитивний висновок держбудекспертизи № 08-0174/1-13 від 29.04.2013</t>
  </si>
  <si>
    <t>Виконано роботи з улаштування воріт, хвіртки 2 од.,  металевої огорожі 192м, освітлення спортивного залу 30 од., монтажу бортового поребріку 168 м.п, загальнобудівельні роботи 89м2</t>
  </si>
  <si>
    <t>Виконано проектні роботи, отримано позитивний висновок держбудекспертизи  № 08-1321-13 від 30.09.2013</t>
  </si>
  <si>
    <t>Виконано проектні роботи, отримано позитивний висновок держбудекспертизи № 08-02015-12  від 05.09.2012</t>
  </si>
  <si>
    <t>Виконано проектні роботи, отримано позитивний висновок держбудекспертизи  № 08-1790-13 від 23.12.2013</t>
  </si>
  <si>
    <t>Виконано проектні роботи, отримано позитивний висновок держбудекспертизи № 08-01310-12 від 14.08.2012</t>
  </si>
  <si>
    <t>Частково виконано проектні роботи.</t>
  </si>
  <si>
    <t>Виконано роботи з улаштування системи водопостачання 860 п.м</t>
  </si>
  <si>
    <t>Частково виконано проектно- вишукувальні роботи</t>
  </si>
  <si>
    <t>Виконано роботи з монтажу трубопроводів гарячого та холодного водопостачання 361 п.м, монтажу запірної арматури 205 од.</t>
  </si>
  <si>
    <t>Виконано проектні роботи, отримано позитивний висновок держбудекспертизи № 08-0282-13 від 07.06.2013.</t>
  </si>
  <si>
    <t>Виконано проектні роботи, отримано позитивний висновок держбудекспертизи № 08-0088/2-13 від 18.06.2013</t>
  </si>
  <si>
    <t>Виконано роботи з улаштування цегляної кладки будівлі -  20м3</t>
  </si>
  <si>
    <t>Виконано проектні роботи, отримано позитивний висновок держбудекспертизи № 08-01969 від 18.09.2012.</t>
  </si>
  <si>
    <t xml:space="preserve">Встановлено дитячий майданчик, прокладено 2379,23 м2 тротуарних доріжок, встановлено 18 світильників </t>
  </si>
  <si>
    <t>Виконано проектні роботи, отримано позитивний висновок держбудекспертизи № 08-1005-13КД від 15.08.2013</t>
  </si>
  <si>
    <t>Виконано проектні роботи, отримано позитивний висновок держбудекспертизи  № 08-1297/1-13 від 10.10.2013</t>
  </si>
  <si>
    <t>Виконано проектні роботи, отримано позитивний висновок держбудекспертизи № 08-0152-13 від 11.04.2013</t>
  </si>
  <si>
    <t xml:space="preserve">Будівництво водогону Д=315 мм по вул.Сапожнікова, м. Запоріжжя </t>
  </si>
  <si>
    <t>Реконструкція інженерних мереж на перехресті пр. Леніна та пр.Металургів м. Запоріжжя (проектні та будівельні роботи)</t>
  </si>
  <si>
    <t>Реконструкція вул. Лермонтова (від вул.Правди до вул.Заводської) м. Запоріжжя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</si>
  <si>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 Запоріжжі (проектні та будівельні роботи)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</si>
  <si>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 Запоріжжі (проектні та будівельні роботи)</t>
  </si>
  <si>
    <t>Інженерне забезпечення (електропостачання) об'єкту "Будівництво та облаштування притулку для утримання безпритульних тварин м. Запоріжжя"</t>
  </si>
  <si>
    <t>Реконструкція площі ім. Леніна в м. Запоріжжя (проектно-вишукувальні роботи)</t>
  </si>
  <si>
    <t>Комунальне підприємство "Водоканал" (придбання екскаваторів-навантажувачів з комплектами навісного обладнання - 2 од.)</t>
  </si>
  <si>
    <t>Водогін Д=800 мм в балці "Панська" у районі кладовища "Бугайова", м. Запоріжжя - реконструкція</t>
  </si>
  <si>
    <r>
      <t>Газифікація житлових будинків по вул. Воєнбуд м. Запоріжжя</t>
    </r>
  </si>
  <si>
    <t>Газифікація житлових будинків по вул. Шушенська в Ленінському районі м. Запоріжжя (проектні та будівельні роботи)</t>
  </si>
  <si>
    <t>Виконано проектні роботи. Видані технічні умови на приєднання електричної установки до електромереж ВАТ "ЗОЕ"</t>
  </si>
  <si>
    <t>Реконструкція зовнішнього освітлення в районі вул. Правда - вул. Чубаря, м. Запоріжжя (проектні та будівельні роботи)  -  погашення заборгованості за минулі роки</t>
  </si>
  <si>
    <t>Реконструкція  центральної алеї парку "Дубовий гай" в м. Запоріжжя</t>
  </si>
  <si>
    <t>Будівництво поза квартальних інженерних мереж та споруд по вул. Алмазній  (проектні роботи)</t>
  </si>
  <si>
    <t xml:space="preserve">Газифікація житлових будинків № 7, 9, 10, 11, 12, 14 по вул. Пшеничній сел. Будівельників Шевченківського району м. Запоріжжя </t>
  </si>
  <si>
    <t>Виконано проектні роботи, отримано позитивний висновок держбудекспертизи № 08-1234 від 30.10.2013</t>
  </si>
  <si>
    <t>Виконано проектні роботи, отримано позитивний висновок держбудекспертизи № 08-02460/2-12 від 25.03.2013</t>
  </si>
  <si>
    <t>Будівля навчального комплексу "Запорізька Січ" о. Хортиця, м. Запоріжжя - реконструкція</t>
  </si>
  <si>
    <t>Виконано роботи з улаштування віконних та дверних отворів - 94 м2, відкосів -  54м2, окраска стін фасаду - 130м2</t>
  </si>
  <si>
    <t xml:space="preserve">Реконструкція будівлі дошкільного навчального закладу № 220 по вул. Давидова, 11 Ленінського району м. 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</si>
  <si>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 Запоріжжя (проектні та будівельні роботи)</t>
  </si>
  <si>
    <t>Реконструкція Палацу спорту "Юність" в м. Запоріжжя (проектні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</si>
  <si>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</si>
  <si>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</si>
  <si>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 xml:space="preserve">Реконструкція будівель та інженерних мереж комунальної установи "Міська клінічна лікарня екстреної та швидкої медичної допомоги м. Запоріжжя" по вул.Перемоги, 80  м. Запоріжжя (проектні роботи та експертиза) </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</si>
  <si>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</si>
  <si>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Виконано роботи з демонтажу: мереж водопроводу, каналізації 120м, теплопостачання 56м, електропостачання 67м. Здійснено роботи з  улаштування будівлі 184,37м2, мереж водопроводу, каналізації 128м, теплопостачання 63м, благоустрій території 300м2</t>
  </si>
  <si>
    <t>Будівля поліклініки комунальної установи «Запорізька міська багатопрофільна клінічна лікарня №9», м. Запоріжжя - реконструкція  (проектні та будівельні роботи)</t>
  </si>
  <si>
    <t>Реконструкція відділення мікрохірургії ока комунальної установи "Запорізька міська багатопрофільна клінічна лікарня №9 м. Запоріжжя"</t>
  </si>
  <si>
    <t>Термомодернізація будівлі комунальної установи "Центральна поліклініка Жовтневого району" по пр. Леніна, 88, м. 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</si>
  <si>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 Запоріжжя</t>
  </si>
  <si>
    <t>Виконано роботи з демонтажу панелей перекриття 35 од., демонтажу металевих балок 6,711т. Здійснено утеплення фасаду 253,3м2</t>
  </si>
  <si>
    <t>Виконано роботи з улаштування двостороннього диспетчерського зв’язку ліфтів житлових будинків - 121 ліфт</t>
  </si>
  <si>
    <t>Виконано роботи з улаштування системи теплопостачання 1250п.м, встановлено котли індивідуального опалення та гарячого водопостачання 79 од. Здійснено загальнобудівельні оздоблювальні роботи 390м2.</t>
  </si>
  <si>
    <t>Будівництво теплової мережі до 3-ої секції житлового будинку по вул. Дзержинського, 114 (проектні та будівельні роботи)</t>
  </si>
  <si>
    <t>Будівництво дитячого будинку сімейного типу в сел. Тепличне по вул. Центральній між будинками №№ 7а та 7 в м. Запоріжжі (проектні роботи, експертиза)</t>
  </si>
  <si>
    <t>пр. Леніна, 143</t>
  </si>
  <si>
    <t>вул. Авраменко, 7</t>
  </si>
  <si>
    <t>Будівництво майданчику для силової гімнастики з благоустроєм в районі будинку №15 по вул. Південноукраїнської в м. Запоріжжі</t>
  </si>
  <si>
    <t>Попередження створення аварійної ситуації в районі незавершеного будівництва житлового будинку по вул. Горького, 167 в м. Запоріжжя</t>
  </si>
  <si>
    <t>Будівництво малих архітектурних форм по пр. Леніна, 204 з влаштуванням підсвітлення в  м. Запоріжжя</t>
  </si>
  <si>
    <t>Будівництво мереж зовнішнього освітлення І мосту ім. Преображенського (новий Дніпро) у м. Запоріжжі (проектні та будівельні роботи)</t>
  </si>
  <si>
    <t>Будівництво мереж зовнішнього освітлення ІІ мосту ім. Преображенського (старий Дніпро) у м. Запоріжжі (проектні та будівельні роботи)</t>
  </si>
  <si>
    <t>Будівництво мереж зовнішнього освітлення  пров. Кедровий (проектні роботи) -  погашення заборгованості за минулі роки</t>
  </si>
  <si>
    <t>Будівництво мереж зовнішнього освітлення пров. Якутський (проектні роботи) -  погашення заборгованості за минулі роки</t>
  </si>
  <si>
    <t>Реконструкція мереж зовнішнього освітлення дитячого майданчика по вул. Дорошенка, 6 у м. Запоріжжя  (проектні роботи, експертиза)</t>
  </si>
  <si>
    <t>Ліквідація аварійного стану автодороги, зливової та побутової каналізації по вул. М.Судця, м. Запоріжжя</t>
  </si>
  <si>
    <t>Виконано роботи з улаштування нижнього шару дороги 1758,5м2</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</si>
  <si>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 Запоріжжя (проектні роботи, експертиза)</t>
  </si>
  <si>
    <t>Реконструкція вул.Медичної в межах від вул. Айвазовського до вул. Панаса Мирного (проектні та будівельні роботи) -  погашення заборгованості за минулі роки</t>
  </si>
  <si>
    <t>Комунальне підприємство "Запоріжміськсвітло" (придбання комп'ютерної техніки та автомобілів Vida SF 69YO-20 - 23 одиниці)</t>
  </si>
  <si>
    <t>Реконструкція скверу біля пам'ятника Ф.Е. Дзержинського, в м. Запоріжжі</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</si>
  <si>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</si>
  <si>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 xml:space="preserve">Житловий будинок по вул. Нагнибіди,15 – реконструкція системи тепло -, водопостачання </t>
  </si>
  <si>
    <t>вул. Дніпропетровське шосе, 54</t>
  </si>
  <si>
    <t>вул. Орджонікідзе, 22</t>
  </si>
  <si>
    <t>Додаток 4</t>
  </si>
  <si>
    <t>Таблиця 4.1</t>
  </si>
  <si>
    <t>Таблиця 4.2</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</si>
  <si>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за минулі роки</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</si>
  <si>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</si>
  <si>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Виконано роботи з монтажу електрокабелю 1288 м. Здійснені роботи з укладки дорожнього основанія (покриття зі шлаку 4205 м2, асфальтове покриття 2736 м2, тротуарна плитка  ФЕМ 600м2, тротуарний асфальт 600м2)</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</si>
  <si>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</si>
  <si>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Придбано майнових прав на 701,46 кв. м. житла. Середня вартість 1 кв.м.житла складає 6369,7 грн.</t>
  </si>
  <si>
    <t>Встановлено дитячий майданчик.</t>
  </si>
  <si>
    <t>Частково оплачено вартість підмітально-прибиральної  машини Brod Sweeden AB Scandia 2 - 1 од.</t>
  </si>
  <si>
    <t>Погашено заборгованість за виконані роботи у попередніх роках (облаштування термофасаду, монтаж підвісної стелі).</t>
  </si>
  <si>
    <t>Погашено заборгованість за виконані роботи у попередніх роках (виконувались проектні роботи, експертиза).</t>
  </si>
  <si>
    <t xml:space="preserve">Погашено заборгованість за виконані роботи у попередніх роках (виконувались проектні роботи, експертиза). </t>
  </si>
  <si>
    <t>Погашено заборгованість за виконані роботи у попередніх роках (виконано демонтажні роботи, влаштовано 50м2 перетинок, пофарбовано 50м2 вікон).</t>
  </si>
  <si>
    <t xml:space="preserve">Погашено заборгованість за виконані роботи у попередніх роках (виконано роботи з перепланування приміщень). </t>
  </si>
  <si>
    <t xml:space="preserve">Погашено заборгованість за виконані роботи у попередніх роках (завершено роботи з реконструкції будівлі  стаціонару). </t>
  </si>
  <si>
    <t>Погашено заборгованість за виконані роботи у попередніх роках (виконано герметизацію швів - 5018м/п).</t>
  </si>
  <si>
    <t>Погашено заборгованість за виконані роботи у попередніх роках (виконано заміну трубопроводу -358,34м/п, заміна ел.мережі -342 м/п).</t>
  </si>
  <si>
    <t>Погашено заборгованість за виконані роботи у попередніх роках (виконувались проектні роботи).</t>
  </si>
  <si>
    <t>Погашено заборгованість за виконані роботи у попередніх роках (виконано винесення лінії ВЛ-0,38кВт).</t>
  </si>
  <si>
    <t>Погашено заборгованість за виконані роботи у попередніх роках. Введено в експлуатацію: автодорога - 13875,58м2, трамвайна колія - 518м, контактна мережа трамваю та тролейбусу - 348,5м, встановлено 130 світильників.</t>
  </si>
  <si>
    <t>Погашено заборгованість за виконані роботи у попередніх роках. Встановлено панораму Бойової Слави, обладнано тротуарні доріжки, влаштовано майданчик для скейт-борду, обладнано зони відпочинку.</t>
  </si>
  <si>
    <t>Погашено заборгованість за виконані роботи у попередніх роках. Змонтовано  обладнання водопідготовки та вузол обліку газу.</t>
  </si>
  <si>
    <t>Погашено заборгованість за виконані роботи у попередніх роках (виконувались проектні роботи та експертиза).</t>
  </si>
  <si>
    <t>Погашено заборгованість за виконані роботи у попередніх роках. Влаштовано 318м2 тротуарної плитки, 160м поребрику, 2 опори освітлення, 1700м2 газону та висаджено 525 кущів та квітів.</t>
  </si>
  <si>
    <t>Погашено заборгованість за виконані роботи у попередніх роках. Демонтовано 25м3 з/б фундаментів, влаштовано 98м2 тротуару з плитки.</t>
  </si>
  <si>
    <t xml:space="preserve">Погашено заборгованість за виконані роботи у попередніх роках. Змонтовано 30 опор зовнішнього освітлення із світильниками. </t>
  </si>
  <si>
    <t>Виконано роботи з прокладання трубопроводів теплопостачання 69м. Встановлено елеваторний вузол 1 од.</t>
  </si>
  <si>
    <t>вул. Гудименко,9</t>
  </si>
  <si>
    <t>Встановлено спортивний майданчик</t>
  </si>
  <si>
    <t>Погашено заборгованість за виконані роботи у попередніх роках (прокладено самонесучий провід).</t>
  </si>
  <si>
    <t>до Звіту щодо виконання Програми економічного і соціального розвитку                                                                                   м. Запоріжжя за 2013 рік</t>
  </si>
  <si>
    <t>Виконано роботи з улаштування покрівлі - 2650 м2, монтажу системи теплопостачання -  2385 п.м,  холодного та гарячого водопостачання -  1303 п.м, благоустрою території 320 м2</t>
  </si>
  <si>
    <t>Частково виконані проектно-вишукувальні роботи</t>
  </si>
  <si>
    <t xml:space="preserve">Виконано  роботи з розбирання покрівлі - 611м2, розбирання цегляних стін - 13,34м3, дерев'яних вікон - 151,19м2, трубопроводів водопостачання, каналізації 1724м. Здійснено  улаштування покрівлі 501м2, мережі водопостачання, каналізації 112м, мереж теплопостачання 64м. </t>
  </si>
  <si>
    <t>Виконано проектні роботи</t>
  </si>
  <si>
    <t>Виконано роботи з улаштування полів - 148 кв.м., оздоблювання стін - 600 кв.м., встановлення стінових металевих отворів - 7,6 тн., монтажу вікон - 104 кв.м. та покрівлі - 849 кв.м.</t>
  </si>
  <si>
    <t>Виконано роботи з улаштування майданчику зі шлакової суміші 10,26м2. Встановлено металеву огорожу 3,4 п.м</t>
  </si>
  <si>
    <t>Виконано роботи з  улаштування майданчику зі шлакової суміші 7,92м. Встановлено металеву огорожу 2,6 п.м</t>
  </si>
  <si>
    <t xml:space="preserve">Виконано роботи з  улаштування майданчику зі шлакової суміші 7,92м. Встановлено металеву огорожу 2,6 п.м </t>
  </si>
  <si>
    <t xml:space="preserve">Виконано роботи з  улаштування майданчику   зі шлакової суміші 19,58м2. Встановлено металеву огорожу 6,2 п.м </t>
  </si>
  <si>
    <t>Виконано роботи з  улаштування майданчику  зі шлакової суміші 14,3м2. Встановлено металеву огорожу 5,6п.м</t>
  </si>
  <si>
    <t>Виконано роботи з улаштування майданчику зі шлакової суміші 14,3м2. Встановлено металеву огорожу 5,6 п.м</t>
  </si>
  <si>
    <t>Виконано роботи з  улаштування тротуару 103 м2, покрівлі 1360м2, водостічних труб 93 п.м., оздоблювання стін 620 м2.</t>
  </si>
  <si>
    <t>Розроблено проектно-кошторисну документацію</t>
  </si>
  <si>
    <t xml:space="preserve">Розроблено проектно-кошторисну документацію. </t>
  </si>
  <si>
    <t>Виконано роботи з улаштування основи зі шлаку 453 м2,  тренажерів 10 од., баскетбольної та волейбольної площадки  2 од., тенісних столів 2 од., лави 27 од., урни 12 од.</t>
  </si>
  <si>
    <t>Виконано роботи  з монтажу  труби Д=400 -  208 п.м, камери 3 од., колодязя 2 од.</t>
  </si>
  <si>
    <t>Розроблено проектно-кошторисну документацію.</t>
  </si>
  <si>
    <t>Погашено заборгованість за виконані роботи у попередніх роках (проводилась експертиза). Отримано позитивний висновок держбудекспертизи  № 08-0150/2-13КД від 15.11.2013</t>
  </si>
  <si>
    <t>Виконано роботи з монтажу теплової мережі з попередньо ізольованих труб  - 180 п.м, земляні роботи - 460 м3. Здійснено демонтаж обладнання котельної.</t>
  </si>
  <si>
    <t>Виконано проектні роботи, отримано позитивний висновок держбудекспертизи № 08-1904-12 від 21.09.2012</t>
  </si>
  <si>
    <t>Проектна документація розроблена, надана на експертизу.</t>
  </si>
  <si>
    <t>2,896</t>
  </si>
  <si>
    <t>Встановлено системи відеоспостережження у місцях масового перебування громадян: вузол відеоспостереження - 1 шт., сервер відеозахвату - 1 шт., стаціонарні відеокамери - 12 шт.</t>
  </si>
  <si>
    <t>Придбано комп'ютер (процесор, модуль, вінчестер, материнська плата, корпус, монітор), програмне забезпечення.</t>
  </si>
  <si>
    <t>Придбано автопідйомник.</t>
  </si>
  <si>
    <t>Погашено заборгованість з 2012 рік, а саме: капітальний ремонт малої зали - 74,449, крісло для проведення нарад -25 шт., стіл для президіуму - 1 шт., стіл для засідань - 9 шт., стіл оператора - 1 шт., трибуна - 1 шт., факс-1 шт., БФП -2 шт.</t>
  </si>
  <si>
    <t>Придбано комп'ютер - 4 шт., проведено капітальний ремонт віконних отворів, встановлено віконні отвори - 16 шт.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</si>
  <si>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</si>
  <si>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Придбано 6 один. комп'ютерної техніки.</t>
  </si>
  <si>
    <t>Погашення заборгованості за минулі роки</t>
  </si>
  <si>
    <t>Придбано системні блоки - 2 од., комп'ютери - 3 од.</t>
  </si>
  <si>
    <t>Придбано медичне обладнання для КУ„Запорізька міська стоматологічна поліклініка №7”.</t>
  </si>
  <si>
    <t>Придбано музичні інструменти 2 шт. радіомікрофон 1 шт. Частково проведено капітальний ремонт приміщення ДМШ № 8. Проведена експертиза проектно-кошторисної документації на капремонт ДМШ №8  та  ДШМ № 4. Погашена кредиторська заборгованість 2012 року (придбано комп’ютери 1шт., музичні інструменти 13 шт., капітальний ремонт (заміна вікон - 36 шт.) ДМШ № 8 , проведена експертиза проектно-кошторисної документації ДХШ.</t>
  </si>
  <si>
    <t>Здійснено капітальний ремонт двох ОСББ.</t>
  </si>
  <si>
    <t>Погашено заборгованість за виконані роботи у попередніх роках (виконано проектні роботи).</t>
  </si>
  <si>
    <t xml:space="preserve">Погашено заборгованість за виконані роботи у попередніх роках (виконано  проектні роботи). </t>
  </si>
  <si>
    <t>Погашено заборгованість за виконані роботи у попередніх роках (прокладено 1,785 км. самонесучого проводу, встановлено 49 світильників).</t>
  </si>
  <si>
    <t>Погашено заборгованість за виконані роботи у попередніх роках (реконструкція оперблоку з улаштуванням допоміжних приміщень та сестринських площею 387,2м2, змонтовано 39,48м2 дверей та 61,02м2 вікон).</t>
  </si>
  <si>
    <t>Виготовлено санітарні паспорти для радіотехнічних засобів  посадки по КП "Міжнародний аеропорт Запоріжжя".</t>
  </si>
  <si>
    <t xml:space="preserve">Перелік першочергових об'єктів будівництва, реконструкції та ліквідації аварійного стану об'єктів, видатки на які у 2013 році  проводилися за рахунок коштів бюджету розвитку міста </t>
  </si>
  <si>
    <t>Перелік капітальних видатків, які у 2013 році  проводилися за рахунок коштів бюджету розвитку  міста</t>
  </si>
  <si>
    <t>Погашено заборгованість, яка виникла у попередніх роках  за придбання житла для воїнів - інтернаціоналістів</t>
  </si>
  <si>
    <t xml:space="preserve">Виконано проектні роботи, проведено експертизу проекту. </t>
  </si>
  <si>
    <t>Погашено заборгованість за виконані роботи у попередніх роках (коригування проектно-кошторисної документації).</t>
  </si>
  <si>
    <t>Виконано роботи з улаштування покрівлі 1235 м2, утеплення зовнішніх стін 715 м2, систем водопостачання 147 п.м, зовнішньої каналізації 133,2 п.м. Здійснено монтаж металопластикових вікон 283 м2, дверей 70 м2.</t>
  </si>
  <si>
    <t>Виконано роботи з демонтажу та монтажу металопластикових вікон 52 од. Здійснено улаштування чердачного перекриття одноповерхового блоку 159м2</t>
  </si>
  <si>
    <t>Частково виконані роботи з попередження створення аварійного стану прибудови</t>
  </si>
  <si>
    <t>Виконано проектно-вишукувальні роботи</t>
  </si>
  <si>
    <t>Виконано роботи з улаштування малих архітектурних форм (світильники 35 од.), влаштування освітлення (20 од. ламп)</t>
  </si>
  <si>
    <t>Погашено заборгованість за виконані проектні роботи</t>
  </si>
  <si>
    <t>Погашено заборгованість за виконані роботи у попередніх роках (виконано проектно-вишукувальні роботи).</t>
  </si>
  <si>
    <t>Погашено заборгованість за минулі роки з придбання вантажно-пасажирського фургону типу ГАЗ 2705 "Газель" - 3 од., вантажного автомобілю для перевезення сміття типу ГАЗ 3309 - 6 од.</t>
  </si>
  <si>
    <t xml:space="preserve">Погашено заборгованість за минулі роки з придбання вантажопасажирського автомобілю "Соболь" - 10 од., трактору з навісним обладнанням для прибирання території - 9 од., спецобладнання для усунення аварійних ситуацій - 10 од., комплект вимірювальних приладів для лабораторії діагностики деформацій житлових будинків - 1 од., навісне обладнання для прибирання снігу </t>
  </si>
  <si>
    <t>Виконано капітальний ремонт понтону ПП -549: заміна листів зовнішньої  обшивки – 145 м2, заміна обшивки борта -239 кг., заміна настилу  палуби – 24 м2</t>
  </si>
  <si>
    <t>Погашено заборгованість за виконані роботи у попередніх роках (проводилась експертиза). Розпорядженням голови ОДА від 17.12.2013  № 601 затверджено проектно-кошторисну документацію.</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</si>
  <si>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 навісне обладнання для прибирання снігу)</t>
  </si>
  <si>
    <t>Внески у статутні капітали комунальних підприємств міста, в т.ч.:</t>
  </si>
  <si>
    <t>Придбано комплект медалей "Почесний громадянин м.Запоріжжя"- 10 шт., копіювальний апарат -1 шт., мережевий дисковий масив - 2 шт., спліт-система -6 шт., компресорні блоки кондиціонерів великої зали - 4 шт.</t>
  </si>
  <si>
    <t>Придбано комп'ютерну техніку - 7 од., шафу пекарську - 1 од., пральні машини - 5 од., електроплити - 21 од., холодильник - 5 од., меблі дитячі - 63 од., телевізор - 3 од., м'ясорубки - 2 од., ноутбук - 1 од. Погашено заборгованість за минулі роки за: виконані сантехнічні роботи, ремонт інженерних мереж ДНЗ №167; проектні робот щодо будівлі по вул.Українська 59 під дошкільний навчальний заклад; ремонт покрівлі, інженерних мереж, загальнобудівельних робіт ДНЗ №90 ; загальнобудівельні роботи, ремонт інженерних мереж ДНЗ №145).</t>
  </si>
  <si>
    <t>Придбано комп'ютерну техніку - 39 од., шафи пекарські - 3 од., інтерактивна система - 1 од., електроплити - 11 од., холодильник - 1 од., тістоміс - 1 од., телевізор - 16 од., м'ясорубки - 2 од., ноутбук - 5 од. Виконано ремонт актового залу гімназії № 47; сантехнічні роботи, ремонт покрівлі, інженерних мереж,благоустрій території ЗНЗ № 76; капітальний ремонт будівлі, ремонт покрівлі ЗНЗ №109 .</t>
  </si>
  <si>
    <t xml:space="preserve">Придбано 4 од. кондиціонерів для районних відділів освіти </t>
  </si>
  <si>
    <t xml:space="preserve">Придбано: вузол трубки для томографа - 1 од., бронхофіброскоп - 1 од., обладнання для харчоблоку - 1 компл., дизель-генератор - 3 од., ліфт - 1 од. Погашено заборгованість з минулі роки з придбання операційного столу, комп'ютерної техніки, пральної машини, автоклаву, ліжка функціонального, обладнання для ремонту системи вмикання аварійного живлення. Виконано капітальний ремонт покрівлі терапевтичного та кардіологічного корпусів КУ  «Запорізька міська багатопрофільна клінічна лікарня №9». </t>
  </si>
  <si>
    <t>Придбано: дизель-генератор -1 од., електрокоагулятор - 1 од., гістерорезестоскоп - 1 од., блок принтера для маммограф - 1 од. Погашено заборгованість за минулі роки з придбання спалювачу голок, фетального монітору.</t>
  </si>
  <si>
    <t xml:space="preserve">Придбано: флюорограф - 2 од.,  сумки-укладки лікаря. Погашено заборгованість за минулі роки з придбання рентген-апарат, ноутбуку, електрокардіографу. Виконано капітальний ремонт зовнішніх теплових мереж КУ "Центральна поліклініка Жовтневого району". </t>
  </si>
  <si>
    <t>Погашено заборгованість за вконані проектні роботи, отримано позитивний висновок держбудекспертизи  № 08-02240/2-12  від 11.03.2013</t>
  </si>
  <si>
    <t>Виготовлено проектну документацію на встановлення вузлу обліку теплової енергії за адресами вул.Рекордна,9а та вул.Парамонова,11а. Виготовлено проектну документацію на проведення капремонту інженерних мереж та погашено  заборгованість  за виконані роботи з капремонту покрівлі по вул.Парамонова,11</t>
  </si>
  <si>
    <t>Погашено заборгованість за минулі роки з придбання предметів довгострокового користування</t>
  </si>
  <si>
    <t>Проведено капітальний ремонт житла для 4 -ох інвалідів Великої Вітчизняної війни. Загальна площа проведеного капітального ремонту - 74,46 кв.м.</t>
  </si>
  <si>
    <t xml:space="preserve">Придбано комп'ютерів -21шт.,  кондиціонери - 14шт. Погашено  заборгованість за минулі торги з придбання комп'ютерної техніки.  </t>
  </si>
  <si>
    <t>Придбано театральні костюми 9 шт. Проведено капітальний ремонт приміщень театру «Ві».</t>
  </si>
  <si>
    <t xml:space="preserve">Придбано м'які куточки 6 шт., стелажі  4 шт., диван 1 шт., комплект меблів 1 шт. Погашено заборгованість за минулі роки з поповнення бібліотечного фонду - 12468 од., придбано комп'ютери 7шт., ноутбуки 4 шт., виконано капітальні ремонти (заміна вікон - 46  шт.), виготовлено проекти на капремонт приміщень бібліотек ім.Маяковського, Великого, Евріка). </t>
  </si>
  <si>
    <t>Придбано світлові прожектори  3 шт., меблі 4 комплекти, радіомікрофон 1 шт., дзеркала 2 комплекти. Погашено заборгованість за минулі роки з придбання запчастини для кіноапарату 1 комплект, костюми 48  шт., виготовлено проектну документацію з капремонт приміщень КЗ ПК "Заводський"</t>
  </si>
  <si>
    <t>Придбано кондиціонер 1 шт., комп’ютери 2 шт.,  звукопідсилювач 1 шт.,  фотокамеру  1 шт.,  на акустичну апаратуру 1 комплект. Проведено капітальний ремонт приміщення (заміна вікон - 7 шт.)  ЗМНТКОР "Народний дім"</t>
  </si>
  <si>
    <t>Здійснено вибірковий капремонт 9 будинків комунальної власності,  відремонтовано 15,182 тис.м.кв. покрівель на 26 житлових будинках, проведено роботи з модернізації, заміни та капітальному ремонту 54 ліфтів, проведено експертизу 1895 од. ліфтів, проведено заміну інженерних мереж на 15-ти об’єктах (4538,0 п.м.), проведено капітальний ремонт 33 буд. ЖБК, здійснено капремонт 3 гуртожитків, проведено капремонт житлового будинку по вул. 40 років Радянської України, 78 для передачі на баланс створеному ОСББ.</t>
  </si>
  <si>
    <t xml:space="preserve">Виготовлено проектно-кошторисну документацію з капітального ремонту доріг. Здійснено роботи з капітального ремонту території прилеглої до будівлі обласної філармонії </t>
  </si>
  <si>
    <t>Частково виконано будівельно-монтажні роботи на 2 об'єктах: вул. Сталеварів, 19 та вул. Артема 50. Виконано проектно-вишукувальні роботи на 2 об'єктах: вул. Чекістів, 24 та вул. Анрі Барбюса, 9а.</t>
  </si>
  <si>
    <t>Придбано  9 комп'ютерів, 3 принтера та 3 кондиціонера.</t>
  </si>
  <si>
    <t>Придбано плавзасоби (компенсатор, балон, консоль, мотор, човен).</t>
  </si>
  <si>
    <t>Надано субвенцію обласному бюджету для влаштування архітектурно-декоративного освітлення будинку КЗ "Обласний перинатальний центр Запорізької обласної ради" по вул.Південноукраїнська,17а. Надано субвенцію обласному бюджету на капітальний ремонт систем водопостачання та водовідведення.</t>
  </si>
  <si>
    <t>Придбано автомобіль ЗАЗ "Сенс" для оперативного виконання завдань покладених на районну адміністрацію у сфері житлово-комунального господарства.</t>
  </si>
  <si>
    <t>Частково проведено капітальний ремонт тіньового навісу з лавами на зупинці громадського транспорту по вул. Рубана</t>
  </si>
  <si>
    <t>Погашено заборгованість за минули роки з придбання комп'ютерної техніки - 2 од.</t>
  </si>
  <si>
    <t>Погашено заборгованості за минулі роки з придбання комп'ютерного блоку</t>
  </si>
  <si>
    <t>Погашено заборгованості за минулі роки</t>
  </si>
  <si>
    <t>Погашено заборгованість за минулі роки з придбання комп'ютерної техніки</t>
  </si>
  <si>
    <t>Придбано татамі для ДЮСШ "Спас"</t>
  </si>
  <si>
    <t>Придбано меблі для вечірньої школи №31, інтердошка, ноутбук для вечірньої школи № 12</t>
  </si>
  <si>
    <t>субвенції з державного бюджету місцевим бюджетам на здійснення заходів щодо соціально-економічного розвитку окремих територій</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</si>
  <si>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</si>
  <si>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</si>
  <si>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вул.Кузнецова, 34б</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</si>
  <si>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</si>
  <si>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 Ніжинська, 68-а</t>
  </si>
  <si>
    <t>вул. Кузнєцова,34а</t>
  </si>
  <si>
    <t>пр. Моторобудівників, 26</t>
  </si>
  <si>
    <t>Управління з питань транспортного забезпечення та зв'язку Запорізької міської ради</t>
  </si>
  <si>
    <t>Будівництво мережі каналів оптичного зв'язку по пр. Леніна та прилеглих до нього територій (скверів, парків та площ) - 1 черга (проектні роботи)</t>
  </si>
  <si>
    <t xml:space="preserve">Будівництво котельної по вул. Софіївській в м. Запоріжжя </t>
  </si>
  <si>
    <t>Комунальне підприємство "Титан" (придбання пляжеприбиральної машини "Ondina" (SCAM) - 1 одиниця, міні трактори МТ 6112 -  2 од.)</t>
  </si>
  <si>
    <t xml:space="preserve">Реконструкція частини будівлі під амбулаторію сімейного лікаря по вул. Воронезька, 10 в Хортицькому районі </t>
  </si>
  <si>
    <t>Реконструкція пішохідного переходу через балку Маркусова від вул. Історичної до вул. Сеченова в м. Запоріжжі (проектні роботи та експертиза)</t>
  </si>
  <si>
    <t>93</t>
  </si>
  <si>
    <t>21,375</t>
  </si>
  <si>
    <t>Районна адміністрація Запорізької міської ради по Жовтневого району</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</si>
  <si>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</si>
  <si>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3900 - 1 одиниця)</t>
  </si>
  <si>
    <t>вул. Перемоги, 131а</t>
  </si>
  <si>
    <t>вул. Рубана,13</t>
  </si>
  <si>
    <t>вул. Узбекістанська, 5</t>
  </si>
  <si>
    <t>Будівництво світлофорного об'єкту на перехресті вул. Північне шосе - дорога на Сталепрокатний завод</t>
  </si>
  <si>
    <t>Будівництво світлофорного об'єкту на перехресті вул.Чумаченка - вул.Олімпійська</t>
  </si>
  <si>
    <t>Попередження створення аварійної ситуації на мостовому переході по вул. Заводській в Орджонікідзевському районі (станція ім. Анатолія Алімова) в м.Запоріжжі- реконструкція (проектні роботи, експертиза)</t>
  </si>
  <si>
    <t>Будівництво дитячого будинку сімейного типу №1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</si>
  <si>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№2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</si>
  <si>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№3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</si>
  <si>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№4 в сел. Тепличне в районі житлової забудови по вул. Центральній в м. Запоріжжі (проектні роботи, експертиза)</t>
  </si>
  <si>
    <t>Споруди зливової каналізації в межах відновлення берегової території житломасиву Павло-Кічкас м. Запоріжжя</t>
  </si>
  <si>
    <t>Реконструкція вулично-шляхової мережі по вул. Квітучій в межах від вул. Братської до вул. Вінницької в Ленінському районі</t>
  </si>
  <si>
    <t>Будівництво дороги до каналізаційної насосної станції №3 по вул. Лізи Чайкіної в м. Запоріжжі</t>
  </si>
  <si>
    <t>Департамент архітектури та містобудування Запорізької міської ради</t>
  </si>
  <si>
    <t>Періодичні видання (газети та журнали)</t>
  </si>
  <si>
    <t>Будівництво мереж зовнішнього освітлення по вул.Прияружна, 4а-12 (проектні роботи та експертиза)</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</si>
  <si>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t>
  </si>
  <si>
    <t>Реконструкція мереж зовнішнього освітлення по вул. Теплова</t>
  </si>
  <si>
    <t xml:space="preserve">Реконструкція мереж зовнішнього освітлення по вул. Деповська </t>
  </si>
  <si>
    <t>Реконструкція мереж зовнішнього освітлення по вул. Армавірська</t>
  </si>
  <si>
    <t>в тому числі</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</si>
  <si>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</si>
  <si>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Внески у статутні капітали комунальних підприємств міста  - погашення заборгованості за минулі роки</t>
  </si>
  <si>
    <t>Внески у статутні капітали комунальних підприємств міста</t>
  </si>
  <si>
    <t xml:space="preserve">Реконструкція ділянки пішохідної алеї від вул. Правда до вул. Патріотична (проектні та будівельні роботи)  </t>
  </si>
  <si>
    <t>Будівництво декоративних підпірних стін від вул. Правда до вул. Перемога (проектні та будівельні роботи)</t>
  </si>
  <si>
    <t xml:space="preserve">Реконструкція будівлі загальноосвітньої школи І-ІІІ ступенів № 75 по вул.Історична,92 Заводського району </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</si>
  <si>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</si>
  <si>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</si>
  <si>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</si>
  <si>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</si>
  <si>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</si>
  <si>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</si>
  <si>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</si>
  <si>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</si>
  <si>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</si>
  <si>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</si>
  <si>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</si>
  <si>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</si>
  <si>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</si>
  <si>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Реконструкція парку "Трудової слави" в м. Запоріжжі</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</si>
  <si>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</si>
  <si>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</si>
  <si>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</si>
  <si>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</si>
  <si>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</si>
  <si>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</si>
  <si>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</si>
  <si>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</si>
  <si>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Реконструкція тротуару по вул. Новокузнецькій (непарна сторона)</t>
  </si>
  <si>
    <t xml:space="preserve">Перелік видатків,  які в 2013 році проводилися за рахунок коштів бюджету розвитку міста </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</si>
  <si>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</si>
  <si>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</si>
  <si>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</si>
  <si>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</si>
  <si>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</si>
  <si>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хлораторної ДВС-2,  м. Запоріжжя (проектні та будівельні роботи)</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</si>
  <si>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</si>
  <si>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</si>
  <si>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</si>
  <si>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</si>
  <si>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</si>
  <si>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</si>
  <si>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</si>
  <si>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</si>
  <si>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</si>
  <si>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</si>
  <si>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</si>
  <si>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</si>
  <si>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</si>
  <si>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</si>
  <si>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</si>
  <si>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</si>
  <si>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</si>
  <si>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</si>
  <si>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</si>
  <si>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</si>
  <si>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</si>
  <si>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</si>
  <si>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</si>
  <si>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</si>
  <si>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</si>
  <si>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</si>
  <si>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</si>
  <si>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</si>
  <si>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</si>
  <si>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</si>
  <si>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</si>
  <si>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</si>
  <si>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</si>
  <si>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</si>
  <si>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</si>
  <si>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</si>
  <si>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</si>
  <si>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</si>
  <si>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</si>
  <si>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</si>
  <si>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</si>
  <si>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</si>
  <si>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</si>
  <si>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</si>
  <si>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</si>
  <si>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</si>
  <si>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</si>
  <si>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</si>
  <si>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</si>
  <si>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</si>
  <si>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</si>
  <si>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</si>
  <si>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</si>
  <si>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 xml:space="preserve">Будівництво систем відеоспостереження у місцях масового перебування громадян </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</si>
  <si>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</si>
  <si>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</si>
  <si>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</si>
  <si>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</si>
  <si>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</si>
  <si>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</si>
  <si>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</si>
  <si>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</si>
  <si>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</si>
  <si>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</si>
  <si>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</si>
  <si>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будівлі дошкільного навчального закладу №186 по вул.12 Квітня, 2а (проектні та будівельні роботи)</t>
  </si>
  <si>
    <t>Реконструкція автодороги Запоріжжя-Підпорожнянка в районі шлакових відвалів ВАТ "Запоріжсталь"</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</si>
  <si>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</si>
  <si>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</si>
  <si>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</si>
  <si>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95</t>
  </si>
  <si>
    <t>Районна адміністрація Запорізької міської ради по Жовтневому району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</si>
  <si>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</si>
  <si>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</si>
  <si>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</si>
  <si>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</si>
  <si>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</si>
  <si>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Внески органів місцевого самоврядування у статутні капітали суб'єктів підприємницької діяльності</t>
  </si>
  <si>
    <t xml:space="preserve">Управління з питань попередження надзвичайних ситуацій та цивільного захисту населення Запорізької міської ради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</si>
</sst>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_-* #,##0.000_р_._-;\-* #,##0.000_р_._-;_-* &quot;-&quot;??_р_._-;_-@_-"/>
  </numFmts>
  <fonts count="37">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8"/>
      <name val="Times New Roman"/>
      <family val="1"/>
    </font>
    <font>
      <sz val="14"/>
      <name val="Times New Roman"/>
      <family val="1"/>
    </font>
    <font>
      <sz val="16"/>
      <name val="Times New Roman"/>
      <family val="1"/>
    </font>
    <font>
      <sz val="11"/>
      <name val="Times New Roman"/>
      <family val="1"/>
    </font>
    <font>
      <sz val="14"/>
      <color indexed="8"/>
      <name val="Times New Roman"/>
      <family val="1"/>
    </font>
    <font>
      <sz val="10"/>
      <name val="Times New Roman"/>
      <family val="1"/>
    </font>
    <font>
      <sz val="18"/>
      <color indexed="8"/>
      <name val="Times New Roman"/>
      <family val="1"/>
    </font>
    <font>
      <sz val="8"/>
      <name val="Calibri"/>
      <family val="2"/>
    </font>
    <font>
      <sz val="11"/>
      <color indexed="8"/>
      <name val="Times New Roman"/>
      <family val="1"/>
    </font>
    <font>
      <sz val="13"/>
      <name val="Times New Roman"/>
      <family val="1"/>
    </font>
    <font>
      <sz val="20"/>
      <name val="Times New Roman"/>
      <family val="1"/>
    </font>
    <font>
      <b/>
      <sz val="14"/>
      <name val="Times New Roman"/>
      <family val="1"/>
    </font>
    <font>
      <b/>
      <u val="single"/>
      <sz val="20"/>
      <name val="Times New Roman"/>
      <family val="1"/>
    </font>
    <font>
      <b/>
      <sz val="14"/>
      <color indexed="8"/>
      <name val="Times New Roman"/>
      <family val="1"/>
    </font>
    <font>
      <sz val="12"/>
      <name val="Times New Roman"/>
      <family val="1"/>
    </font>
    <font>
      <u val="single"/>
      <sz val="11"/>
      <color indexed="12"/>
      <name val="Calibri"/>
      <family val="2"/>
    </font>
    <font>
      <u val="single"/>
      <sz val="11"/>
      <color indexed="20"/>
      <name val="Calibri"/>
      <family val="2"/>
    </font>
    <font>
      <sz val="14"/>
      <color indexed="10"/>
      <name val="Times New Roman"/>
      <family val="1"/>
    </font>
  </fonts>
  <fills count="48">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medium"/>
      <right style="thin"/>
      <top style="thin"/>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s>
  <cellStyleXfs count="9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5"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224">
    <xf numFmtId="0" fontId="0" fillId="0" borderId="0" xfId="0" applyAlignment="1">
      <alignment/>
    </xf>
    <xf numFmtId="192" fontId="20" fillId="46" borderId="10" xfId="0" applyNumberFormat="1" applyFont="1" applyFill="1" applyBorder="1" applyAlignment="1">
      <alignment horizontal="center" vertical="center" wrapText="1"/>
    </xf>
    <xf numFmtId="0" fontId="20" fillId="46" borderId="10" xfId="0" applyFont="1" applyFill="1" applyBorder="1" applyAlignment="1">
      <alignment vertical="center" wrapText="1"/>
    </xf>
    <xf numFmtId="0" fontId="20" fillId="46" borderId="10" xfId="0" applyFont="1" applyFill="1" applyBorder="1" applyAlignment="1">
      <alignment horizontal="left" vertical="top" wrapText="1"/>
    </xf>
    <xf numFmtId="0" fontId="21" fillId="46" borderId="0" xfId="0" applyFont="1" applyFill="1" applyBorder="1" applyAlignment="1">
      <alignment horizontal="center" vertical="center" wrapText="1"/>
    </xf>
    <xf numFmtId="49" fontId="21" fillId="46" borderId="0" xfId="0" applyNumberFormat="1" applyFont="1" applyFill="1" applyBorder="1" applyAlignment="1">
      <alignment horizontal="center" vertical="center" wrapText="1"/>
    </xf>
    <xf numFmtId="49" fontId="21" fillId="46" borderId="0" xfId="0" applyNumberFormat="1" applyFont="1" applyFill="1" applyBorder="1" applyAlignment="1">
      <alignment horizontal="left" vertical="center" wrapText="1"/>
    </xf>
    <xf numFmtId="49" fontId="21" fillId="46" borderId="0" xfId="0" applyNumberFormat="1" applyFont="1" applyFill="1" applyBorder="1" applyAlignment="1">
      <alignment vertical="center" wrapText="1"/>
    </xf>
    <xf numFmtId="0" fontId="20" fillId="46" borderId="0" xfId="0" applyFont="1" applyFill="1" applyBorder="1" applyAlignment="1">
      <alignment horizontal="center" vertical="center" wrapText="1"/>
    </xf>
    <xf numFmtId="180" fontId="20" fillId="46" borderId="0" xfId="0" applyNumberFormat="1" applyFont="1" applyFill="1" applyBorder="1" applyAlignment="1">
      <alignment horizontal="center" vertical="center" wrapText="1"/>
    </xf>
    <xf numFmtId="0" fontId="24" fillId="46" borderId="11" xfId="0" applyFont="1" applyFill="1" applyBorder="1" applyAlignment="1">
      <alignment horizontal="center" vertical="center" wrapText="1"/>
    </xf>
    <xf numFmtId="0" fontId="20" fillId="46" borderId="12" xfId="0" applyFont="1" applyFill="1" applyBorder="1" applyAlignment="1">
      <alignment horizontal="center" vertical="center" wrapText="1"/>
    </xf>
    <xf numFmtId="0" fontId="20" fillId="46" borderId="13" xfId="0" applyFont="1" applyFill="1" applyBorder="1" applyAlignment="1">
      <alignment horizontal="center" vertical="center" wrapText="1"/>
    </xf>
    <xf numFmtId="192" fontId="20" fillId="46" borderId="0" xfId="0" applyNumberFormat="1" applyFont="1" applyFill="1" applyBorder="1" applyAlignment="1">
      <alignment horizontal="center" vertical="center" wrapText="1"/>
    </xf>
    <xf numFmtId="49" fontId="20" fillId="46" borderId="14" xfId="0" applyNumberFormat="1" applyFont="1" applyFill="1" applyBorder="1" applyAlignment="1">
      <alignment horizontal="center" vertical="center"/>
    </xf>
    <xf numFmtId="0" fontId="20" fillId="46" borderId="0" xfId="0" applyFont="1" applyFill="1" applyBorder="1" applyAlignment="1">
      <alignment horizontal="center" vertical="center" textRotation="90"/>
    </xf>
    <xf numFmtId="0" fontId="20" fillId="46" borderId="0" xfId="0" applyFont="1" applyFill="1" applyBorder="1" applyAlignment="1">
      <alignment horizontal="center" vertical="center"/>
    </xf>
    <xf numFmtId="182" fontId="20" fillId="46" borderId="10" xfId="866" applyNumberFormat="1" applyFont="1" applyFill="1" applyBorder="1" applyAlignment="1">
      <alignment horizontal="center" vertical="center" wrapText="1"/>
    </xf>
    <xf numFmtId="0" fontId="24" fillId="46" borderId="10" xfId="0" applyFont="1" applyFill="1" applyBorder="1" applyAlignment="1">
      <alignment horizontal="left" vertical="top" wrapText="1"/>
    </xf>
    <xf numFmtId="182" fontId="20" fillId="46" borderId="10" xfId="886" applyNumberFormat="1" applyFont="1" applyFill="1" applyBorder="1" applyAlignment="1">
      <alignment horizontal="center" vertical="center" wrapText="1"/>
    </xf>
    <xf numFmtId="0" fontId="20" fillId="46" borderId="10" xfId="792" applyFont="1" applyFill="1" applyBorder="1" applyAlignment="1">
      <alignment horizontal="left" vertical="center" wrapText="1"/>
      <protection/>
    </xf>
    <xf numFmtId="49" fontId="20" fillId="46" borderId="10" xfId="792" applyNumberFormat="1" applyFont="1" applyFill="1" applyBorder="1" applyAlignment="1">
      <alignment horizontal="left" vertical="center" wrapText="1"/>
      <protection/>
    </xf>
    <xf numFmtId="0" fontId="20" fillId="46" borderId="10" xfId="0" applyNumberFormat="1" applyFont="1" applyFill="1" applyBorder="1" applyAlignment="1">
      <alignment horizontal="left" vertical="center" wrapText="1"/>
    </xf>
    <xf numFmtId="192" fontId="20" fillId="46" borderId="10" xfId="792" applyNumberFormat="1" applyFont="1" applyFill="1" applyBorder="1" applyAlignment="1">
      <alignment horizontal="center" vertical="center" wrapText="1"/>
      <protection/>
    </xf>
    <xf numFmtId="0" fontId="20" fillId="46" borderId="10" xfId="0" applyFont="1" applyFill="1" applyBorder="1" applyAlignment="1">
      <alignment horizontal="left" wrapText="1"/>
    </xf>
    <xf numFmtId="3" fontId="20" fillId="46" borderId="10" xfId="0" applyNumberFormat="1" applyFont="1" applyFill="1" applyBorder="1" applyAlignment="1">
      <alignment horizontal="center" vertical="center" wrapText="1"/>
    </xf>
    <xf numFmtId="182" fontId="20" fillId="46" borderId="10" xfId="0" applyNumberFormat="1" applyFont="1" applyFill="1" applyBorder="1" applyAlignment="1">
      <alignment horizontal="center" vertical="center" wrapText="1"/>
    </xf>
    <xf numFmtId="0" fontId="20" fillId="46" borderId="0" xfId="0" applyFont="1" applyFill="1" applyAlignment="1">
      <alignment horizontal="center" vertical="center" wrapText="1"/>
    </xf>
    <xf numFmtId="0" fontId="20" fillId="46" borderId="10" xfId="798" applyFont="1" applyFill="1" applyBorder="1" applyAlignment="1">
      <alignment horizontal="left" vertical="center" wrapText="1"/>
      <protection/>
    </xf>
    <xf numFmtId="192" fontId="20" fillId="46" borderId="10" xfId="798" applyNumberFormat="1" applyFont="1" applyFill="1" applyBorder="1" applyAlignment="1">
      <alignment horizontal="center" vertical="center" wrapText="1"/>
      <protection/>
    </xf>
    <xf numFmtId="181" fontId="20" fillId="46" borderId="10" xfId="0" applyNumberFormat="1" applyFont="1" applyFill="1" applyBorder="1" applyAlignment="1">
      <alignment horizontal="center" vertical="center" wrapText="1"/>
    </xf>
    <xf numFmtId="3" fontId="20" fillId="46" borderId="10" xfId="0" applyNumberFormat="1" applyFont="1" applyFill="1" applyBorder="1" applyAlignment="1">
      <alignment horizontal="right" wrapText="1"/>
    </xf>
    <xf numFmtId="182" fontId="20" fillId="46" borderId="10" xfId="0" applyNumberFormat="1" applyFont="1" applyFill="1" applyBorder="1" applyAlignment="1">
      <alignment horizontal="right" wrapText="1"/>
    </xf>
    <xf numFmtId="0" fontId="20" fillId="46" borderId="0" xfId="0" applyFont="1" applyFill="1" applyAlignment="1">
      <alignment wrapText="1"/>
    </xf>
    <xf numFmtId="192" fontId="20" fillId="46" borderId="10" xfId="0" applyNumberFormat="1" applyFont="1" applyFill="1" applyBorder="1" applyAlignment="1">
      <alignment horizontal="center" vertical="center"/>
    </xf>
    <xf numFmtId="180" fontId="20" fillId="46" borderId="10" xfId="0" applyNumberFormat="1" applyFont="1" applyFill="1" applyBorder="1" applyAlignment="1">
      <alignment horizontal="center" vertical="center" wrapText="1"/>
    </xf>
    <xf numFmtId="0" fontId="21" fillId="46" borderId="0" xfId="0" applyFont="1" applyFill="1" applyBorder="1" applyAlignment="1">
      <alignment vertical="center" wrapText="1"/>
    </xf>
    <xf numFmtId="0" fontId="20" fillId="47" borderId="10" xfId="0" applyFont="1" applyFill="1" applyBorder="1" applyAlignment="1">
      <alignment horizontal="left" vertical="center" wrapText="1"/>
    </xf>
    <xf numFmtId="49" fontId="20" fillId="46" borderId="14" xfId="0" applyNumberFormat="1" applyFont="1" applyFill="1" applyBorder="1" applyAlignment="1">
      <alignment horizontal="center" vertical="center" wrapText="1"/>
    </xf>
    <xf numFmtId="0" fontId="20" fillId="46" borderId="10" xfId="0" applyFont="1" applyFill="1" applyBorder="1" applyAlignment="1">
      <alignment horizontal="left" vertical="center" wrapText="1"/>
    </xf>
    <xf numFmtId="0" fontId="20" fillId="46" borderId="14" xfId="0" applyFont="1" applyFill="1" applyBorder="1" applyAlignment="1">
      <alignment horizontal="center" vertical="center" wrapText="1"/>
    </xf>
    <xf numFmtId="0" fontId="20" fillId="46" borderId="10" xfId="0" applyFont="1" applyFill="1" applyBorder="1" applyAlignment="1">
      <alignment horizontal="center" vertical="center" wrapText="1"/>
    </xf>
    <xf numFmtId="0" fontId="20" fillId="46" borderId="0" xfId="0" applyFont="1" applyFill="1" applyBorder="1" applyAlignment="1">
      <alignment horizontal="left" vertical="center" wrapText="1"/>
    </xf>
    <xf numFmtId="0" fontId="20" fillId="46" borderId="15" xfId="0" applyFont="1" applyFill="1" applyBorder="1" applyAlignment="1">
      <alignment horizontal="center" vertical="center" wrapText="1"/>
    </xf>
    <xf numFmtId="0" fontId="20" fillId="46" borderId="14" xfId="0" applyFont="1" applyFill="1" applyBorder="1" applyAlignment="1">
      <alignment horizontal="center" vertical="center"/>
    </xf>
    <xf numFmtId="180" fontId="21" fillId="46" borderId="0" xfId="0" applyNumberFormat="1" applyFont="1" applyFill="1" applyBorder="1" applyAlignment="1">
      <alignment horizontal="center" vertical="center" wrapText="1"/>
    </xf>
    <xf numFmtId="0" fontId="23" fillId="46" borderId="10" xfId="0" applyFont="1" applyFill="1" applyBorder="1" applyAlignment="1">
      <alignment horizontal="left" vertical="center" wrapText="1"/>
    </xf>
    <xf numFmtId="49" fontId="20" fillId="46" borderId="10" xfId="0" applyNumberFormat="1" applyFont="1" applyFill="1" applyBorder="1" applyAlignment="1">
      <alignment horizontal="left" vertical="center" wrapText="1"/>
    </xf>
    <xf numFmtId="192" fontId="28" fillId="46" borderId="10" xfId="0" applyNumberFormat="1" applyFont="1" applyFill="1" applyBorder="1" applyAlignment="1">
      <alignment horizontal="center" vertical="center" wrapText="1"/>
    </xf>
    <xf numFmtId="0" fontId="20" fillId="46" borderId="10" xfId="784" applyFont="1" applyFill="1" applyBorder="1" applyAlignment="1">
      <alignment horizontal="left" vertical="center" wrapText="1"/>
      <protection/>
    </xf>
    <xf numFmtId="0" fontId="20" fillId="46" borderId="10" xfId="783" applyFont="1" applyFill="1" applyBorder="1" applyAlignment="1">
      <alignment horizontal="left" vertical="center" wrapText="1"/>
      <protection/>
    </xf>
    <xf numFmtId="0" fontId="20" fillId="0" borderId="10" xfId="0"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192" fontId="20" fillId="0" borderId="0" xfId="0" applyNumberFormat="1" applyFont="1" applyFill="1" applyBorder="1" applyAlignment="1">
      <alignment horizontal="right" vertical="center" wrapText="1"/>
    </xf>
    <xf numFmtId="49" fontId="20" fillId="0" borderId="0" xfId="0" applyNumberFormat="1" applyFont="1" applyFill="1" applyBorder="1" applyAlignment="1">
      <alignment vertical="center" wrapText="1"/>
    </xf>
    <xf numFmtId="0" fontId="20" fillId="0" borderId="0" xfId="0"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192" fontId="20" fillId="0" borderId="0" xfId="0" applyNumberFormat="1" applyFont="1" applyFill="1" applyBorder="1" applyAlignment="1">
      <alignment horizontal="center" vertical="center" wrapText="1"/>
    </xf>
    <xf numFmtId="0" fontId="20" fillId="0" borderId="10" xfId="792" applyFont="1" applyFill="1" applyBorder="1" applyAlignment="1">
      <alignment horizontal="left" vertical="center" wrapText="1"/>
      <protection/>
    </xf>
    <xf numFmtId="192" fontId="23" fillId="0" borderId="0" xfId="0" applyNumberFormat="1" applyFont="1" applyFill="1" applyBorder="1" applyAlignment="1">
      <alignment horizontal="right" vertical="center" wrapText="1"/>
    </xf>
    <xf numFmtId="3" fontId="23" fillId="0" borderId="0" xfId="0" applyNumberFormat="1" applyFont="1" applyFill="1" applyBorder="1" applyAlignment="1">
      <alignment vertical="center" wrapText="1"/>
    </xf>
    <xf numFmtId="0" fontId="23" fillId="0" borderId="0" xfId="0" applyFont="1" applyFill="1" applyBorder="1" applyAlignment="1">
      <alignment vertical="center" wrapText="1"/>
    </xf>
    <xf numFmtId="0" fontId="20" fillId="0" borderId="0" xfId="0" applyFont="1" applyFill="1" applyBorder="1" applyAlignment="1">
      <alignment horizontal="center" vertical="center" textRotation="90" wrapText="1"/>
    </xf>
    <xf numFmtId="0" fontId="23" fillId="0" borderId="0" xfId="0" applyFont="1" applyFill="1" applyAlignment="1">
      <alignment vertical="center" wrapText="1"/>
    </xf>
    <xf numFmtId="0" fontId="23" fillId="0" borderId="10" xfId="0" applyFont="1" applyFill="1" applyBorder="1" applyAlignment="1">
      <alignment horizontal="left" vertical="center" wrapText="1"/>
    </xf>
    <xf numFmtId="0" fontId="27"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0" xfId="0" applyNumberFormat="1" applyFont="1" applyFill="1" applyBorder="1" applyAlignment="1">
      <alignment horizontal="left" vertical="center" wrapText="1"/>
    </xf>
    <xf numFmtId="3"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Alignment="1">
      <alignment vertical="center" wrapText="1"/>
    </xf>
    <xf numFmtId="181"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192" fontId="25" fillId="0" borderId="0" xfId="0" applyNumberFormat="1" applyFont="1" applyFill="1" applyBorder="1" applyAlignment="1">
      <alignment horizontal="right" vertical="center" wrapText="1"/>
    </xf>
    <xf numFmtId="0" fontId="25" fillId="0" borderId="0" xfId="0" applyFont="1" applyFill="1" applyBorder="1" applyAlignment="1">
      <alignment vertical="center" wrapText="1"/>
    </xf>
    <xf numFmtId="0" fontId="25" fillId="0" borderId="0" xfId="0" applyFont="1" applyFill="1" applyAlignment="1">
      <alignment vertical="center" wrapText="1"/>
    </xf>
    <xf numFmtId="0" fontId="20" fillId="0" borderId="10" xfId="0" applyFont="1" applyFill="1" applyBorder="1" applyAlignment="1">
      <alignment horizontal="left" wrapText="1"/>
    </xf>
    <xf numFmtId="181" fontId="20" fillId="46" borderId="10" xfId="938" applyNumberFormat="1" applyFont="1" applyFill="1" applyBorder="1" applyAlignment="1">
      <alignment horizontal="center" vertical="center" wrapText="1"/>
    </xf>
    <xf numFmtId="0" fontId="20" fillId="47" borderId="10" xfId="783" applyFont="1" applyFill="1" applyBorder="1" applyAlignment="1">
      <alignment horizontal="left" vertical="top" wrapText="1"/>
      <protection/>
    </xf>
    <xf numFmtId="49" fontId="30" fillId="46" borderId="14" xfId="0" applyNumberFormat="1" applyFont="1" applyFill="1" applyBorder="1" applyAlignment="1">
      <alignment horizontal="center" vertical="center"/>
    </xf>
    <xf numFmtId="0" fontId="30" fillId="46" borderId="10" xfId="0" applyFont="1" applyFill="1" applyBorder="1" applyAlignment="1">
      <alignment horizontal="left" vertical="center" wrapText="1"/>
    </xf>
    <xf numFmtId="192" fontId="30" fillId="46" borderId="10" xfId="0" applyNumberFormat="1" applyFont="1" applyFill="1" applyBorder="1" applyAlignment="1">
      <alignment horizontal="center" vertical="center" wrapText="1"/>
    </xf>
    <xf numFmtId="0" fontId="30" fillId="46" borderId="16" xfId="0" applyFont="1" applyFill="1" applyBorder="1" applyAlignment="1">
      <alignment horizontal="center" vertical="center" wrapText="1"/>
    </xf>
    <xf numFmtId="0" fontId="30" fillId="46" borderId="17" xfId="0" applyFont="1" applyFill="1" applyBorder="1" applyAlignment="1">
      <alignment horizontal="left" vertical="center" wrapText="1"/>
    </xf>
    <xf numFmtId="0" fontId="30" fillId="46" borderId="10" xfId="0" applyFont="1" applyFill="1" applyBorder="1" applyAlignment="1">
      <alignment horizontal="center" vertical="center" wrapText="1"/>
    </xf>
    <xf numFmtId="0" fontId="30" fillId="46" borderId="14" xfId="0" applyFont="1" applyFill="1" applyBorder="1" applyAlignment="1">
      <alignment horizontal="center" vertical="center" wrapText="1"/>
    </xf>
    <xf numFmtId="182" fontId="30" fillId="46" borderId="10" xfId="866" applyNumberFormat="1" applyFont="1" applyFill="1" applyBorder="1" applyAlignment="1">
      <alignment horizontal="center" vertical="center" wrapText="1"/>
    </xf>
    <xf numFmtId="192" fontId="20" fillId="0" borderId="10" xfId="0" applyNumberFormat="1" applyFont="1" applyFill="1" applyBorder="1" applyAlignment="1">
      <alignment horizontal="center" vertical="center" wrapText="1"/>
    </xf>
    <xf numFmtId="182" fontId="20" fillId="0" borderId="10" xfId="866"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9" fontId="30" fillId="46" borderId="14" xfId="0" applyNumberFormat="1" applyFont="1" applyFill="1" applyBorder="1" applyAlignment="1">
      <alignment horizontal="center" vertical="center" wrapText="1"/>
    </xf>
    <xf numFmtId="0" fontId="23" fillId="0" borderId="10" xfId="0" applyFont="1" applyFill="1" applyBorder="1" applyAlignment="1">
      <alignment wrapText="1"/>
    </xf>
    <xf numFmtId="0" fontId="23" fillId="0" borderId="10" xfId="0" applyFont="1" applyFill="1" applyBorder="1" applyAlignment="1">
      <alignment horizontal="left" vertical="top" wrapText="1"/>
    </xf>
    <xf numFmtId="2" fontId="23" fillId="46" borderId="10" xfId="0" applyNumberFormat="1" applyFont="1" applyFill="1" applyBorder="1" applyAlignment="1">
      <alignment vertical="top" wrapText="1"/>
    </xf>
    <xf numFmtId="0" fontId="20" fillId="46" borderId="18" xfId="0" applyFont="1" applyFill="1" applyBorder="1" applyAlignment="1">
      <alignment horizontal="left" vertical="center" wrapText="1"/>
    </xf>
    <xf numFmtId="0" fontId="29" fillId="46" borderId="0" xfId="0" applyFont="1" applyFill="1" applyBorder="1" applyAlignment="1">
      <alignment horizontal="center" vertical="center" wrapText="1"/>
    </xf>
    <xf numFmtId="0" fontId="29" fillId="46" borderId="0" xfId="0" applyFont="1" applyFill="1" applyBorder="1" applyAlignment="1">
      <alignment horizontal="left" vertical="center" wrapText="1"/>
    </xf>
    <xf numFmtId="0" fontId="29" fillId="46" borderId="0" xfId="0" applyFont="1" applyFill="1" applyBorder="1" applyAlignment="1">
      <alignment horizontal="left" wrapText="1"/>
    </xf>
    <xf numFmtId="0" fontId="29" fillId="46" borderId="0" xfId="0" applyFont="1" applyFill="1" applyAlignment="1">
      <alignment wrapText="1"/>
    </xf>
    <xf numFmtId="0" fontId="29" fillId="46" borderId="0" xfId="0" applyFont="1" applyFill="1" applyBorder="1" applyAlignment="1">
      <alignment wrapText="1"/>
    </xf>
    <xf numFmtId="0" fontId="29" fillId="46" borderId="0" xfId="0" applyFont="1" applyFill="1" applyBorder="1" applyAlignment="1">
      <alignment vertical="center" wrapText="1"/>
    </xf>
    <xf numFmtId="0" fontId="31" fillId="46" borderId="0" xfId="0" applyFont="1" applyFill="1" applyBorder="1" applyAlignment="1">
      <alignment vertical="center" wrapText="1"/>
    </xf>
    <xf numFmtId="0" fontId="29" fillId="46" borderId="0" xfId="0" applyFont="1" applyFill="1" applyBorder="1" applyAlignment="1">
      <alignment horizontal="center" wrapText="1"/>
    </xf>
    <xf numFmtId="0" fontId="29" fillId="0" borderId="0" xfId="0" applyFont="1" applyFill="1" applyBorder="1" applyAlignment="1">
      <alignment vertical="center" wrapText="1"/>
    </xf>
    <xf numFmtId="49" fontId="21" fillId="46" borderId="0" xfId="0" applyNumberFormat="1" applyFont="1" applyFill="1" applyBorder="1" applyAlignment="1">
      <alignment wrapText="1"/>
    </xf>
    <xf numFmtId="192" fontId="20" fillId="46" borderId="18" xfId="0" applyNumberFormat="1" applyFont="1" applyFill="1" applyBorder="1" applyAlignment="1">
      <alignment horizontal="center" vertical="center" wrapText="1"/>
    </xf>
    <xf numFmtId="182" fontId="20" fillId="46" borderId="18" xfId="866" applyNumberFormat="1" applyFont="1" applyFill="1" applyBorder="1" applyAlignment="1">
      <alignment horizontal="center" vertical="center" wrapText="1"/>
    </xf>
    <xf numFmtId="0" fontId="24" fillId="46" borderId="19" xfId="0" applyFont="1" applyFill="1" applyBorder="1" applyAlignment="1">
      <alignment horizontal="center" vertical="center" wrapText="1"/>
    </xf>
    <xf numFmtId="0" fontId="20" fillId="46" borderId="18" xfId="0" applyFont="1" applyFill="1" applyBorder="1" applyAlignment="1">
      <alignment horizontal="center" vertical="center" wrapText="1"/>
    </xf>
    <xf numFmtId="0" fontId="30" fillId="46" borderId="17" xfId="0" applyFont="1" applyFill="1" applyBorder="1" applyAlignment="1">
      <alignment horizontal="center" vertical="center" wrapText="1"/>
    </xf>
    <xf numFmtId="192" fontId="30" fillId="46" borderId="17" xfId="0" applyNumberFormat="1" applyFont="1" applyFill="1" applyBorder="1" applyAlignment="1">
      <alignment horizontal="center" vertical="center" wrapText="1"/>
    </xf>
    <xf numFmtId="1" fontId="20" fillId="46" borderId="13" xfId="0" applyNumberFormat="1" applyFont="1" applyFill="1" applyBorder="1" applyAlignment="1">
      <alignment horizontal="center" vertical="center" wrapText="1"/>
    </xf>
    <xf numFmtId="0" fontId="20" fillId="46" borderId="20" xfId="0" applyFont="1" applyFill="1" applyBorder="1" applyAlignment="1">
      <alignment horizontal="center" vertical="center" wrapText="1"/>
    </xf>
    <xf numFmtId="192" fontId="20" fillId="46" borderId="21" xfId="0" applyNumberFormat="1" applyFont="1" applyFill="1" applyBorder="1" applyAlignment="1">
      <alignment horizontal="left" vertical="center" wrapText="1"/>
    </xf>
    <xf numFmtId="0" fontId="20" fillId="46" borderId="22" xfId="0" applyFont="1" applyFill="1" applyBorder="1" applyAlignment="1">
      <alignment horizontal="left" vertical="center" wrapText="1"/>
    </xf>
    <xf numFmtId="192" fontId="20" fillId="46" borderId="22" xfId="0" applyNumberFormat="1" applyFont="1" applyFill="1" applyBorder="1" applyAlignment="1">
      <alignment horizontal="left" vertical="center" wrapText="1"/>
    </xf>
    <xf numFmtId="0" fontId="20" fillId="0" borderId="22" xfId="0" applyFont="1" applyBorder="1" applyAlignment="1">
      <alignment horizontal="left" vertical="center" wrapText="1"/>
    </xf>
    <xf numFmtId="0" fontId="20" fillId="0" borderId="22" xfId="0" applyFont="1" applyFill="1" applyBorder="1" applyAlignment="1">
      <alignment horizontal="left" vertical="center" wrapText="1"/>
    </xf>
    <xf numFmtId="0" fontId="20" fillId="46" borderId="22" xfId="0" applyFont="1" applyFill="1" applyBorder="1" applyAlignment="1">
      <alignment horizontal="left" wrapText="1"/>
    </xf>
    <xf numFmtId="0" fontId="23" fillId="0" borderId="22" xfId="0" applyFont="1" applyBorder="1" applyAlignment="1">
      <alignment horizontal="left" vertical="center" wrapText="1"/>
    </xf>
    <xf numFmtId="192" fontId="30" fillId="46" borderId="22" xfId="0" applyNumberFormat="1" applyFont="1" applyFill="1" applyBorder="1" applyAlignment="1">
      <alignment horizontal="left" vertical="center" wrapText="1"/>
    </xf>
    <xf numFmtId="0" fontId="30" fillId="46" borderId="22" xfId="0" applyFont="1" applyFill="1" applyBorder="1" applyAlignment="1">
      <alignment horizontal="left" vertical="center" wrapText="1"/>
    </xf>
    <xf numFmtId="0" fontId="23" fillId="47" borderId="10" xfId="0" applyFont="1" applyFill="1" applyBorder="1" applyAlignment="1">
      <alignment horizontal="left" vertical="center" wrapText="1"/>
    </xf>
    <xf numFmtId="0" fontId="36" fillId="46" borderId="10" xfId="798" applyFont="1" applyFill="1" applyBorder="1" applyAlignment="1">
      <alignment vertical="center" wrapText="1"/>
      <protection/>
    </xf>
    <xf numFmtId="0" fontId="22"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192"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192" fontId="30" fillId="0" borderId="0" xfId="0" applyNumberFormat="1" applyFont="1" applyFill="1" applyBorder="1" applyAlignment="1">
      <alignment horizontal="right" vertical="center" wrapText="1"/>
    </xf>
    <xf numFmtId="0" fontId="30" fillId="0" borderId="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192" fontId="23"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192" fontId="32" fillId="0" borderId="10" xfId="0" applyNumberFormat="1" applyFont="1" applyFill="1" applyBorder="1" applyAlignment="1">
      <alignment horizontal="center" vertical="center" wrapText="1"/>
    </xf>
    <xf numFmtId="192" fontId="32" fillId="0" borderId="0" xfId="0" applyNumberFormat="1" applyFont="1" applyFill="1" applyBorder="1" applyAlignment="1">
      <alignment horizontal="right" vertical="center" wrapText="1"/>
    </xf>
    <xf numFmtId="3" fontId="32" fillId="0" borderId="0" xfId="0" applyNumberFormat="1" applyFont="1" applyFill="1" applyBorder="1" applyAlignment="1">
      <alignment vertical="center" wrapText="1"/>
    </xf>
    <xf numFmtId="0" fontId="32" fillId="0" borderId="0" xfId="0" applyFont="1" applyFill="1" applyBorder="1" applyAlignment="1">
      <alignment vertical="center" wrapText="1"/>
    </xf>
    <xf numFmtId="192"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textRotation="90" wrapText="1"/>
    </xf>
    <xf numFmtId="0" fontId="32" fillId="0" borderId="0" xfId="0" applyFont="1" applyFill="1" applyAlignment="1">
      <alignment vertical="center" wrapText="1"/>
    </xf>
    <xf numFmtId="49" fontId="23"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wrapText="1"/>
    </xf>
    <xf numFmtId="0" fontId="30" fillId="0" borderId="10" xfId="792" applyFont="1" applyFill="1" applyBorder="1" applyAlignment="1">
      <alignment horizontal="left" vertical="center" wrapText="1"/>
      <protection/>
    </xf>
    <xf numFmtId="0" fontId="30" fillId="0" borderId="0" xfId="0" applyNumberFormat="1" applyFont="1" applyFill="1" applyBorder="1" applyAlignment="1">
      <alignment horizontal="left" vertical="center" wrapText="1"/>
    </xf>
    <xf numFmtId="3" fontId="30" fillId="0" borderId="0" xfId="0" applyNumberFormat="1" applyFont="1" applyFill="1" applyBorder="1" applyAlignment="1">
      <alignmen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181" fontId="3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23" xfId="0" applyFont="1" applyFill="1" applyBorder="1" applyAlignment="1">
      <alignment vertical="center" wrapText="1"/>
    </xf>
    <xf numFmtId="0" fontId="23" fillId="0" borderId="23" xfId="0" applyFont="1" applyFill="1" applyBorder="1" applyAlignment="1">
      <alignment vertical="center" wrapText="1"/>
    </xf>
    <xf numFmtId="0" fontId="23" fillId="0" borderId="10" xfId="0" applyFont="1" applyBorder="1" applyAlignment="1">
      <alignment horizontal="left" vertical="center" wrapText="1"/>
    </xf>
    <xf numFmtId="0" fontId="20" fillId="46" borderId="10" xfId="798" applyFont="1" applyFill="1" applyBorder="1" applyAlignment="1">
      <alignment vertical="center" wrapText="1"/>
      <protection/>
    </xf>
    <xf numFmtId="0" fontId="20" fillId="0" borderId="22" xfId="0" applyFont="1" applyFill="1" applyBorder="1" applyAlignment="1">
      <alignment horizontal="left" wrapText="1"/>
    </xf>
    <xf numFmtId="192" fontId="20" fillId="0" borderId="10" xfId="0" applyNumberFormat="1" applyFont="1" applyFill="1" applyBorder="1" applyAlignment="1">
      <alignment horizontal="left" vertical="center" wrapText="1"/>
    </xf>
    <xf numFmtId="192" fontId="23" fillId="0" borderId="0" xfId="0" applyNumberFormat="1" applyFont="1" applyFill="1" applyAlignment="1">
      <alignment horizontal="center" vertical="center" wrapText="1"/>
    </xf>
    <xf numFmtId="49" fontId="20" fillId="0" borderId="0" xfId="0" applyNumberFormat="1" applyFont="1" applyFill="1" applyBorder="1" applyAlignment="1">
      <alignment horizontal="left" vertical="center" wrapText="1"/>
    </xf>
    <xf numFmtId="0" fontId="23" fillId="0" borderId="0" xfId="0" applyFont="1" applyFill="1" applyAlignment="1">
      <alignment horizontal="left" vertical="center" wrapText="1"/>
    </xf>
    <xf numFmtId="3" fontId="20" fillId="0" borderId="10" xfId="0" applyNumberFormat="1" applyFont="1" applyFill="1" applyBorder="1" applyAlignment="1">
      <alignment horizontal="center" vertical="center" wrapText="1"/>
    </xf>
    <xf numFmtId="0" fontId="23" fillId="0" borderId="10" xfId="411" applyFont="1" applyFill="1" applyBorder="1" applyAlignment="1">
      <alignment horizontal="left" vertical="center" wrapText="1"/>
      <protection/>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textRotation="90"/>
    </xf>
    <xf numFmtId="0" fontId="20" fillId="0" borderId="10" xfId="0" applyFont="1" applyFill="1" applyBorder="1" applyAlignment="1">
      <alignment horizontal="center" vertical="center" wrapText="1"/>
    </xf>
    <xf numFmtId="0" fontId="19"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5" fillId="0" borderId="0" xfId="0" applyFont="1" applyFill="1" applyAlignment="1">
      <alignment horizontal="center" vertical="top" wrapText="1"/>
    </xf>
    <xf numFmtId="0" fontId="23" fillId="0" borderId="17" xfId="0" applyFont="1" applyFill="1" applyBorder="1" applyAlignment="1">
      <alignment horizontal="left" vertical="center" wrapText="1"/>
    </xf>
    <xf numFmtId="0" fontId="20" fillId="46" borderId="0" xfId="0" applyFont="1" applyFill="1" applyBorder="1" applyAlignment="1">
      <alignment horizontal="left" vertical="center" wrapText="1"/>
    </xf>
    <xf numFmtId="0" fontId="36" fillId="46" borderId="22" xfId="0" applyFont="1" applyFill="1" applyBorder="1" applyAlignment="1">
      <alignment horizontal="left" vertical="center" wrapText="1"/>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7" xfId="0" applyFont="1" applyBorder="1" applyAlignment="1">
      <alignment horizontal="left" vertical="center" wrapText="1"/>
    </xf>
    <xf numFmtId="0" fontId="20" fillId="0" borderId="22"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9" fillId="46" borderId="0" xfId="0" applyNumberFormat="1" applyFont="1" applyFill="1" applyBorder="1" applyAlignment="1">
      <alignment horizontal="center" wrapText="1"/>
    </xf>
    <xf numFmtId="49" fontId="21" fillId="46" borderId="0" xfId="0" applyNumberFormat="1" applyFont="1" applyFill="1" applyBorder="1" applyAlignment="1">
      <alignment horizontal="center" wrapText="1"/>
    </xf>
    <xf numFmtId="0" fontId="20" fillId="0" borderId="25"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46" borderId="25" xfId="0" applyFont="1" applyFill="1" applyBorder="1" applyAlignment="1">
      <alignment horizontal="left" vertical="center" wrapText="1"/>
    </xf>
    <xf numFmtId="0" fontId="20" fillId="46" borderId="21" xfId="0" applyFont="1" applyFill="1" applyBorder="1" applyAlignment="1">
      <alignment horizontal="left" vertical="center" wrapText="1"/>
    </xf>
    <xf numFmtId="0" fontId="20" fillId="46" borderId="22" xfId="0" applyFont="1" applyFill="1" applyBorder="1" applyAlignment="1">
      <alignment horizontal="left" vertical="center" wrapText="1"/>
    </xf>
    <xf numFmtId="192" fontId="20" fillId="0" borderId="22" xfId="0" applyNumberFormat="1" applyFont="1" applyFill="1" applyBorder="1" applyAlignment="1">
      <alignment horizontal="left"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46" borderId="10" xfId="0" applyFont="1" applyFill="1" applyBorder="1" applyAlignment="1">
      <alignment horizontal="left" vertical="center" wrapText="1"/>
    </xf>
    <xf numFmtId="0" fontId="20" fillId="46" borderId="10"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49" fontId="20" fillId="46" borderId="14" xfId="0" applyNumberFormat="1" applyFont="1" applyFill="1" applyBorder="1" applyAlignment="1">
      <alignment horizontal="center" vertical="center" wrapText="1"/>
    </xf>
    <xf numFmtId="49" fontId="20" fillId="46" borderId="29" xfId="0" applyNumberFormat="1" applyFont="1" applyFill="1" applyBorder="1" applyAlignment="1">
      <alignment horizontal="center" vertical="center" wrapText="1"/>
    </xf>
    <xf numFmtId="49" fontId="20" fillId="46" borderId="16" xfId="0" applyNumberFormat="1" applyFont="1" applyFill="1" applyBorder="1" applyAlignment="1">
      <alignment horizontal="center" vertical="center" wrapText="1"/>
    </xf>
    <xf numFmtId="49" fontId="20" fillId="46" borderId="30" xfId="0" applyNumberFormat="1" applyFont="1" applyFill="1" applyBorder="1" applyAlignment="1">
      <alignment horizontal="center" vertical="center" wrapText="1"/>
    </xf>
    <xf numFmtId="0" fontId="20" fillId="46" borderId="18" xfId="0" applyFont="1" applyFill="1" applyBorder="1" applyAlignment="1">
      <alignment horizontal="left" vertical="center" wrapText="1"/>
    </xf>
    <xf numFmtId="49" fontId="20" fillId="46" borderId="19" xfId="0" applyNumberFormat="1" applyFont="1" applyFill="1" applyBorder="1" applyAlignment="1">
      <alignment horizontal="center" vertical="center" wrapText="1"/>
    </xf>
    <xf numFmtId="0" fontId="22" fillId="46" borderId="10" xfId="0" applyFont="1" applyFill="1" applyBorder="1" applyAlignment="1">
      <alignment horizontal="left" vertical="center" wrapText="1"/>
    </xf>
    <xf numFmtId="0" fontId="20" fillId="46" borderId="15" xfId="0" applyFont="1" applyFill="1" applyBorder="1" applyAlignment="1">
      <alignment horizontal="center" vertical="center" wrapText="1"/>
    </xf>
    <xf numFmtId="0" fontId="20" fillId="46" borderId="18" xfId="0" applyFont="1" applyFill="1" applyBorder="1" applyAlignment="1">
      <alignment horizontal="center" vertical="center" wrapText="1"/>
    </xf>
    <xf numFmtId="180" fontId="20" fillId="46" borderId="15" xfId="0" applyNumberFormat="1" applyFont="1" applyFill="1" applyBorder="1" applyAlignment="1">
      <alignment horizontal="center" vertical="center" textRotation="90" wrapText="1"/>
    </xf>
    <xf numFmtId="180" fontId="20" fillId="46" borderId="18" xfId="0" applyNumberFormat="1" applyFont="1" applyFill="1" applyBorder="1" applyAlignment="1">
      <alignment horizontal="center" vertical="center" textRotation="90" wrapText="1"/>
    </xf>
    <xf numFmtId="0" fontId="20" fillId="46" borderId="14" xfId="0" applyFont="1" applyFill="1" applyBorder="1" applyAlignment="1">
      <alignment horizontal="center" vertical="center"/>
    </xf>
    <xf numFmtId="0" fontId="20" fillId="46" borderId="14" xfId="0" applyFont="1" applyFill="1" applyBorder="1" applyAlignment="1">
      <alignment horizontal="center" vertical="center" wrapText="1"/>
    </xf>
    <xf numFmtId="0" fontId="20" fillId="46" borderId="23" xfId="0" applyFont="1" applyFill="1" applyBorder="1" applyAlignment="1">
      <alignment horizontal="left" vertical="center" wrapText="1"/>
    </xf>
    <xf numFmtId="0" fontId="20" fillId="46" borderId="24" xfId="0" applyFont="1" applyFill="1" applyBorder="1" applyAlignment="1">
      <alignment horizontal="left" vertical="center" wrapText="1"/>
    </xf>
    <xf numFmtId="0" fontId="20" fillId="46" borderId="17" xfId="0" applyFont="1" applyFill="1" applyBorder="1" applyAlignment="1">
      <alignment horizontal="left" vertical="center" wrapText="1"/>
    </xf>
    <xf numFmtId="180" fontId="21" fillId="46"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wrapText="1"/>
    </xf>
    <xf numFmtId="192" fontId="20"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192" fontId="20" fillId="0" borderId="10" xfId="0" applyNumberFormat="1" applyFont="1" applyFill="1" applyBorder="1" applyAlignment="1">
      <alignment horizontal="left" vertical="center" wrapText="1"/>
    </xf>
  </cellXfs>
  <cellStyles count="948">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Акцент1" xfId="412"/>
    <cellStyle name="Акцент1 2" xfId="413"/>
    <cellStyle name="Акцент1 2 2" xfId="414"/>
    <cellStyle name="Акцент1 2 3" xfId="415"/>
    <cellStyle name="Акцент1 2 4" xfId="416"/>
    <cellStyle name="Акцент1 2 5" xfId="417"/>
    <cellStyle name="Акцент1 3" xfId="418"/>
    <cellStyle name="Акцент1 3 2" xfId="419"/>
    <cellStyle name="Акцент1 3 3" xfId="420"/>
    <cellStyle name="Акцент1 3 4" xfId="421"/>
    <cellStyle name="Акцент1 3 5" xfId="422"/>
    <cellStyle name="Акцент1 4" xfId="423"/>
    <cellStyle name="Акцент1 4 2" xfId="424"/>
    <cellStyle name="Акцент1 4 3" xfId="425"/>
    <cellStyle name="Акцент1 4 4" xfId="426"/>
    <cellStyle name="Акцент1 4 5" xfId="427"/>
    <cellStyle name="Акцент1 5" xfId="428"/>
    <cellStyle name="Акцент1 5 2" xfId="429"/>
    <cellStyle name="Акцент1 5 3" xfId="430"/>
    <cellStyle name="Акцент1 5 4" xfId="431"/>
    <cellStyle name="Акцент1 5 5" xfId="432"/>
    <cellStyle name="Акцент1 6" xfId="433"/>
    <cellStyle name="Акцент2" xfId="434"/>
    <cellStyle name="Акцент2 2" xfId="435"/>
    <cellStyle name="Акцент2 2 2" xfId="436"/>
    <cellStyle name="Акцент2 2 3" xfId="437"/>
    <cellStyle name="Акцент2 2 4" xfId="438"/>
    <cellStyle name="Акцент2 2 5" xfId="439"/>
    <cellStyle name="Акцент2 3" xfId="440"/>
    <cellStyle name="Акцент2 3 2" xfId="441"/>
    <cellStyle name="Акцент2 3 3" xfId="442"/>
    <cellStyle name="Акцент2 3 4" xfId="443"/>
    <cellStyle name="Акцент2 3 5" xfId="444"/>
    <cellStyle name="Акцент2 4" xfId="445"/>
    <cellStyle name="Акцент2 4 2" xfId="446"/>
    <cellStyle name="Акцент2 4 3" xfId="447"/>
    <cellStyle name="Акцент2 4 4" xfId="448"/>
    <cellStyle name="Акцент2 4 5" xfId="449"/>
    <cellStyle name="Акцент2 5" xfId="450"/>
    <cellStyle name="Акцент2 5 2" xfId="451"/>
    <cellStyle name="Акцент2 5 3" xfId="452"/>
    <cellStyle name="Акцент2 5 4" xfId="453"/>
    <cellStyle name="Акцент2 5 5" xfId="454"/>
    <cellStyle name="Акцент2 6" xfId="455"/>
    <cellStyle name="Акцент3" xfId="456"/>
    <cellStyle name="Акцент3 2" xfId="457"/>
    <cellStyle name="Акцент3 2 2" xfId="458"/>
    <cellStyle name="Акцент3 2 3" xfId="459"/>
    <cellStyle name="Акцент3 2 4" xfId="460"/>
    <cellStyle name="Акцент3 2 5" xfId="461"/>
    <cellStyle name="Акцент3 3" xfId="462"/>
    <cellStyle name="Акцент3 3 2" xfId="463"/>
    <cellStyle name="Акцент3 3 3" xfId="464"/>
    <cellStyle name="Акцент3 3 4" xfId="465"/>
    <cellStyle name="Акцент3 3 5" xfId="466"/>
    <cellStyle name="Акцент3 4" xfId="467"/>
    <cellStyle name="Акцент3 4 2" xfId="468"/>
    <cellStyle name="Акцент3 4 3" xfId="469"/>
    <cellStyle name="Акцент3 4 4" xfId="470"/>
    <cellStyle name="Акцент3 4 5" xfId="471"/>
    <cellStyle name="Акцент3 5" xfId="472"/>
    <cellStyle name="Акцент3 5 2" xfId="473"/>
    <cellStyle name="Акцент3 5 3" xfId="474"/>
    <cellStyle name="Акцент3 5 4" xfId="475"/>
    <cellStyle name="Акцент3 5 5" xfId="476"/>
    <cellStyle name="Акцент3 6" xfId="477"/>
    <cellStyle name="Акцент4" xfId="478"/>
    <cellStyle name="Акцент4 2" xfId="479"/>
    <cellStyle name="Акцент4 2 2" xfId="480"/>
    <cellStyle name="Акцент4 2 3" xfId="481"/>
    <cellStyle name="Акцент4 2 4" xfId="482"/>
    <cellStyle name="Акцент4 2 5" xfId="483"/>
    <cellStyle name="Акцент4 3" xfId="484"/>
    <cellStyle name="Акцент4 3 2" xfId="485"/>
    <cellStyle name="Акцент4 3 3" xfId="486"/>
    <cellStyle name="Акцент4 3 4" xfId="487"/>
    <cellStyle name="Акцент4 3 5" xfId="488"/>
    <cellStyle name="Акцент4 4" xfId="489"/>
    <cellStyle name="Акцент4 4 2" xfId="490"/>
    <cellStyle name="Акцент4 4 3" xfId="491"/>
    <cellStyle name="Акцент4 4 4" xfId="492"/>
    <cellStyle name="Акцент4 4 5" xfId="493"/>
    <cellStyle name="Акцент4 5" xfId="494"/>
    <cellStyle name="Акцент4 5 2" xfId="495"/>
    <cellStyle name="Акцент4 5 3" xfId="496"/>
    <cellStyle name="Акцент4 5 4" xfId="497"/>
    <cellStyle name="Акцент4 5 5" xfId="498"/>
    <cellStyle name="Акцент4 6" xfId="499"/>
    <cellStyle name="Акцент5" xfId="500"/>
    <cellStyle name="Акцент5 2" xfId="501"/>
    <cellStyle name="Акцент5 2 2" xfId="502"/>
    <cellStyle name="Акцент5 2 3" xfId="503"/>
    <cellStyle name="Акцент5 2 4" xfId="504"/>
    <cellStyle name="Акцент5 2 5" xfId="505"/>
    <cellStyle name="Акцент5 3" xfId="506"/>
    <cellStyle name="Акцент5 3 2" xfId="507"/>
    <cellStyle name="Акцент5 3 3" xfId="508"/>
    <cellStyle name="Акцент5 3 4" xfId="509"/>
    <cellStyle name="Акцент5 3 5" xfId="510"/>
    <cellStyle name="Акцент5 4" xfId="511"/>
    <cellStyle name="Акцент5 4 2" xfId="512"/>
    <cellStyle name="Акцент5 4 3" xfId="513"/>
    <cellStyle name="Акцент5 4 4" xfId="514"/>
    <cellStyle name="Акцент5 4 5" xfId="515"/>
    <cellStyle name="Акцент5 5" xfId="516"/>
    <cellStyle name="Акцент5 5 2" xfId="517"/>
    <cellStyle name="Акцент5 5 3" xfId="518"/>
    <cellStyle name="Акцент5 5 4" xfId="519"/>
    <cellStyle name="Акцент5 5 5" xfId="520"/>
    <cellStyle name="Акцент5 6" xfId="521"/>
    <cellStyle name="Акцент6" xfId="522"/>
    <cellStyle name="Акцент6 2" xfId="523"/>
    <cellStyle name="Акцент6 2 2" xfId="524"/>
    <cellStyle name="Акцент6 2 3" xfId="525"/>
    <cellStyle name="Акцент6 2 4" xfId="526"/>
    <cellStyle name="Акцент6 2 5" xfId="527"/>
    <cellStyle name="Акцент6 3" xfId="528"/>
    <cellStyle name="Акцент6 3 2" xfId="529"/>
    <cellStyle name="Акцент6 3 3" xfId="530"/>
    <cellStyle name="Акцент6 3 4" xfId="531"/>
    <cellStyle name="Акцент6 3 5" xfId="532"/>
    <cellStyle name="Акцент6 4" xfId="533"/>
    <cellStyle name="Акцент6 4 2" xfId="534"/>
    <cellStyle name="Акцент6 4 3" xfId="535"/>
    <cellStyle name="Акцент6 4 4" xfId="536"/>
    <cellStyle name="Акцент6 4 5" xfId="537"/>
    <cellStyle name="Акцент6 5" xfId="538"/>
    <cellStyle name="Акцент6 5 2" xfId="539"/>
    <cellStyle name="Акцент6 5 3" xfId="540"/>
    <cellStyle name="Акцент6 5 4" xfId="541"/>
    <cellStyle name="Акцент6 5 5" xfId="542"/>
    <cellStyle name="Акцент6 6" xfId="543"/>
    <cellStyle name="Ввод " xfId="544"/>
    <cellStyle name="Ввод  2" xfId="545"/>
    <cellStyle name="Ввод  2 2" xfId="546"/>
    <cellStyle name="Ввод  2 3" xfId="547"/>
    <cellStyle name="Ввод  2 4" xfId="548"/>
    <cellStyle name="Ввод  2 5" xfId="549"/>
    <cellStyle name="Ввод  3" xfId="550"/>
    <cellStyle name="Ввод  3 2" xfId="551"/>
    <cellStyle name="Ввод  3 3" xfId="552"/>
    <cellStyle name="Ввод  3 4" xfId="553"/>
    <cellStyle name="Ввод  3 5" xfId="554"/>
    <cellStyle name="Ввод  4" xfId="555"/>
    <cellStyle name="Ввод  4 2" xfId="556"/>
    <cellStyle name="Ввод  4 3" xfId="557"/>
    <cellStyle name="Ввод  4 4" xfId="558"/>
    <cellStyle name="Ввод  4 5" xfId="559"/>
    <cellStyle name="Ввод  5" xfId="560"/>
    <cellStyle name="Ввод  5 2" xfId="561"/>
    <cellStyle name="Ввод  5 3" xfId="562"/>
    <cellStyle name="Ввод  5 4" xfId="563"/>
    <cellStyle name="Ввод  5 5" xfId="564"/>
    <cellStyle name="Ввод  6" xfId="565"/>
    <cellStyle name="Вывод" xfId="566"/>
    <cellStyle name="Вывод 2" xfId="567"/>
    <cellStyle name="Вывод 2 2" xfId="568"/>
    <cellStyle name="Вывод 2 3" xfId="569"/>
    <cellStyle name="Вывод 2 4" xfId="570"/>
    <cellStyle name="Вывод 2 5" xfId="571"/>
    <cellStyle name="Вывод 3" xfId="572"/>
    <cellStyle name="Вывод 3 2" xfId="573"/>
    <cellStyle name="Вывод 3 3" xfId="574"/>
    <cellStyle name="Вывод 3 4" xfId="575"/>
    <cellStyle name="Вывод 3 5" xfId="576"/>
    <cellStyle name="Вывод 4" xfId="577"/>
    <cellStyle name="Вывод 4 2" xfId="578"/>
    <cellStyle name="Вывод 4 3" xfId="579"/>
    <cellStyle name="Вывод 4 4" xfId="580"/>
    <cellStyle name="Вывод 4 5" xfId="581"/>
    <cellStyle name="Вывод 5" xfId="582"/>
    <cellStyle name="Вывод 5 2" xfId="583"/>
    <cellStyle name="Вывод 5 3" xfId="584"/>
    <cellStyle name="Вывод 5 4" xfId="585"/>
    <cellStyle name="Вывод 5 5" xfId="586"/>
    <cellStyle name="Вывод 6" xfId="587"/>
    <cellStyle name="Вычисление" xfId="588"/>
    <cellStyle name="Вычисление 2" xfId="589"/>
    <cellStyle name="Вычисление 2 2" xfId="590"/>
    <cellStyle name="Вычисление 2 3" xfId="591"/>
    <cellStyle name="Вычисление 2 4" xfId="592"/>
    <cellStyle name="Вычисление 2 5" xfId="593"/>
    <cellStyle name="Вычисление 3" xfId="594"/>
    <cellStyle name="Вычисление 3 2" xfId="595"/>
    <cellStyle name="Вычисление 3 3" xfId="596"/>
    <cellStyle name="Вычисление 3 4" xfId="597"/>
    <cellStyle name="Вычисление 3 5" xfId="598"/>
    <cellStyle name="Вычисление 4" xfId="599"/>
    <cellStyle name="Вычисление 4 2" xfId="600"/>
    <cellStyle name="Вычисление 4 3" xfId="601"/>
    <cellStyle name="Вычисление 4 4" xfId="602"/>
    <cellStyle name="Вычисление 4 5" xfId="603"/>
    <cellStyle name="Вычисление 5" xfId="604"/>
    <cellStyle name="Вычисление 5 2" xfId="605"/>
    <cellStyle name="Вычисление 5 3" xfId="606"/>
    <cellStyle name="Вычисление 5 4" xfId="607"/>
    <cellStyle name="Вычисление 5 5" xfId="608"/>
    <cellStyle name="Вычисление 6" xfId="609"/>
    <cellStyle name="Hyperlink" xfId="610"/>
    <cellStyle name="Currency" xfId="611"/>
    <cellStyle name="Currency [0]" xfId="612"/>
    <cellStyle name="Заголовок 1" xfId="613"/>
    <cellStyle name="Заголовок 1 2" xfId="614"/>
    <cellStyle name="Заголовок 1 2 2" xfId="615"/>
    <cellStyle name="Заголовок 1 2 3" xfId="616"/>
    <cellStyle name="Заголовок 1 2 4" xfId="617"/>
    <cellStyle name="Заголовок 1 2 5" xfId="618"/>
    <cellStyle name="Заголовок 1 3" xfId="619"/>
    <cellStyle name="Заголовок 1 3 2" xfId="620"/>
    <cellStyle name="Заголовок 1 3 3" xfId="621"/>
    <cellStyle name="Заголовок 1 3 4" xfId="622"/>
    <cellStyle name="Заголовок 1 3 5" xfId="623"/>
    <cellStyle name="Заголовок 1 4" xfId="624"/>
    <cellStyle name="Заголовок 1 4 2" xfId="625"/>
    <cellStyle name="Заголовок 1 4 3" xfId="626"/>
    <cellStyle name="Заголовок 1 4 4" xfId="627"/>
    <cellStyle name="Заголовок 1 4 5" xfId="628"/>
    <cellStyle name="Заголовок 1 5" xfId="629"/>
    <cellStyle name="Заголовок 1 5 2" xfId="630"/>
    <cellStyle name="Заголовок 1 5 3" xfId="631"/>
    <cellStyle name="Заголовок 1 5 4" xfId="632"/>
    <cellStyle name="Заголовок 1 5 5" xfId="633"/>
    <cellStyle name="Заголовок 2" xfId="634"/>
    <cellStyle name="Заголовок 2 2" xfId="635"/>
    <cellStyle name="Заголовок 2 2 2" xfId="636"/>
    <cellStyle name="Заголовок 2 2 3" xfId="637"/>
    <cellStyle name="Заголовок 2 2 4" xfId="638"/>
    <cellStyle name="Заголовок 2 2 5" xfId="639"/>
    <cellStyle name="Заголовок 2 3" xfId="640"/>
    <cellStyle name="Заголовок 2 3 2" xfId="641"/>
    <cellStyle name="Заголовок 2 3 3" xfId="642"/>
    <cellStyle name="Заголовок 2 3 4" xfId="643"/>
    <cellStyle name="Заголовок 2 3 5" xfId="644"/>
    <cellStyle name="Заголовок 2 4" xfId="645"/>
    <cellStyle name="Заголовок 2 4 2" xfId="646"/>
    <cellStyle name="Заголовок 2 4 3" xfId="647"/>
    <cellStyle name="Заголовок 2 4 4" xfId="648"/>
    <cellStyle name="Заголовок 2 4 5" xfId="649"/>
    <cellStyle name="Заголовок 2 5" xfId="650"/>
    <cellStyle name="Заголовок 2 5 2" xfId="651"/>
    <cellStyle name="Заголовок 2 5 3" xfId="652"/>
    <cellStyle name="Заголовок 2 5 4" xfId="653"/>
    <cellStyle name="Заголовок 2 5 5" xfId="654"/>
    <cellStyle name="Заголовок 3" xfId="655"/>
    <cellStyle name="Заголовок 3 2" xfId="656"/>
    <cellStyle name="Заголовок 3 2 2" xfId="657"/>
    <cellStyle name="Заголовок 3 2 3" xfId="658"/>
    <cellStyle name="Заголовок 3 2 4" xfId="659"/>
    <cellStyle name="Заголовок 3 2 5" xfId="660"/>
    <cellStyle name="Заголовок 3 3" xfId="661"/>
    <cellStyle name="Заголовок 3 3 2" xfId="662"/>
    <cellStyle name="Заголовок 3 3 3" xfId="663"/>
    <cellStyle name="Заголовок 3 3 4" xfId="664"/>
    <cellStyle name="Заголовок 3 3 5" xfId="665"/>
    <cellStyle name="Заголовок 3 4" xfId="666"/>
    <cellStyle name="Заголовок 3 4 2" xfId="667"/>
    <cellStyle name="Заголовок 3 4 3" xfId="668"/>
    <cellStyle name="Заголовок 3 4 4" xfId="669"/>
    <cellStyle name="Заголовок 3 4 5" xfId="670"/>
    <cellStyle name="Заголовок 3 5" xfId="671"/>
    <cellStyle name="Заголовок 3 5 2" xfId="672"/>
    <cellStyle name="Заголовок 3 5 3" xfId="673"/>
    <cellStyle name="Заголовок 3 5 4" xfId="674"/>
    <cellStyle name="Заголовок 3 5 5" xfId="675"/>
    <cellStyle name="Заголовок 4" xfId="676"/>
    <cellStyle name="Заголовок 4 2" xfId="677"/>
    <cellStyle name="Заголовок 4 2 2" xfId="678"/>
    <cellStyle name="Заголовок 4 2 3" xfId="679"/>
    <cellStyle name="Заголовок 4 2 4" xfId="680"/>
    <cellStyle name="Заголовок 4 2 5" xfId="681"/>
    <cellStyle name="Заголовок 4 3" xfId="682"/>
    <cellStyle name="Заголовок 4 3 2" xfId="683"/>
    <cellStyle name="Заголовок 4 3 3" xfId="684"/>
    <cellStyle name="Заголовок 4 3 4" xfId="685"/>
    <cellStyle name="Заголовок 4 3 5" xfId="686"/>
    <cellStyle name="Заголовок 4 4" xfId="687"/>
    <cellStyle name="Заголовок 4 4 2" xfId="688"/>
    <cellStyle name="Заголовок 4 4 3" xfId="689"/>
    <cellStyle name="Заголовок 4 4 4" xfId="690"/>
    <cellStyle name="Заголовок 4 4 5" xfId="691"/>
    <cellStyle name="Заголовок 4 5" xfId="692"/>
    <cellStyle name="Заголовок 4 5 2" xfId="693"/>
    <cellStyle name="Заголовок 4 5 3" xfId="694"/>
    <cellStyle name="Заголовок 4 5 4" xfId="695"/>
    <cellStyle name="Заголовок 4 5 5" xfId="696"/>
    <cellStyle name="Итог" xfId="697"/>
    <cellStyle name="Итог 2" xfId="698"/>
    <cellStyle name="Итог 2 2" xfId="699"/>
    <cellStyle name="Итог 2 3" xfId="700"/>
    <cellStyle name="Итог 2 4" xfId="701"/>
    <cellStyle name="Итог 2 5" xfId="702"/>
    <cellStyle name="Итог 3" xfId="703"/>
    <cellStyle name="Итог 3 2" xfId="704"/>
    <cellStyle name="Итог 3 3" xfId="705"/>
    <cellStyle name="Итог 3 4" xfId="706"/>
    <cellStyle name="Итог 3 5" xfId="707"/>
    <cellStyle name="Итог 4" xfId="708"/>
    <cellStyle name="Итог 4 2" xfId="709"/>
    <cellStyle name="Итог 4 3" xfId="710"/>
    <cellStyle name="Итог 4 4" xfId="711"/>
    <cellStyle name="Итог 4 5" xfId="712"/>
    <cellStyle name="Итог 5" xfId="713"/>
    <cellStyle name="Итог 5 2" xfId="714"/>
    <cellStyle name="Итог 5 3" xfId="715"/>
    <cellStyle name="Итог 5 4" xfId="716"/>
    <cellStyle name="Итог 5 5" xfId="717"/>
    <cellStyle name="Контрольная ячейка" xfId="718"/>
    <cellStyle name="Контрольная ячейка 2" xfId="719"/>
    <cellStyle name="Контрольная ячейка 2 2" xfId="720"/>
    <cellStyle name="Контрольная ячейка 2 3" xfId="721"/>
    <cellStyle name="Контрольная ячейка 2 4" xfId="722"/>
    <cellStyle name="Контрольная ячейка 2 5" xfId="723"/>
    <cellStyle name="Контрольная ячейка 3" xfId="724"/>
    <cellStyle name="Контрольная ячейка 3 2" xfId="725"/>
    <cellStyle name="Контрольная ячейка 3 3" xfId="726"/>
    <cellStyle name="Контрольная ячейка 3 4" xfId="727"/>
    <cellStyle name="Контрольная ячейка 3 5" xfId="728"/>
    <cellStyle name="Контрольная ячейка 4" xfId="729"/>
    <cellStyle name="Контрольная ячейка 4 2" xfId="730"/>
    <cellStyle name="Контрольная ячейка 4 3" xfId="731"/>
    <cellStyle name="Контрольная ячейка 4 4" xfId="732"/>
    <cellStyle name="Контрольная ячейка 4 5" xfId="733"/>
    <cellStyle name="Контрольная ячейка 5" xfId="734"/>
    <cellStyle name="Контрольная ячейка 5 2" xfId="735"/>
    <cellStyle name="Контрольная ячейка 5 3" xfId="736"/>
    <cellStyle name="Контрольная ячейка 5 4" xfId="737"/>
    <cellStyle name="Контрольная ячейка 5 5" xfId="738"/>
    <cellStyle name="Контрольная ячейка 6" xfId="739"/>
    <cellStyle name="Название" xfId="740"/>
    <cellStyle name="Название 2" xfId="741"/>
    <cellStyle name="Название 2 2" xfId="742"/>
    <cellStyle name="Название 2 3" xfId="743"/>
    <cellStyle name="Название 2 4" xfId="744"/>
    <cellStyle name="Название 2 5" xfId="745"/>
    <cellStyle name="Название 3" xfId="746"/>
    <cellStyle name="Название 3 2" xfId="747"/>
    <cellStyle name="Название 3 3" xfId="748"/>
    <cellStyle name="Название 3 4" xfId="749"/>
    <cellStyle name="Название 3 5" xfId="750"/>
    <cellStyle name="Название 4" xfId="751"/>
    <cellStyle name="Название 4 2" xfId="752"/>
    <cellStyle name="Название 4 3" xfId="753"/>
    <cellStyle name="Название 4 4" xfId="754"/>
    <cellStyle name="Название 4 5" xfId="755"/>
    <cellStyle name="Название 5" xfId="756"/>
    <cellStyle name="Название 5 2" xfId="757"/>
    <cellStyle name="Название 5 3" xfId="758"/>
    <cellStyle name="Название 5 4" xfId="759"/>
    <cellStyle name="Название 5 5" xfId="760"/>
    <cellStyle name="Нейтральный" xfId="761"/>
    <cellStyle name="Нейтральный 2" xfId="762"/>
    <cellStyle name="Нейтральный 2 2" xfId="763"/>
    <cellStyle name="Нейтральный 2 3" xfId="764"/>
    <cellStyle name="Нейтральный 2 4" xfId="765"/>
    <cellStyle name="Нейтральный 2 5" xfId="766"/>
    <cellStyle name="Нейтральный 3" xfId="767"/>
    <cellStyle name="Нейтральный 3 2" xfId="768"/>
    <cellStyle name="Нейтральный 3 3" xfId="769"/>
    <cellStyle name="Нейтральный 3 4" xfId="770"/>
    <cellStyle name="Нейтральный 3 5" xfId="771"/>
    <cellStyle name="Нейтральный 4" xfId="772"/>
    <cellStyle name="Нейтральный 4 2" xfId="773"/>
    <cellStyle name="Нейтральный 4 3" xfId="774"/>
    <cellStyle name="Нейтральный 4 4" xfId="775"/>
    <cellStyle name="Нейтральный 4 5" xfId="776"/>
    <cellStyle name="Нейтральный 5" xfId="777"/>
    <cellStyle name="Нейтральный 5 2" xfId="778"/>
    <cellStyle name="Нейтральный 5 3" xfId="779"/>
    <cellStyle name="Нейтральный 5 4" xfId="780"/>
    <cellStyle name="Нейтральный 5 5" xfId="781"/>
    <cellStyle name="Нейтральный 6" xfId="782"/>
    <cellStyle name="Обычный 10" xfId="783"/>
    <cellStyle name="Обычный 11" xfId="784"/>
    <cellStyle name="Обычный 2" xfId="785"/>
    <cellStyle name="Обычный 2 2" xfId="786"/>
    <cellStyle name="Обычный 2 3" xfId="787"/>
    <cellStyle name="Обычный 2 4" xfId="788"/>
    <cellStyle name="Обычный 2 5" xfId="789"/>
    <cellStyle name="Обычный 3" xfId="790"/>
    <cellStyle name="Обычный 4" xfId="791"/>
    <cellStyle name="Обычный 5" xfId="792"/>
    <cellStyle name="Обычный 5 2" xfId="793"/>
    <cellStyle name="Обычный 6" xfId="794"/>
    <cellStyle name="Обычный 7" xfId="795"/>
    <cellStyle name="Обычный 8" xfId="796"/>
    <cellStyle name="Обычный 9" xfId="797"/>
    <cellStyle name="Обычный_ПЛАН Бюджету розвитку на 2013_деп.економіки" xfId="798"/>
    <cellStyle name="Followed Hyperlink" xfId="799"/>
    <cellStyle name="Плохой" xfId="800"/>
    <cellStyle name="Плохой 2" xfId="801"/>
    <cellStyle name="Плохой 2 2" xfId="802"/>
    <cellStyle name="Плохой 2 3" xfId="803"/>
    <cellStyle name="Плохой 2 4" xfId="804"/>
    <cellStyle name="Плохой 2 5" xfId="805"/>
    <cellStyle name="Плохой 3" xfId="806"/>
    <cellStyle name="Плохой 3 2" xfId="807"/>
    <cellStyle name="Плохой 3 3" xfId="808"/>
    <cellStyle name="Плохой 3 4" xfId="809"/>
    <cellStyle name="Плохой 3 5" xfId="810"/>
    <cellStyle name="Плохой 4" xfId="811"/>
    <cellStyle name="Плохой 4 2" xfId="812"/>
    <cellStyle name="Плохой 4 3" xfId="813"/>
    <cellStyle name="Плохой 4 4" xfId="814"/>
    <cellStyle name="Плохой 4 5" xfId="815"/>
    <cellStyle name="Плохой 5" xfId="816"/>
    <cellStyle name="Плохой 5 2" xfId="817"/>
    <cellStyle name="Плохой 5 3" xfId="818"/>
    <cellStyle name="Плохой 5 4" xfId="819"/>
    <cellStyle name="Плохой 5 5" xfId="820"/>
    <cellStyle name="Плохой 6" xfId="821"/>
    <cellStyle name="Пояснение" xfId="822"/>
    <cellStyle name="Пояснение 2" xfId="823"/>
    <cellStyle name="Пояснение 2 2" xfId="824"/>
    <cellStyle name="Пояснение 2 3" xfId="825"/>
    <cellStyle name="Пояснение 2 4" xfId="826"/>
    <cellStyle name="Пояснение 2 5" xfId="827"/>
    <cellStyle name="Пояснение 3" xfId="828"/>
    <cellStyle name="Пояснение 3 2" xfId="829"/>
    <cellStyle name="Пояснение 3 3" xfId="830"/>
    <cellStyle name="Пояснение 3 4" xfId="831"/>
    <cellStyle name="Пояснение 3 5" xfId="832"/>
    <cellStyle name="Пояснение 4" xfId="833"/>
    <cellStyle name="Пояснение 4 2" xfId="834"/>
    <cellStyle name="Пояснение 4 3" xfId="835"/>
    <cellStyle name="Пояснение 4 4" xfId="836"/>
    <cellStyle name="Пояснение 4 5" xfId="837"/>
    <cellStyle name="Пояснение 5" xfId="838"/>
    <cellStyle name="Пояснение 5 2" xfId="839"/>
    <cellStyle name="Пояснение 5 3" xfId="840"/>
    <cellStyle name="Пояснение 5 4" xfId="841"/>
    <cellStyle name="Пояснение 5 5" xfId="842"/>
    <cellStyle name="Примечание" xfId="843"/>
    <cellStyle name="Примечание 2" xfId="844"/>
    <cellStyle name="Примечание 2 2" xfId="845"/>
    <cellStyle name="Примечание 2 3" xfId="846"/>
    <cellStyle name="Примечание 2 4" xfId="847"/>
    <cellStyle name="Примечание 2 5" xfId="848"/>
    <cellStyle name="Примечание 3" xfId="849"/>
    <cellStyle name="Примечание 3 2" xfId="850"/>
    <cellStyle name="Примечание 3 3" xfId="851"/>
    <cellStyle name="Примечание 3 4" xfId="852"/>
    <cellStyle name="Примечание 3 5" xfId="853"/>
    <cellStyle name="Примечание 4" xfId="854"/>
    <cellStyle name="Примечание 4 2" xfId="855"/>
    <cellStyle name="Примечание 4 3" xfId="856"/>
    <cellStyle name="Примечание 4 4" xfId="857"/>
    <cellStyle name="Примечание 4 5" xfId="858"/>
    <cellStyle name="Примечание 5" xfId="859"/>
    <cellStyle name="Примечание 5 2" xfId="860"/>
    <cellStyle name="Примечание 5 3" xfId="861"/>
    <cellStyle name="Примечание 5 4" xfId="862"/>
    <cellStyle name="Примечание 5 5" xfId="863"/>
    <cellStyle name="Примечание 6" xfId="864"/>
    <cellStyle name="Percent" xfId="865"/>
    <cellStyle name="Процентный 2" xfId="866"/>
    <cellStyle name="Процентный 2 10" xfId="867"/>
    <cellStyle name="Процентный 2 11" xfId="868"/>
    <cellStyle name="Процентный 2 12" xfId="869"/>
    <cellStyle name="Процентный 2 13" xfId="870"/>
    <cellStyle name="Процентный 2 14" xfId="871"/>
    <cellStyle name="Процентный 2 15" xfId="872"/>
    <cellStyle name="Процентный 2 16" xfId="873"/>
    <cellStyle name="Процентный 2 17" xfId="874"/>
    <cellStyle name="Процентный 2 18" xfId="875"/>
    <cellStyle name="Процентный 2 19" xfId="876"/>
    <cellStyle name="Процентный 2 2" xfId="877"/>
    <cellStyle name="Процентный 2 20" xfId="878"/>
    <cellStyle name="Процентный 2 21" xfId="879"/>
    <cellStyle name="Процентный 2 22" xfId="880"/>
    <cellStyle name="Процентный 2 23" xfId="881"/>
    <cellStyle name="Процентный 2 24" xfId="882"/>
    <cellStyle name="Процентный 2 25" xfId="883"/>
    <cellStyle name="Процентный 2 26" xfId="884"/>
    <cellStyle name="Процентный 2 27" xfId="885"/>
    <cellStyle name="Процентный 2 3" xfId="886"/>
    <cellStyle name="Процентный 2 3 2" xfId="887"/>
    <cellStyle name="Процентный 2 4" xfId="888"/>
    <cellStyle name="Процентный 2 5" xfId="889"/>
    <cellStyle name="Процентный 2 6" xfId="890"/>
    <cellStyle name="Процентный 2 7" xfId="891"/>
    <cellStyle name="Процентный 2 8" xfId="892"/>
    <cellStyle name="Процентный 2 9" xfId="893"/>
    <cellStyle name="Процентный 5" xfId="894"/>
    <cellStyle name="Процентный 5 2" xfId="895"/>
    <cellStyle name="Связанная ячейка" xfId="896"/>
    <cellStyle name="Связанная ячейка 2" xfId="897"/>
    <cellStyle name="Связанная ячейка 2 2" xfId="898"/>
    <cellStyle name="Связанная ячейка 2 3" xfId="899"/>
    <cellStyle name="Связанная ячейка 2 4" xfId="900"/>
    <cellStyle name="Связанная ячейка 2 5" xfId="901"/>
    <cellStyle name="Связанная ячейка 3" xfId="902"/>
    <cellStyle name="Связанная ячейка 3 2" xfId="903"/>
    <cellStyle name="Связанная ячейка 3 3" xfId="904"/>
    <cellStyle name="Связанная ячейка 3 4" xfId="905"/>
    <cellStyle name="Связанная ячейка 3 5" xfId="906"/>
    <cellStyle name="Связанная ячейка 4" xfId="907"/>
    <cellStyle name="Связанная ячейка 4 2" xfId="908"/>
    <cellStyle name="Связанная ячейка 4 3" xfId="909"/>
    <cellStyle name="Связанная ячейка 4 4" xfId="910"/>
    <cellStyle name="Связанная ячейка 4 5" xfId="911"/>
    <cellStyle name="Связанная ячейка 5" xfId="912"/>
    <cellStyle name="Связанная ячейка 5 2" xfId="913"/>
    <cellStyle name="Связанная ячейка 5 3" xfId="914"/>
    <cellStyle name="Связанная ячейка 5 4" xfId="915"/>
    <cellStyle name="Связанная ячейка 5 5" xfId="916"/>
    <cellStyle name="Текст предупреждения" xfId="917"/>
    <cellStyle name="Текст предупреждения 2" xfId="918"/>
    <cellStyle name="Текст предупреждения 2 2" xfId="919"/>
    <cellStyle name="Текст предупреждения 2 3" xfId="920"/>
    <cellStyle name="Текст предупреждения 2 4" xfId="921"/>
    <cellStyle name="Текст предупреждения 2 5" xfId="922"/>
    <cellStyle name="Текст предупреждения 3" xfId="923"/>
    <cellStyle name="Текст предупреждения 3 2" xfId="924"/>
    <cellStyle name="Текст предупреждения 3 3" xfId="925"/>
    <cellStyle name="Текст предупреждения 3 4" xfId="926"/>
    <cellStyle name="Текст предупреждения 3 5" xfId="927"/>
    <cellStyle name="Текст предупреждения 4" xfId="928"/>
    <cellStyle name="Текст предупреждения 4 2" xfId="929"/>
    <cellStyle name="Текст предупреждения 4 3" xfId="930"/>
    <cellStyle name="Текст предупреждения 4 4" xfId="931"/>
    <cellStyle name="Текст предупреждения 4 5" xfId="932"/>
    <cellStyle name="Текст предупреждения 5" xfId="933"/>
    <cellStyle name="Текст предупреждения 5 2" xfId="934"/>
    <cellStyle name="Текст предупреждения 5 3" xfId="935"/>
    <cellStyle name="Текст предупреждения 5 4" xfId="936"/>
    <cellStyle name="Текст предупреждения 5 5" xfId="937"/>
    <cellStyle name="Comma" xfId="938"/>
    <cellStyle name="Comma [0]" xfId="939"/>
    <cellStyle name="Хороший" xfId="940"/>
    <cellStyle name="Хороший 2" xfId="941"/>
    <cellStyle name="Хороший 2 2" xfId="942"/>
    <cellStyle name="Хороший 2 3" xfId="943"/>
    <cellStyle name="Хороший 2 4" xfId="944"/>
    <cellStyle name="Хороший 2 5" xfId="945"/>
    <cellStyle name="Хороший 3" xfId="946"/>
    <cellStyle name="Хороший 3 2" xfId="947"/>
    <cellStyle name="Хороший 3 3" xfId="948"/>
    <cellStyle name="Хороший 3 4" xfId="949"/>
    <cellStyle name="Хороший 3 5" xfId="950"/>
    <cellStyle name="Хороший 4" xfId="951"/>
    <cellStyle name="Хороший 4 2" xfId="952"/>
    <cellStyle name="Хороший 4 3" xfId="953"/>
    <cellStyle name="Хороший 4 4" xfId="954"/>
    <cellStyle name="Хороший 4 5" xfId="955"/>
    <cellStyle name="Хороший 5" xfId="956"/>
    <cellStyle name="Хороший 5 2" xfId="957"/>
    <cellStyle name="Хороший 5 3" xfId="958"/>
    <cellStyle name="Хороший 5 4" xfId="959"/>
    <cellStyle name="Хороший 5 5" xfId="960"/>
    <cellStyle name="Хороший 6" xfId="9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430"/>
  <sheetViews>
    <sheetView view="pageBreakPreview" zoomScale="80" zoomScaleNormal="80" zoomScaleSheetLayoutView="80" workbookViewId="0" topLeftCell="D418">
      <selection activeCell="A7" sqref="A7:I7"/>
    </sheetView>
  </sheetViews>
  <sheetFormatPr defaultColWidth="9.140625" defaultRowHeight="15"/>
  <cols>
    <col min="1" max="1" width="10.421875" style="8" customWidth="1"/>
    <col min="2" max="2" width="27.7109375" style="42" customWidth="1"/>
    <col min="3" max="3" width="59.140625" style="42" customWidth="1"/>
    <col min="4" max="4" width="17.57421875" style="8" customWidth="1"/>
    <col min="5" max="5" width="10.140625" style="8" customWidth="1"/>
    <col min="6" max="6" width="16.140625" style="9" customWidth="1"/>
    <col min="7" max="7" width="16.140625" style="8" customWidth="1"/>
    <col min="8" max="8" width="17.00390625" style="8" customWidth="1"/>
    <col min="9" max="9" width="49.00390625" style="8" customWidth="1"/>
    <col min="10" max="16384" width="9.140625" style="8" customWidth="1"/>
  </cols>
  <sheetData>
    <row r="1" spans="2:9" s="100" customFormat="1" ht="19.5" customHeight="1">
      <c r="B1" s="101"/>
      <c r="H1" s="105"/>
      <c r="I1" s="106"/>
    </row>
    <row r="2" spans="1:9" s="103" customFormat="1" ht="30" customHeight="1">
      <c r="A2" s="107"/>
      <c r="B2" s="102"/>
      <c r="C2" s="104"/>
      <c r="D2" s="104"/>
      <c r="E2" s="104"/>
      <c r="F2" s="104"/>
      <c r="G2" s="104"/>
      <c r="H2" s="104"/>
      <c r="I2" s="104" t="s">
        <v>309</v>
      </c>
    </row>
    <row r="3" spans="1:9" s="103" customFormat="1" ht="110.25" customHeight="1">
      <c r="A3" s="107"/>
      <c r="B3" s="102"/>
      <c r="C3" s="104"/>
      <c r="D3" s="104"/>
      <c r="E3" s="104"/>
      <c r="F3" s="104"/>
      <c r="G3" s="104"/>
      <c r="H3" s="108"/>
      <c r="I3" s="108" t="s">
        <v>340</v>
      </c>
    </row>
    <row r="4" spans="1:9" s="103" customFormat="1" ht="30" customHeight="1">
      <c r="A4" s="107"/>
      <c r="B4" s="102"/>
      <c r="C4" s="104"/>
      <c r="D4" s="104"/>
      <c r="E4" s="104"/>
      <c r="F4" s="104"/>
      <c r="G4" s="108"/>
      <c r="H4" s="108"/>
      <c r="I4" s="108"/>
    </row>
    <row r="5" spans="1:9" s="100" customFormat="1" ht="43.5" customHeight="1">
      <c r="A5" s="189" t="s">
        <v>497</v>
      </c>
      <c r="B5" s="189"/>
      <c r="C5" s="189"/>
      <c r="D5" s="189"/>
      <c r="E5" s="189"/>
      <c r="F5" s="189"/>
      <c r="G5" s="189"/>
      <c r="H5" s="189"/>
      <c r="I5" s="189"/>
    </row>
    <row r="6" spans="1:9" s="4" customFormat="1" ht="45.75" customHeight="1">
      <c r="A6" s="5"/>
      <c r="B6" s="6"/>
      <c r="C6" s="5"/>
      <c r="D6" s="5"/>
      <c r="F6" s="7"/>
      <c r="H6" s="109"/>
      <c r="I6" s="109" t="s">
        <v>310</v>
      </c>
    </row>
    <row r="7" spans="1:9" s="4" customFormat="1" ht="51" customHeight="1">
      <c r="A7" s="190" t="s">
        <v>380</v>
      </c>
      <c r="B7" s="190"/>
      <c r="C7" s="190"/>
      <c r="D7" s="190"/>
      <c r="E7" s="190"/>
      <c r="F7" s="190"/>
      <c r="G7" s="190"/>
      <c r="H7" s="190"/>
      <c r="I7" s="190"/>
    </row>
    <row r="8" spans="2:6" ht="19.5" customHeight="1" thickBot="1">
      <c r="B8" s="177"/>
      <c r="C8" s="177"/>
      <c r="E8" s="9"/>
      <c r="F8" s="8"/>
    </row>
    <row r="9" spans="1:9" ht="85.5" customHeight="1">
      <c r="A9" s="10" t="s">
        <v>505</v>
      </c>
      <c r="B9" s="43" t="s">
        <v>475</v>
      </c>
      <c r="C9" s="210" t="s">
        <v>506</v>
      </c>
      <c r="D9" s="210" t="s">
        <v>477</v>
      </c>
      <c r="E9" s="212" t="s">
        <v>507</v>
      </c>
      <c r="F9" s="210" t="s">
        <v>508</v>
      </c>
      <c r="G9" s="197" t="s">
        <v>229</v>
      </c>
      <c r="H9" s="197" t="s">
        <v>230</v>
      </c>
      <c r="I9" s="201" t="s">
        <v>228</v>
      </c>
    </row>
    <row r="10" spans="1:9" ht="109.5" customHeight="1" thickBot="1">
      <c r="A10" s="112" t="s">
        <v>509</v>
      </c>
      <c r="B10" s="113" t="s">
        <v>510</v>
      </c>
      <c r="C10" s="211"/>
      <c r="D10" s="211"/>
      <c r="E10" s="213"/>
      <c r="F10" s="211"/>
      <c r="G10" s="198"/>
      <c r="H10" s="198"/>
      <c r="I10" s="202"/>
    </row>
    <row r="11" spans="1:9" ht="18.75" customHeight="1" thickBot="1">
      <c r="A11" s="11">
        <v>1</v>
      </c>
      <c r="B11" s="12">
        <v>2</v>
      </c>
      <c r="C11" s="12">
        <v>3</v>
      </c>
      <c r="D11" s="12">
        <v>4</v>
      </c>
      <c r="E11" s="116">
        <v>5</v>
      </c>
      <c r="F11" s="12">
        <v>6</v>
      </c>
      <c r="G11" s="12">
        <v>7</v>
      </c>
      <c r="H11" s="12">
        <v>8</v>
      </c>
      <c r="I11" s="117">
        <v>9</v>
      </c>
    </row>
    <row r="12" spans="1:9" ht="27" customHeight="1">
      <c r="A12" s="87"/>
      <c r="B12" s="88"/>
      <c r="C12" s="114" t="s">
        <v>511</v>
      </c>
      <c r="D12" s="115">
        <f>SUM(D13+D390+D94+D18+D44+D83+D14+D384+D406+D422+D92+D418+D90)</f>
        <v>512671.896</v>
      </c>
      <c r="E12" s="115"/>
      <c r="F12" s="115">
        <f>SUM(F13+F390+F94+F18+F44+F83+F14+F384+F406+F422+F92+F418+F90)</f>
        <v>435091.91878000007</v>
      </c>
      <c r="G12" s="115">
        <f>SUM(G13+G390+G94+G18+G44+G83+G14+G384+G406+G422+G92+G418+G90)</f>
        <v>120216.79</v>
      </c>
      <c r="H12" s="115">
        <f>SUM(H13+H390+H94+H18+H44+H83+H14+H384+H406+H422+H92+H418+H90)</f>
        <v>55335.63912000001</v>
      </c>
      <c r="I12" s="118"/>
    </row>
    <row r="13" spans="1:9" ht="53.25" customHeight="1">
      <c r="A13" s="40"/>
      <c r="B13" s="39"/>
      <c r="C13" s="39" t="s">
        <v>513</v>
      </c>
      <c r="D13" s="1">
        <v>25000</v>
      </c>
      <c r="E13" s="1"/>
      <c r="F13" s="1">
        <v>25000</v>
      </c>
      <c r="G13" s="1">
        <v>10000</v>
      </c>
      <c r="H13" s="1">
        <v>10000</v>
      </c>
      <c r="I13" s="119"/>
    </row>
    <row r="14" spans="1:15" s="16" customFormat="1" ht="36" customHeight="1">
      <c r="A14" s="84" t="s">
        <v>515</v>
      </c>
      <c r="B14" s="85" t="s">
        <v>516</v>
      </c>
      <c r="C14" s="85"/>
      <c r="D14" s="86">
        <f>SUM(D15:D17)</f>
        <v>2498.718</v>
      </c>
      <c r="E14" s="86"/>
      <c r="F14" s="86">
        <f>SUM(F15:F17)</f>
        <v>2497.61832</v>
      </c>
      <c r="G14" s="86">
        <f>SUM(G15:G17)-G16</f>
        <v>838.7439999999999</v>
      </c>
      <c r="H14" s="86">
        <f>SUM(H15:H17)-H16-0.001</f>
        <v>391.59988</v>
      </c>
      <c r="I14" s="120"/>
      <c r="J14" s="13" t="s">
        <v>131</v>
      </c>
      <c r="K14" s="13"/>
      <c r="L14" s="13"/>
      <c r="M14" s="13"/>
      <c r="N14" s="8"/>
      <c r="O14" s="15"/>
    </row>
    <row r="15" spans="1:15" s="16" customFormat="1" ht="50.25" customHeight="1">
      <c r="A15" s="214">
        <v>150101</v>
      </c>
      <c r="B15" s="199" t="s">
        <v>478</v>
      </c>
      <c r="C15" s="39" t="s">
        <v>557</v>
      </c>
      <c r="D15" s="1">
        <v>2498.718</v>
      </c>
      <c r="E15" s="17">
        <f>100-(F15/D15)*100</f>
        <v>0.04400976820913627</v>
      </c>
      <c r="F15" s="1">
        <f>D15-1.09968</f>
        <v>2497.61832</v>
      </c>
      <c r="G15" s="1">
        <v>785.192</v>
      </c>
      <c r="H15" s="1">
        <v>338.049</v>
      </c>
      <c r="I15" s="191" t="s">
        <v>363</v>
      </c>
      <c r="J15" s="8"/>
      <c r="K15" s="8"/>
      <c r="L15" s="8"/>
      <c r="M15" s="8"/>
      <c r="O15" s="15"/>
    </row>
    <row r="16" spans="1:15" s="16" customFormat="1" ht="34.5" customHeight="1">
      <c r="A16" s="214"/>
      <c r="B16" s="199"/>
      <c r="C16" s="39" t="s">
        <v>7</v>
      </c>
      <c r="D16" s="1"/>
      <c r="E16" s="17"/>
      <c r="F16" s="1"/>
      <c r="G16" s="1">
        <v>338.049</v>
      </c>
      <c r="H16" s="1">
        <v>338.049</v>
      </c>
      <c r="I16" s="192"/>
      <c r="J16" s="8"/>
      <c r="K16" s="8"/>
      <c r="L16" s="8"/>
      <c r="M16" s="8"/>
      <c r="O16" s="15"/>
    </row>
    <row r="17" spans="1:9" ht="186" customHeight="1">
      <c r="A17" s="44">
        <v>150107</v>
      </c>
      <c r="B17" s="18" t="s">
        <v>0</v>
      </c>
      <c r="C17" s="39" t="s">
        <v>226</v>
      </c>
      <c r="D17" s="1"/>
      <c r="E17" s="19"/>
      <c r="F17" s="1"/>
      <c r="G17" s="1">
        <v>53.552</v>
      </c>
      <c r="H17" s="1">
        <v>53.55188</v>
      </c>
      <c r="I17" s="119" t="s">
        <v>382</v>
      </c>
    </row>
    <row r="18" spans="1:9" ht="75" customHeight="1">
      <c r="A18" s="90">
        <v>10</v>
      </c>
      <c r="B18" s="85" t="s">
        <v>484</v>
      </c>
      <c r="C18" s="89"/>
      <c r="D18" s="86">
        <f>SUM(D19:D43)</f>
        <v>71127.35900000001</v>
      </c>
      <c r="E18" s="91"/>
      <c r="F18" s="86">
        <f>SUM(F19:F43)</f>
        <v>58249.536620000006</v>
      </c>
      <c r="G18" s="86">
        <f>SUM(G19+G21+G23+G25+G26+G28+G30+G31+G33+G34+G39+G41+G42)</f>
        <v>18135.576</v>
      </c>
      <c r="H18" s="86">
        <f>H19+H21+H23+H25+H26+H28+H30+H31+H33+H34+H39+H41+H42-0.001</f>
        <v>9209.168450000001</v>
      </c>
      <c r="I18" s="119"/>
    </row>
    <row r="19" spans="1:9" ht="64.5" customHeight="1">
      <c r="A19" s="203" t="s">
        <v>476</v>
      </c>
      <c r="B19" s="199" t="s">
        <v>478</v>
      </c>
      <c r="C19" s="20" t="s">
        <v>270</v>
      </c>
      <c r="D19" s="1">
        <v>6379.139</v>
      </c>
      <c r="E19" s="17">
        <f aca="true" t="shared" si="0" ref="E19:E42">100-(F19/D19)*100</f>
        <v>57.21118241819154</v>
      </c>
      <c r="F19" s="1">
        <f>D19-(1687.311+344.04021+44.9761+181.131+636.19824+755.9243)</f>
        <v>2729.5581500000003</v>
      </c>
      <c r="G19" s="1">
        <f>1388.547-28</f>
        <v>1360.547</v>
      </c>
      <c r="H19" s="1">
        <v>631.8392</v>
      </c>
      <c r="I19" s="182" t="s">
        <v>235</v>
      </c>
    </row>
    <row r="20" spans="1:15" s="16" customFormat="1" ht="34.5" customHeight="1">
      <c r="A20" s="203"/>
      <c r="B20" s="199"/>
      <c r="C20" s="39" t="s">
        <v>7</v>
      </c>
      <c r="D20" s="1"/>
      <c r="E20" s="17"/>
      <c r="F20" s="1"/>
      <c r="G20" s="1">
        <v>12.354</v>
      </c>
      <c r="H20" s="1">
        <v>12.354</v>
      </c>
      <c r="I20" s="182"/>
      <c r="J20" s="8"/>
      <c r="K20" s="8"/>
      <c r="L20" s="8"/>
      <c r="M20" s="8"/>
      <c r="O20" s="15"/>
    </row>
    <row r="21" spans="1:9" ht="56.25" customHeight="1">
      <c r="A21" s="203" t="s">
        <v>476</v>
      </c>
      <c r="B21" s="199" t="s">
        <v>478</v>
      </c>
      <c r="C21" s="39" t="s">
        <v>473</v>
      </c>
      <c r="D21" s="1">
        <v>9880.23</v>
      </c>
      <c r="E21" s="17">
        <f t="shared" si="0"/>
        <v>12.917739465579231</v>
      </c>
      <c r="F21" s="1">
        <f>D21-(1069.7+206.46924+0.13313)</f>
        <v>8603.92763</v>
      </c>
      <c r="G21" s="1">
        <f>50-37.4</f>
        <v>12.600000000000001</v>
      </c>
      <c r="H21" s="1">
        <v>10.89113</v>
      </c>
      <c r="I21" s="195" t="s">
        <v>234</v>
      </c>
    </row>
    <row r="22" spans="1:15" s="16" customFormat="1" ht="40.5" customHeight="1">
      <c r="A22" s="203"/>
      <c r="B22" s="199"/>
      <c r="C22" s="39" t="s">
        <v>7</v>
      </c>
      <c r="D22" s="1"/>
      <c r="E22" s="17"/>
      <c r="F22" s="1"/>
      <c r="G22" s="1">
        <v>4.796</v>
      </c>
      <c r="H22" s="1">
        <v>4.796</v>
      </c>
      <c r="I22" s="195"/>
      <c r="J22" s="8"/>
      <c r="K22" s="8"/>
      <c r="L22" s="8"/>
      <c r="M22" s="8"/>
      <c r="O22" s="15"/>
    </row>
    <row r="23" spans="1:9" ht="57.75" customHeight="1">
      <c r="A23" s="203" t="s">
        <v>476</v>
      </c>
      <c r="B23" s="200" t="s">
        <v>478</v>
      </c>
      <c r="C23" s="20" t="s">
        <v>219</v>
      </c>
      <c r="D23" s="1">
        <v>3519.492</v>
      </c>
      <c r="E23" s="17">
        <f t="shared" si="0"/>
        <v>38.6008406895086</v>
      </c>
      <c r="F23" s="1">
        <f>D23-(749.9996+98.7815+273.5188+182.1816+54.072)</f>
        <v>2160.9385</v>
      </c>
      <c r="G23" s="1">
        <v>130.816</v>
      </c>
      <c r="H23" s="1">
        <v>130.816</v>
      </c>
      <c r="I23" s="195" t="s">
        <v>384</v>
      </c>
    </row>
    <row r="24" spans="1:15" s="16" customFormat="1" ht="40.5" customHeight="1">
      <c r="A24" s="203"/>
      <c r="B24" s="200"/>
      <c r="C24" s="39" t="s">
        <v>7</v>
      </c>
      <c r="D24" s="1"/>
      <c r="E24" s="17"/>
      <c r="F24" s="1"/>
      <c r="G24" s="1">
        <v>130.816</v>
      </c>
      <c r="H24" s="1">
        <v>130.816</v>
      </c>
      <c r="I24" s="195"/>
      <c r="J24" s="8"/>
      <c r="K24" s="8"/>
      <c r="L24" s="8"/>
      <c r="M24" s="8"/>
      <c r="O24" s="15"/>
    </row>
    <row r="25" spans="1:9" ht="94.5" customHeight="1">
      <c r="A25" s="38" t="s">
        <v>476</v>
      </c>
      <c r="B25" s="39" t="s">
        <v>478</v>
      </c>
      <c r="C25" s="39" t="s">
        <v>305</v>
      </c>
      <c r="D25" s="1">
        <v>650</v>
      </c>
      <c r="E25" s="17">
        <f t="shared" si="0"/>
        <v>0</v>
      </c>
      <c r="F25" s="1">
        <f>D25</f>
        <v>650</v>
      </c>
      <c r="G25" s="1">
        <v>250</v>
      </c>
      <c r="H25" s="1">
        <v>19.96722</v>
      </c>
      <c r="I25" s="121" t="s">
        <v>236</v>
      </c>
    </row>
    <row r="26" spans="1:9" ht="60.75" customHeight="1">
      <c r="A26" s="203" t="s">
        <v>476</v>
      </c>
      <c r="B26" s="199" t="s">
        <v>478</v>
      </c>
      <c r="C26" s="20" t="s">
        <v>488</v>
      </c>
      <c r="D26" s="1">
        <v>1002.696</v>
      </c>
      <c r="E26" s="17">
        <f t="shared" si="0"/>
        <v>54.72243232245865</v>
      </c>
      <c r="F26" s="1">
        <f>D26-(21.29719+527.40245)</f>
        <v>453.99636</v>
      </c>
      <c r="G26" s="1">
        <v>453.996</v>
      </c>
      <c r="H26" s="1">
        <v>211.65475</v>
      </c>
      <c r="I26" s="182" t="s">
        <v>271</v>
      </c>
    </row>
    <row r="27" spans="1:15" s="16" customFormat="1" ht="46.5" customHeight="1">
      <c r="A27" s="203"/>
      <c r="B27" s="199"/>
      <c r="C27" s="39" t="s">
        <v>7</v>
      </c>
      <c r="D27" s="1"/>
      <c r="E27" s="17"/>
      <c r="F27" s="1"/>
      <c r="G27" s="1">
        <v>133.606</v>
      </c>
      <c r="H27" s="1">
        <v>133.606</v>
      </c>
      <c r="I27" s="182"/>
      <c r="J27" s="8"/>
      <c r="K27" s="8"/>
      <c r="L27" s="8"/>
      <c r="M27" s="8"/>
      <c r="O27" s="15"/>
    </row>
    <row r="28" spans="1:9" ht="72" customHeight="1">
      <c r="A28" s="203" t="s">
        <v>476</v>
      </c>
      <c r="B28" s="199" t="s">
        <v>478</v>
      </c>
      <c r="C28" s="39" t="s">
        <v>227</v>
      </c>
      <c r="D28" s="1">
        <v>18173.318</v>
      </c>
      <c r="E28" s="17">
        <f t="shared" si="0"/>
        <v>14.085337526146844</v>
      </c>
      <c r="F28" s="1">
        <f>D28-(202.12564+117.93706+2239.71048)</f>
        <v>15613.54482</v>
      </c>
      <c r="G28" s="92">
        <f>13329.578-394-1500-911</f>
        <v>10524.578</v>
      </c>
      <c r="H28" s="92">
        <v>4367.66298</v>
      </c>
      <c r="I28" s="182" t="s">
        <v>341</v>
      </c>
    </row>
    <row r="29" spans="1:15" s="16" customFormat="1" ht="40.5" customHeight="1">
      <c r="A29" s="203"/>
      <c r="B29" s="199"/>
      <c r="C29" s="39" t="s">
        <v>7</v>
      </c>
      <c r="D29" s="1"/>
      <c r="E29" s="17"/>
      <c r="F29" s="1"/>
      <c r="G29" s="1">
        <v>87.775</v>
      </c>
      <c r="H29" s="1">
        <v>87.775</v>
      </c>
      <c r="I29" s="182"/>
      <c r="J29" s="8"/>
      <c r="K29" s="8"/>
      <c r="L29" s="8"/>
      <c r="M29" s="8"/>
      <c r="O29" s="15"/>
    </row>
    <row r="30" spans="1:9" ht="75" customHeight="1">
      <c r="A30" s="38" t="s">
        <v>476</v>
      </c>
      <c r="B30" s="39" t="s">
        <v>478</v>
      </c>
      <c r="C30" s="39" t="s">
        <v>272</v>
      </c>
      <c r="D30" s="1">
        <v>4860</v>
      </c>
      <c r="E30" s="17">
        <f>100-(F30/D30)*100</f>
        <v>0</v>
      </c>
      <c r="F30" s="1">
        <f>D30</f>
        <v>4860</v>
      </c>
      <c r="G30" s="1">
        <f>4301.039-4000-100</f>
        <v>201.03899999999976</v>
      </c>
      <c r="H30" s="1">
        <v>148.19164</v>
      </c>
      <c r="I30" s="119" t="s">
        <v>342</v>
      </c>
    </row>
    <row r="31" spans="1:9" ht="77.25" customHeight="1">
      <c r="A31" s="203" t="s">
        <v>476</v>
      </c>
      <c r="B31" s="199" t="s">
        <v>478</v>
      </c>
      <c r="C31" s="20" t="s">
        <v>273</v>
      </c>
      <c r="D31" s="1">
        <v>12772.817</v>
      </c>
      <c r="E31" s="17">
        <f t="shared" si="0"/>
        <v>2.3487352868204425</v>
      </c>
      <c r="F31" s="1">
        <f>D31-(285.87266+14.127)</f>
        <v>12472.81734</v>
      </c>
      <c r="G31" s="1">
        <f>320.658-295.845</f>
        <v>24.812999999999988</v>
      </c>
      <c r="H31" s="1">
        <v>20.68379</v>
      </c>
      <c r="I31" s="195" t="s">
        <v>405</v>
      </c>
    </row>
    <row r="32" spans="1:15" s="16" customFormat="1" ht="36.75" customHeight="1">
      <c r="A32" s="203"/>
      <c r="B32" s="199"/>
      <c r="C32" s="39" t="s">
        <v>7</v>
      </c>
      <c r="D32" s="1"/>
      <c r="E32" s="17"/>
      <c r="F32" s="1"/>
      <c r="G32" s="1">
        <v>20.684</v>
      </c>
      <c r="H32" s="1">
        <v>20.684</v>
      </c>
      <c r="I32" s="195"/>
      <c r="J32" s="8"/>
      <c r="K32" s="8"/>
      <c r="L32" s="8"/>
      <c r="M32" s="8"/>
      <c r="O32" s="15"/>
    </row>
    <row r="33" spans="1:9" ht="54.75" customHeight="1">
      <c r="A33" s="38" t="s">
        <v>476</v>
      </c>
      <c r="B33" s="39" t="s">
        <v>478</v>
      </c>
      <c r="C33" s="39" t="s">
        <v>493</v>
      </c>
      <c r="D33" s="1">
        <v>600</v>
      </c>
      <c r="E33" s="17">
        <f t="shared" si="0"/>
        <v>50</v>
      </c>
      <c r="F33" s="1">
        <f>D33-300</f>
        <v>300</v>
      </c>
      <c r="G33" s="1">
        <v>300</v>
      </c>
      <c r="H33" s="1">
        <v>0.594</v>
      </c>
      <c r="I33" s="119" t="s">
        <v>342</v>
      </c>
    </row>
    <row r="34" spans="1:9" ht="57.75" customHeight="1">
      <c r="A34" s="203" t="s">
        <v>476</v>
      </c>
      <c r="B34" s="200" t="s">
        <v>478</v>
      </c>
      <c r="C34" s="39" t="s">
        <v>569</v>
      </c>
      <c r="D34" s="1">
        <v>7650.634</v>
      </c>
      <c r="E34" s="17">
        <f t="shared" si="0"/>
        <v>0</v>
      </c>
      <c r="F34" s="1">
        <f>SUM(D34)</f>
        <v>7650.634</v>
      </c>
      <c r="G34" s="1">
        <f>SUM(G36+G37)</f>
        <v>2915.172</v>
      </c>
      <c r="H34" s="1">
        <f>SUM(H36+H37)</f>
        <v>1794.66356</v>
      </c>
      <c r="I34" s="179" t="s">
        <v>343</v>
      </c>
    </row>
    <row r="35" spans="1:9" ht="21.75" customHeight="1">
      <c r="A35" s="203"/>
      <c r="B35" s="200"/>
      <c r="C35" s="39" t="s">
        <v>224</v>
      </c>
      <c r="D35" s="1"/>
      <c r="E35" s="17"/>
      <c r="F35" s="1"/>
      <c r="G35" s="1"/>
      <c r="H35" s="1"/>
      <c r="I35" s="180"/>
    </row>
    <row r="36" spans="1:15" s="16" customFormat="1" ht="62.25" customHeight="1">
      <c r="A36" s="203"/>
      <c r="B36" s="200"/>
      <c r="C36" s="39" t="s">
        <v>428</v>
      </c>
      <c r="D36" s="1"/>
      <c r="E36" s="17"/>
      <c r="F36" s="1"/>
      <c r="G36" s="1">
        <v>1250</v>
      </c>
      <c r="H36" s="1">
        <v>1250</v>
      </c>
      <c r="I36" s="180"/>
      <c r="J36" s="8"/>
      <c r="K36" s="8"/>
      <c r="L36" s="8"/>
      <c r="M36" s="8"/>
      <c r="O36" s="15"/>
    </row>
    <row r="37" spans="1:15" s="16" customFormat="1" ht="26.25" customHeight="1">
      <c r="A37" s="203"/>
      <c r="B37" s="200"/>
      <c r="C37" s="39" t="s">
        <v>225</v>
      </c>
      <c r="D37" s="1"/>
      <c r="E37" s="17"/>
      <c r="F37" s="1"/>
      <c r="G37" s="1">
        <v>1665.172</v>
      </c>
      <c r="H37" s="1">
        <v>544.66356</v>
      </c>
      <c r="I37" s="180"/>
      <c r="J37" s="8"/>
      <c r="K37" s="8"/>
      <c r="L37" s="8"/>
      <c r="M37" s="8"/>
      <c r="O37" s="15"/>
    </row>
    <row r="38" spans="1:15" s="16" customFormat="1" ht="35.25" customHeight="1">
      <c r="A38" s="203"/>
      <c r="B38" s="200"/>
      <c r="C38" s="39" t="s">
        <v>7</v>
      </c>
      <c r="D38" s="1"/>
      <c r="E38" s="17"/>
      <c r="F38" s="1"/>
      <c r="G38" s="1">
        <v>105.172</v>
      </c>
      <c r="H38" s="1">
        <v>105.172</v>
      </c>
      <c r="I38" s="181"/>
      <c r="J38" s="8"/>
      <c r="K38" s="8"/>
      <c r="L38" s="8"/>
      <c r="M38" s="8"/>
      <c r="O38" s="15"/>
    </row>
    <row r="39" spans="1:9" ht="74.25" customHeight="1">
      <c r="A39" s="203" t="s">
        <v>476</v>
      </c>
      <c r="B39" s="199" t="s">
        <v>478</v>
      </c>
      <c r="C39" s="39" t="s">
        <v>558</v>
      </c>
      <c r="D39" s="1">
        <v>1000</v>
      </c>
      <c r="E39" s="17">
        <f t="shared" si="0"/>
        <v>0</v>
      </c>
      <c r="F39" s="1">
        <f>SUM(D39)</f>
        <v>1000</v>
      </c>
      <c r="G39" s="1">
        <v>270</v>
      </c>
      <c r="H39" s="1">
        <v>246.03549</v>
      </c>
      <c r="I39" s="195" t="s">
        <v>242</v>
      </c>
    </row>
    <row r="40" spans="1:15" s="16" customFormat="1" ht="35.25" customHeight="1">
      <c r="A40" s="203"/>
      <c r="B40" s="199"/>
      <c r="C40" s="39" t="s">
        <v>7</v>
      </c>
      <c r="D40" s="1"/>
      <c r="E40" s="17"/>
      <c r="F40" s="1"/>
      <c r="G40" s="1">
        <v>181.427</v>
      </c>
      <c r="H40" s="1">
        <v>181.427</v>
      </c>
      <c r="I40" s="195"/>
      <c r="J40" s="8"/>
      <c r="K40" s="8"/>
      <c r="L40" s="8"/>
      <c r="M40" s="8"/>
      <c r="O40" s="15"/>
    </row>
    <row r="41" spans="1:9" ht="77.25" customHeight="1">
      <c r="A41" s="38" t="s">
        <v>476</v>
      </c>
      <c r="B41" s="39" t="s">
        <v>478</v>
      </c>
      <c r="C41" s="39" t="s">
        <v>9</v>
      </c>
      <c r="D41" s="1">
        <v>2105.695</v>
      </c>
      <c r="E41" s="17">
        <f t="shared" si="0"/>
        <v>92.30915683420437</v>
      </c>
      <c r="F41" s="1">
        <f>D41-158.60085-1785.14845</f>
        <v>161.94570000000022</v>
      </c>
      <c r="G41" s="1">
        <v>33.996</v>
      </c>
      <c r="H41" s="1">
        <v>33.99569</v>
      </c>
      <c r="I41" s="119" t="s">
        <v>319</v>
      </c>
    </row>
    <row r="42" spans="1:9" ht="37.5" customHeight="1">
      <c r="A42" s="203" t="s">
        <v>476</v>
      </c>
      <c r="B42" s="199" t="s">
        <v>478</v>
      </c>
      <c r="C42" s="39" t="s">
        <v>274</v>
      </c>
      <c r="D42" s="1">
        <v>2533.338</v>
      </c>
      <c r="E42" s="17">
        <f t="shared" si="0"/>
        <v>37.15113735316803</v>
      </c>
      <c r="F42" s="92">
        <f>SUM(D42-941.16388)</f>
        <v>1592.1741200000001</v>
      </c>
      <c r="G42" s="92">
        <f>1592.174+65.845</f>
        <v>1658.019</v>
      </c>
      <c r="H42" s="92">
        <v>1592.174</v>
      </c>
      <c r="I42" s="195" t="s">
        <v>237</v>
      </c>
    </row>
    <row r="43" spans="1:15" s="16" customFormat="1" ht="34.5" customHeight="1">
      <c r="A43" s="203"/>
      <c r="B43" s="199"/>
      <c r="C43" s="39" t="s">
        <v>7</v>
      </c>
      <c r="D43" s="1"/>
      <c r="E43" s="17"/>
      <c r="F43" s="1"/>
      <c r="G43" s="1">
        <v>474.681</v>
      </c>
      <c r="H43" s="1">
        <v>474.681</v>
      </c>
      <c r="I43" s="195"/>
      <c r="J43" s="8"/>
      <c r="K43" s="8"/>
      <c r="L43" s="8"/>
      <c r="M43" s="8"/>
      <c r="O43" s="15"/>
    </row>
    <row r="44" spans="1:9" ht="74.25" customHeight="1">
      <c r="A44" s="90">
        <v>14</v>
      </c>
      <c r="B44" s="85" t="s">
        <v>275</v>
      </c>
      <c r="C44" s="89"/>
      <c r="D44" s="86">
        <f>SUM(D45:D78)</f>
        <v>51812.183999999994</v>
      </c>
      <c r="E44" s="91"/>
      <c r="F44" s="86">
        <f>SUM(F45:F78)</f>
        <v>33851.62736</v>
      </c>
      <c r="G44" s="86">
        <f>SUM(G45+G47+G48+G50+G51+G56+G58+G63+G65+G70+G72+G73+G74+G76+G77+G78+G82)</f>
        <v>16263.732</v>
      </c>
      <c r="H44" s="86">
        <f>SUM(H45+H47+H48+H50+H51+H56+H58+H63+H65+H70+H72+H73+H74+H76+H77+H78+H82)</f>
        <v>6344.640480000001</v>
      </c>
      <c r="I44" s="119"/>
    </row>
    <row r="45" spans="1:9" ht="85.5" customHeight="1">
      <c r="A45" s="203" t="s">
        <v>476</v>
      </c>
      <c r="B45" s="199" t="s">
        <v>478</v>
      </c>
      <c r="C45" s="21" t="s">
        <v>483</v>
      </c>
      <c r="D45" s="1">
        <v>8930.226</v>
      </c>
      <c r="E45" s="17">
        <f>100-(F45/D45)*100</f>
        <v>16.202676841549135</v>
      </c>
      <c r="F45" s="1">
        <f>D45-(5.555+683.13948+758.24118)</f>
        <v>7483.2903400000005</v>
      </c>
      <c r="G45" s="92">
        <f>3651.111-118.395-25.5-10.183</f>
        <v>3497.033</v>
      </c>
      <c r="H45" s="92">
        <v>1668.69212</v>
      </c>
      <c r="I45" s="195" t="s">
        <v>385</v>
      </c>
    </row>
    <row r="46" spans="1:15" s="16" customFormat="1" ht="40.5" customHeight="1">
      <c r="A46" s="203"/>
      <c r="B46" s="199"/>
      <c r="C46" s="39" t="s">
        <v>7</v>
      </c>
      <c r="D46" s="1"/>
      <c r="E46" s="17"/>
      <c r="F46" s="1"/>
      <c r="G46" s="1">
        <v>1152.941</v>
      </c>
      <c r="H46" s="1">
        <v>1152.941</v>
      </c>
      <c r="I46" s="195"/>
      <c r="J46" s="8"/>
      <c r="K46" s="8"/>
      <c r="L46" s="8"/>
      <c r="M46" s="8"/>
      <c r="O46" s="15"/>
    </row>
    <row r="47" spans="1:9" ht="129.75" customHeight="1">
      <c r="A47" s="38" t="s">
        <v>476</v>
      </c>
      <c r="B47" s="39" t="s">
        <v>478</v>
      </c>
      <c r="C47" s="47" t="s">
        <v>276</v>
      </c>
      <c r="D47" s="1">
        <v>7053.562</v>
      </c>
      <c r="E47" s="17">
        <f>100-(F47/D47)*100</f>
        <v>62.832233841568275</v>
      </c>
      <c r="F47" s="1">
        <f>D47-(1131.01602+23.73674+2.4632+1732.00326+753.14493+789.54642)</f>
        <v>2621.65143</v>
      </c>
      <c r="G47" s="1">
        <v>1523.421</v>
      </c>
      <c r="H47" s="1">
        <v>1523.42023</v>
      </c>
      <c r="I47" s="119" t="s">
        <v>378</v>
      </c>
    </row>
    <row r="48" spans="1:9" ht="93.75" customHeight="1">
      <c r="A48" s="203" t="s">
        <v>476</v>
      </c>
      <c r="B48" s="199" t="s">
        <v>478</v>
      </c>
      <c r="C48" s="47" t="s">
        <v>277</v>
      </c>
      <c r="D48" s="1">
        <v>1048.962</v>
      </c>
      <c r="E48" s="17">
        <f>100-(F48/D48)*100</f>
        <v>73.15644704002624</v>
      </c>
      <c r="F48" s="1">
        <f>SUM(D48-767.38333)</f>
        <v>281.57867</v>
      </c>
      <c r="G48" s="1">
        <v>251.714</v>
      </c>
      <c r="H48" s="1">
        <v>34.52556</v>
      </c>
      <c r="I48" s="184" t="s">
        <v>238</v>
      </c>
    </row>
    <row r="49" spans="1:15" s="16" customFormat="1" ht="41.25" customHeight="1">
      <c r="A49" s="203"/>
      <c r="B49" s="199"/>
      <c r="C49" s="39" t="s">
        <v>7</v>
      </c>
      <c r="D49" s="1"/>
      <c r="E49" s="17"/>
      <c r="F49" s="1"/>
      <c r="G49" s="1">
        <v>1.714</v>
      </c>
      <c r="H49" s="1">
        <v>1.714</v>
      </c>
      <c r="I49" s="184"/>
      <c r="J49" s="8"/>
      <c r="K49" s="8"/>
      <c r="L49" s="8"/>
      <c r="M49" s="8"/>
      <c r="O49" s="15"/>
    </row>
    <row r="50" spans="1:9" ht="117" customHeight="1">
      <c r="A50" s="38" t="s">
        <v>476</v>
      </c>
      <c r="B50" s="39" t="s">
        <v>478</v>
      </c>
      <c r="C50" s="22" t="s">
        <v>278</v>
      </c>
      <c r="D50" s="1">
        <v>350</v>
      </c>
      <c r="E50" s="17">
        <f>100-(F50/D50)*100</f>
        <v>0</v>
      </c>
      <c r="F50" s="1">
        <f>SUM(D50-0)</f>
        <v>350</v>
      </c>
      <c r="G50" s="1">
        <v>89.114</v>
      </c>
      <c r="H50" s="1">
        <v>89.11327</v>
      </c>
      <c r="I50" s="119" t="s">
        <v>321</v>
      </c>
    </row>
    <row r="51" spans="1:9" ht="79.5" customHeight="1">
      <c r="A51" s="203" t="s">
        <v>476</v>
      </c>
      <c r="B51" s="200" t="s">
        <v>478</v>
      </c>
      <c r="C51" s="47" t="s">
        <v>27</v>
      </c>
      <c r="D51" s="1">
        <v>3575.299</v>
      </c>
      <c r="E51" s="17">
        <f>100-(F51/D51)*100</f>
        <v>4.7160995485971995</v>
      </c>
      <c r="F51" s="1">
        <f>D51-(30.1488+136.05183+2.41403)</f>
        <v>3406.68434</v>
      </c>
      <c r="G51" s="1">
        <f>SUM(G53+G54)</f>
        <v>3406.684</v>
      </c>
      <c r="H51" s="1">
        <f>SUM(H53+H54)</f>
        <v>1098.10391</v>
      </c>
      <c r="I51" s="184" t="s">
        <v>279</v>
      </c>
    </row>
    <row r="52" spans="1:9" ht="23.25" customHeight="1">
      <c r="A52" s="203"/>
      <c r="B52" s="200"/>
      <c r="C52" s="39" t="s">
        <v>224</v>
      </c>
      <c r="D52" s="1"/>
      <c r="E52" s="17"/>
      <c r="F52" s="1"/>
      <c r="G52" s="1"/>
      <c r="H52" s="1"/>
      <c r="I52" s="184"/>
    </row>
    <row r="53" spans="1:15" s="16" customFormat="1" ht="58.5" customHeight="1">
      <c r="A53" s="203"/>
      <c r="B53" s="200"/>
      <c r="C53" s="39" t="s">
        <v>428</v>
      </c>
      <c r="D53" s="1"/>
      <c r="E53" s="17"/>
      <c r="F53" s="1"/>
      <c r="G53" s="1">
        <v>2500</v>
      </c>
      <c r="H53" s="1">
        <v>477.60675</v>
      </c>
      <c r="I53" s="184"/>
      <c r="J53" s="8"/>
      <c r="K53" s="8"/>
      <c r="L53" s="8"/>
      <c r="M53" s="8"/>
      <c r="O53" s="15"/>
    </row>
    <row r="54" spans="1:15" s="16" customFormat="1" ht="23.25" customHeight="1">
      <c r="A54" s="203"/>
      <c r="B54" s="200"/>
      <c r="C54" s="39" t="s">
        <v>225</v>
      </c>
      <c r="D54" s="1"/>
      <c r="E54" s="17"/>
      <c r="F54" s="1"/>
      <c r="G54" s="1">
        <v>906.684</v>
      </c>
      <c r="H54" s="1">
        <v>620.49716</v>
      </c>
      <c r="I54" s="184"/>
      <c r="J54" s="8"/>
      <c r="K54" s="8"/>
      <c r="L54" s="8"/>
      <c r="M54" s="8"/>
      <c r="O54" s="15"/>
    </row>
    <row r="55" spans="1:15" s="16" customFormat="1" ht="36" customHeight="1">
      <c r="A55" s="203"/>
      <c r="B55" s="200"/>
      <c r="C55" s="39" t="s">
        <v>7</v>
      </c>
      <c r="D55" s="1"/>
      <c r="E55" s="17"/>
      <c r="F55" s="1"/>
      <c r="G55" s="1">
        <v>3.475</v>
      </c>
      <c r="H55" s="1">
        <v>3.475</v>
      </c>
      <c r="I55" s="184"/>
      <c r="J55" s="8"/>
      <c r="K55" s="8"/>
      <c r="L55" s="8"/>
      <c r="M55" s="8"/>
      <c r="O55" s="15"/>
    </row>
    <row r="56" spans="1:9" ht="57" customHeight="1">
      <c r="A56" s="203" t="s">
        <v>476</v>
      </c>
      <c r="B56" s="199" t="s">
        <v>478</v>
      </c>
      <c r="C56" s="21" t="s">
        <v>56</v>
      </c>
      <c r="D56" s="23">
        <v>5540.75</v>
      </c>
      <c r="E56" s="17">
        <f>100-(F56/D56)*100</f>
        <v>82.35426269006904</v>
      </c>
      <c r="F56" s="1">
        <f>D56-3400.219-1162.82481</f>
        <v>977.7061899999999</v>
      </c>
      <c r="G56" s="1">
        <f>914.777-535</f>
        <v>379.77700000000004</v>
      </c>
      <c r="H56" s="1">
        <v>379.0118</v>
      </c>
      <c r="I56" s="184" t="s">
        <v>243</v>
      </c>
    </row>
    <row r="57" spans="1:15" s="16" customFormat="1" ht="35.25" customHeight="1">
      <c r="A57" s="203"/>
      <c r="B57" s="199"/>
      <c r="C57" s="39" t="s">
        <v>7</v>
      </c>
      <c r="D57" s="1"/>
      <c r="E57" s="17"/>
      <c r="F57" s="1"/>
      <c r="G57" s="1">
        <v>102.55</v>
      </c>
      <c r="H57" s="1">
        <v>102.55</v>
      </c>
      <c r="I57" s="184"/>
      <c r="J57" s="8"/>
      <c r="K57" s="8"/>
      <c r="L57" s="8"/>
      <c r="M57" s="8"/>
      <c r="O57" s="15"/>
    </row>
    <row r="58" spans="1:9" ht="63" customHeight="1">
      <c r="A58" s="203" t="s">
        <v>476</v>
      </c>
      <c r="B58" s="200" t="s">
        <v>478</v>
      </c>
      <c r="C58" s="2" t="s">
        <v>429</v>
      </c>
      <c r="D58" s="1">
        <v>2351.685</v>
      </c>
      <c r="E58" s="17">
        <f>100-(F58/D58)*100</f>
        <v>5.526758047952853</v>
      </c>
      <c r="F58" s="1">
        <f>SUM(D58-129.97194)</f>
        <v>2221.71306</v>
      </c>
      <c r="G58" s="1">
        <f>SUM(G60+G61)</f>
        <v>1658.1390000000001</v>
      </c>
      <c r="H58" s="1">
        <f>SUM(H60+H61)</f>
        <v>59.07115</v>
      </c>
      <c r="I58" s="195" t="s">
        <v>383</v>
      </c>
    </row>
    <row r="59" spans="1:9" ht="20.25" customHeight="1">
      <c r="A59" s="203"/>
      <c r="B59" s="200"/>
      <c r="C59" s="39" t="s">
        <v>224</v>
      </c>
      <c r="D59" s="1"/>
      <c r="E59" s="17"/>
      <c r="F59" s="1"/>
      <c r="G59" s="1"/>
      <c r="H59" s="1"/>
      <c r="I59" s="195"/>
    </row>
    <row r="60" spans="1:9" ht="56.25" customHeight="1">
      <c r="A60" s="203"/>
      <c r="B60" s="200"/>
      <c r="C60" s="39" t="s">
        <v>428</v>
      </c>
      <c r="D60" s="1"/>
      <c r="E60" s="17"/>
      <c r="F60" s="1"/>
      <c r="G60" s="1">
        <v>1250</v>
      </c>
      <c r="H60" s="1">
        <v>0</v>
      </c>
      <c r="I60" s="195"/>
    </row>
    <row r="61" spans="1:9" ht="27" customHeight="1">
      <c r="A61" s="203"/>
      <c r="B61" s="200"/>
      <c r="C61" s="39" t="s">
        <v>225</v>
      </c>
      <c r="D61" s="1"/>
      <c r="E61" s="17"/>
      <c r="F61" s="1"/>
      <c r="G61" s="1">
        <f>1008.139-600</f>
        <v>408.139</v>
      </c>
      <c r="H61" s="1">
        <v>59.07115</v>
      </c>
      <c r="I61" s="195"/>
    </row>
    <row r="62" spans="1:9" ht="35.25" customHeight="1">
      <c r="A62" s="203"/>
      <c r="B62" s="200"/>
      <c r="C62" s="39" t="s">
        <v>7</v>
      </c>
      <c r="D62" s="1"/>
      <c r="E62" s="17"/>
      <c r="F62" s="1"/>
      <c r="G62" s="1">
        <v>58.765</v>
      </c>
      <c r="H62" s="1">
        <v>58.765</v>
      </c>
      <c r="I62" s="195"/>
    </row>
    <row r="63" spans="1:9" ht="54" customHeight="1">
      <c r="A63" s="203" t="s">
        <v>476</v>
      </c>
      <c r="B63" s="200" t="s">
        <v>478</v>
      </c>
      <c r="C63" s="2" t="s">
        <v>440</v>
      </c>
      <c r="D63" s="1">
        <v>1200</v>
      </c>
      <c r="E63" s="17">
        <f>100-(F63/D63)*100</f>
        <v>11.818135000000012</v>
      </c>
      <c r="F63" s="1">
        <f>SUM(D63-141.81762)</f>
        <v>1058.18238</v>
      </c>
      <c r="G63" s="1">
        <f>58.183+20</f>
        <v>78.18299999999999</v>
      </c>
      <c r="H63" s="1">
        <v>58.18238</v>
      </c>
      <c r="I63" s="195" t="s">
        <v>320</v>
      </c>
    </row>
    <row r="64" spans="1:9" ht="35.25" customHeight="1">
      <c r="A64" s="203"/>
      <c r="B64" s="200"/>
      <c r="C64" s="39" t="s">
        <v>7</v>
      </c>
      <c r="D64" s="1"/>
      <c r="E64" s="17"/>
      <c r="F64" s="1"/>
      <c r="G64" s="1">
        <v>58.183</v>
      </c>
      <c r="H64" s="1">
        <v>58.183</v>
      </c>
      <c r="I64" s="195"/>
    </row>
    <row r="65" spans="1:9" ht="74.25" customHeight="1">
      <c r="A65" s="203" t="s">
        <v>476</v>
      </c>
      <c r="B65" s="200" t="s">
        <v>478</v>
      </c>
      <c r="C65" s="2" t="s">
        <v>430</v>
      </c>
      <c r="D65" s="1">
        <v>1823.888</v>
      </c>
      <c r="E65" s="17">
        <f>100-(F65/D65)*100</f>
        <v>5.506943408805796</v>
      </c>
      <c r="F65" s="1">
        <f>SUM(D65-100.44048)</f>
        <v>1723.44752</v>
      </c>
      <c r="G65" s="1">
        <f>SUM(G67+G68)</f>
        <v>1723.448</v>
      </c>
      <c r="H65" s="1">
        <f>SUM(H67+H68)</f>
        <v>45.91862</v>
      </c>
      <c r="I65" s="195" t="s">
        <v>383</v>
      </c>
    </row>
    <row r="66" spans="1:9" ht="21.75" customHeight="1">
      <c r="A66" s="203"/>
      <c r="B66" s="200"/>
      <c r="C66" s="39" t="s">
        <v>224</v>
      </c>
      <c r="D66" s="1"/>
      <c r="E66" s="17"/>
      <c r="F66" s="1"/>
      <c r="G66" s="1"/>
      <c r="H66" s="1"/>
      <c r="I66" s="195"/>
    </row>
    <row r="67" spans="1:9" ht="54.75" customHeight="1">
      <c r="A67" s="203"/>
      <c r="B67" s="200"/>
      <c r="C67" s="39" t="s">
        <v>428</v>
      </c>
      <c r="D67" s="1"/>
      <c r="E67" s="17"/>
      <c r="F67" s="1"/>
      <c r="G67" s="1">
        <v>1673.25</v>
      </c>
      <c r="H67" s="1">
        <v>0</v>
      </c>
      <c r="I67" s="195"/>
    </row>
    <row r="68" spans="1:9" ht="25.5" customHeight="1">
      <c r="A68" s="203"/>
      <c r="B68" s="200"/>
      <c r="C68" s="39" t="s">
        <v>225</v>
      </c>
      <c r="D68" s="1"/>
      <c r="E68" s="17"/>
      <c r="F68" s="1"/>
      <c r="G68" s="1">
        <v>50.198</v>
      </c>
      <c r="H68" s="1">
        <v>45.91862</v>
      </c>
      <c r="I68" s="195"/>
    </row>
    <row r="69" spans="1:9" ht="39.75" customHeight="1">
      <c r="A69" s="203"/>
      <c r="B69" s="200"/>
      <c r="C69" s="39" t="s">
        <v>7</v>
      </c>
      <c r="D69" s="1"/>
      <c r="E69" s="17"/>
      <c r="F69" s="1"/>
      <c r="G69" s="1">
        <v>45.634</v>
      </c>
      <c r="H69" s="1">
        <v>45.634</v>
      </c>
      <c r="I69" s="195"/>
    </row>
    <row r="70" spans="1:9" ht="54" customHeight="1">
      <c r="A70" s="203" t="s">
        <v>476</v>
      </c>
      <c r="B70" s="199" t="s">
        <v>478</v>
      </c>
      <c r="C70" s="47" t="s">
        <v>49</v>
      </c>
      <c r="D70" s="1">
        <f>300+20.647</f>
        <v>320.647</v>
      </c>
      <c r="E70" s="17">
        <f>100-(F70/D70)*100</f>
        <v>9.608697414914218</v>
      </c>
      <c r="F70" s="1">
        <f>SUM(D70-30.81)</f>
        <v>289.837</v>
      </c>
      <c r="G70" s="1">
        <v>289.837</v>
      </c>
      <c r="H70" s="1">
        <v>101.86493</v>
      </c>
      <c r="I70" s="195" t="s">
        <v>322</v>
      </c>
    </row>
    <row r="71" spans="1:15" s="16" customFormat="1" ht="39" customHeight="1">
      <c r="A71" s="203"/>
      <c r="B71" s="199"/>
      <c r="C71" s="39" t="s">
        <v>7</v>
      </c>
      <c r="D71" s="1"/>
      <c r="E71" s="17"/>
      <c r="F71" s="1"/>
      <c r="G71" s="1">
        <v>99.822</v>
      </c>
      <c r="H71" s="1">
        <v>99.822</v>
      </c>
      <c r="I71" s="195"/>
      <c r="J71" s="8"/>
      <c r="K71" s="8"/>
      <c r="L71" s="8"/>
      <c r="M71" s="8"/>
      <c r="O71" s="15"/>
    </row>
    <row r="72" spans="1:9" ht="74.25" customHeight="1">
      <c r="A72" s="38" t="s">
        <v>476</v>
      </c>
      <c r="B72" s="39" t="s">
        <v>478</v>
      </c>
      <c r="C72" s="2" t="s">
        <v>50</v>
      </c>
      <c r="D72" s="1">
        <v>3417</v>
      </c>
      <c r="E72" s="17">
        <f>100-(F72/D72)*100</f>
        <v>0.024883523558671072</v>
      </c>
      <c r="F72" s="1">
        <f>D72-0.85027</f>
        <v>3416.14973</v>
      </c>
      <c r="G72" s="1">
        <v>176.132</v>
      </c>
      <c r="H72" s="1">
        <v>176.13172</v>
      </c>
      <c r="I72" s="123" t="s">
        <v>320</v>
      </c>
    </row>
    <row r="73" spans="1:9" ht="78.75" customHeight="1">
      <c r="A73" s="40">
        <v>150101</v>
      </c>
      <c r="B73" s="39" t="s">
        <v>478</v>
      </c>
      <c r="C73" s="39" t="s">
        <v>445</v>
      </c>
      <c r="D73" s="1">
        <v>300</v>
      </c>
      <c r="E73" s="17">
        <f>100-(F73/D73)*100</f>
        <v>0</v>
      </c>
      <c r="F73" s="1">
        <f>SUM(D73)</f>
        <v>300</v>
      </c>
      <c r="G73" s="1">
        <f>170-150</f>
        <v>20</v>
      </c>
      <c r="H73" s="1">
        <v>0</v>
      </c>
      <c r="I73" s="119" t="s">
        <v>233</v>
      </c>
    </row>
    <row r="74" spans="1:9" ht="73.5" customHeight="1">
      <c r="A74" s="203" t="s">
        <v>476</v>
      </c>
      <c r="B74" s="200" t="s">
        <v>478</v>
      </c>
      <c r="C74" s="47" t="s">
        <v>280</v>
      </c>
      <c r="D74" s="1">
        <v>8379.083</v>
      </c>
      <c r="E74" s="17">
        <f>100-(F74/D74)*100</f>
        <v>71.83668678302864</v>
      </c>
      <c r="F74" s="1">
        <f>D74-(1388.68+1250+594.39965+183.85879+1020+1166.7+415.61717)</f>
        <v>2359.8273900000004</v>
      </c>
      <c r="G74" s="1">
        <v>1344.73</v>
      </c>
      <c r="H74" s="1">
        <v>592.54223</v>
      </c>
      <c r="I74" s="195" t="s">
        <v>239</v>
      </c>
    </row>
    <row r="75" spans="1:15" s="16" customFormat="1" ht="39" customHeight="1">
      <c r="A75" s="203"/>
      <c r="B75" s="200"/>
      <c r="C75" s="39" t="s">
        <v>7</v>
      </c>
      <c r="D75" s="1"/>
      <c r="E75" s="17"/>
      <c r="F75" s="1"/>
      <c r="G75" s="1">
        <v>44.73</v>
      </c>
      <c r="H75" s="1">
        <v>44.73</v>
      </c>
      <c r="I75" s="195"/>
      <c r="J75" s="8"/>
      <c r="K75" s="8"/>
      <c r="L75" s="8"/>
      <c r="M75" s="8"/>
      <c r="O75" s="15"/>
    </row>
    <row r="76" spans="1:15" s="16" customFormat="1" ht="60.75" customHeight="1">
      <c r="A76" s="38" t="s">
        <v>476</v>
      </c>
      <c r="B76" s="39" t="s">
        <v>478</v>
      </c>
      <c r="C76" s="39" t="s">
        <v>220</v>
      </c>
      <c r="D76" s="1">
        <v>185</v>
      </c>
      <c r="E76" s="17">
        <f>100-(F76/D76)*100</f>
        <v>0</v>
      </c>
      <c r="F76" s="1">
        <v>185</v>
      </c>
      <c r="G76" s="48">
        <v>172.845</v>
      </c>
      <c r="H76" s="48">
        <v>120.9915</v>
      </c>
      <c r="I76" s="119" t="s">
        <v>344</v>
      </c>
      <c r="J76" s="8"/>
      <c r="K76" s="8"/>
      <c r="L76" s="8"/>
      <c r="M76" s="8"/>
      <c r="O76" s="15"/>
    </row>
    <row r="77" spans="1:15" s="16" customFormat="1" ht="57" customHeight="1">
      <c r="A77" s="38" t="s">
        <v>476</v>
      </c>
      <c r="B77" s="39" t="s">
        <v>478</v>
      </c>
      <c r="C77" s="2" t="s">
        <v>281</v>
      </c>
      <c r="D77" s="1">
        <v>4431.452</v>
      </c>
      <c r="E77" s="17">
        <f>100-(F77/D77)*100</f>
        <v>3.599783772903322</v>
      </c>
      <c r="F77" s="1">
        <f>SUM(D77-159.52269)</f>
        <v>4271.92931</v>
      </c>
      <c r="G77" s="1">
        <v>19.32</v>
      </c>
      <c r="H77" s="1">
        <v>0</v>
      </c>
      <c r="I77" s="119" t="s">
        <v>233</v>
      </c>
      <c r="J77" s="8"/>
      <c r="K77" s="8"/>
      <c r="L77" s="8"/>
      <c r="M77" s="8"/>
      <c r="O77" s="15"/>
    </row>
    <row r="78" spans="1:15" s="16" customFormat="1" ht="58.5" customHeight="1">
      <c r="A78" s="203" t="s">
        <v>476</v>
      </c>
      <c r="B78" s="200" t="s">
        <v>478</v>
      </c>
      <c r="C78" s="2" t="s">
        <v>282</v>
      </c>
      <c r="D78" s="1">
        <v>2904.63</v>
      </c>
      <c r="E78" s="17">
        <f>100-(F78/D78)*100</f>
        <v>0</v>
      </c>
      <c r="F78" s="1">
        <f>D78</f>
        <v>2904.63</v>
      </c>
      <c r="G78" s="1">
        <f>SUM(G80+G81)</f>
        <v>1218.1490000000001</v>
      </c>
      <c r="H78" s="1">
        <f>SUM(H80+H81)</f>
        <v>397.07106</v>
      </c>
      <c r="I78" s="184" t="s">
        <v>386</v>
      </c>
      <c r="J78" s="8"/>
      <c r="K78" s="8"/>
      <c r="L78" s="8"/>
      <c r="M78" s="8"/>
      <c r="O78" s="15"/>
    </row>
    <row r="79" spans="1:15" s="16" customFormat="1" ht="25.5" customHeight="1">
      <c r="A79" s="203"/>
      <c r="B79" s="200"/>
      <c r="C79" s="39" t="s">
        <v>224</v>
      </c>
      <c r="D79" s="1"/>
      <c r="E79" s="17"/>
      <c r="F79" s="1"/>
      <c r="G79" s="1"/>
      <c r="H79" s="1"/>
      <c r="I79" s="184"/>
      <c r="J79" s="8"/>
      <c r="K79" s="8"/>
      <c r="L79" s="8"/>
      <c r="M79" s="8"/>
      <c r="O79" s="15"/>
    </row>
    <row r="80" spans="1:15" s="16" customFormat="1" ht="54" customHeight="1">
      <c r="A80" s="203"/>
      <c r="B80" s="200"/>
      <c r="C80" s="39" t="s">
        <v>428</v>
      </c>
      <c r="D80" s="1"/>
      <c r="E80" s="17"/>
      <c r="F80" s="1"/>
      <c r="G80" s="1">
        <v>826.75</v>
      </c>
      <c r="H80" s="1">
        <v>218.99392</v>
      </c>
      <c r="I80" s="184"/>
      <c r="J80" s="8"/>
      <c r="K80" s="8"/>
      <c r="L80" s="8"/>
      <c r="M80" s="8"/>
      <c r="O80" s="15"/>
    </row>
    <row r="81" spans="1:15" s="16" customFormat="1" ht="27.75" customHeight="1">
      <c r="A81" s="203"/>
      <c r="B81" s="200"/>
      <c r="C81" s="39" t="s">
        <v>225</v>
      </c>
      <c r="D81" s="1"/>
      <c r="E81" s="17"/>
      <c r="F81" s="1"/>
      <c r="G81" s="1">
        <f>2077.88-1500-186.481</f>
        <v>391.3990000000001</v>
      </c>
      <c r="H81" s="1">
        <v>178.07714</v>
      </c>
      <c r="I81" s="184"/>
      <c r="J81" s="8"/>
      <c r="K81" s="8"/>
      <c r="L81" s="8"/>
      <c r="M81" s="8"/>
      <c r="O81" s="15"/>
    </row>
    <row r="82" spans="1:15" s="16" customFormat="1" ht="75.75" customHeight="1">
      <c r="A82" s="59" t="s">
        <v>476</v>
      </c>
      <c r="B82" s="51" t="s">
        <v>478</v>
      </c>
      <c r="C82" s="96" t="s">
        <v>283</v>
      </c>
      <c r="D82" s="92">
        <v>415.206</v>
      </c>
      <c r="E82" s="93">
        <f>100-(F82/D82)*100</f>
        <v>0</v>
      </c>
      <c r="F82" s="92">
        <v>415.206</v>
      </c>
      <c r="G82" s="92">
        <v>415.206</v>
      </c>
      <c r="H82" s="92">
        <v>0</v>
      </c>
      <c r="I82" s="119" t="s">
        <v>233</v>
      </c>
      <c r="J82" s="8"/>
      <c r="K82" s="8"/>
      <c r="L82" s="8"/>
      <c r="M82" s="8"/>
      <c r="O82" s="15"/>
    </row>
    <row r="83" spans="1:9" ht="90.75" customHeight="1">
      <c r="A83" s="90">
        <v>15</v>
      </c>
      <c r="B83" s="85" t="s">
        <v>485</v>
      </c>
      <c r="C83" s="85"/>
      <c r="D83" s="86">
        <f>SUM(D84:D89)</f>
        <v>15054.644999999999</v>
      </c>
      <c r="E83" s="91"/>
      <c r="F83" s="86">
        <f>SUM(F84:F89)</f>
        <v>9723.505650000001</v>
      </c>
      <c r="G83" s="86">
        <f>SUM(G84+G88+G89)</f>
        <v>5316.674</v>
      </c>
      <c r="H83" s="86">
        <f>SUM(H84+H88+H89)</f>
        <v>3151.9188</v>
      </c>
      <c r="I83" s="119"/>
    </row>
    <row r="84" spans="1:9" ht="46.5" customHeight="1">
      <c r="A84" s="203" t="s">
        <v>476</v>
      </c>
      <c r="B84" s="200" t="s">
        <v>478</v>
      </c>
      <c r="C84" s="20" t="s">
        <v>559</v>
      </c>
      <c r="D84" s="1">
        <v>5974.216</v>
      </c>
      <c r="E84" s="17">
        <f>100-(F84/D84)*100</f>
        <v>2.3666002367507275</v>
      </c>
      <c r="F84" s="1">
        <f>D84-141.38581</f>
        <v>5832.830190000001</v>
      </c>
      <c r="G84" s="1">
        <f>SUM(G86+G87)</f>
        <v>3779.305</v>
      </c>
      <c r="H84" s="1">
        <f>SUM(H86+H87)</f>
        <v>1614.5504</v>
      </c>
      <c r="I84" s="196" t="s">
        <v>345</v>
      </c>
    </row>
    <row r="85" spans="1:9" ht="26.25" customHeight="1">
      <c r="A85" s="203"/>
      <c r="B85" s="200"/>
      <c r="C85" s="39" t="s">
        <v>224</v>
      </c>
      <c r="D85" s="1"/>
      <c r="E85" s="17"/>
      <c r="F85" s="1"/>
      <c r="G85" s="1"/>
      <c r="H85" s="1"/>
      <c r="I85" s="196"/>
    </row>
    <row r="86" spans="1:9" ht="53.25" customHeight="1">
      <c r="A86" s="203"/>
      <c r="B86" s="200"/>
      <c r="C86" s="39" t="s">
        <v>428</v>
      </c>
      <c r="D86" s="1"/>
      <c r="E86" s="17"/>
      <c r="F86" s="1"/>
      <c r="G86" s="1">
        <v>2500</v>
      </c>
      <c r="H86" s="1">
        <v>1008.2996</v>
      </c>
      <c r="I86" s="196"/>
    </row>
    <row r="87" spans="1:9" ht="24" customHeight="1">
      <c r="A87" s="203"/>
      <c r="B87" s="200"/>
      <c r="C87" s="39" t="s">
        <v>225</v>
      </c>
      <c r="D87" s="1"/>
      <c r="E87" s="17"/>
      <c r="F87" s="1"/>
      <c r="G87" s="92">
        <f>3332.83-2053.525</f>
        <v>1279.3049999999998</v>
      </c>
      <c r="H87" s="92">
        <v>606.2508</v>
      </c>
      <c r="I87" s="196"/>
    </row>
    <row r="88" spans="1:9" ht="96.75" customHeight="1">
      <c r="A88" s="38" t="s">
        <v>476</v>
      </c>
      <c r="B88" s="39" t="s">
        <v>478</v>
      </c>
      <c r="C88" s="39" t="s">
        <v>10</v>
      </c>
      <c r="D88" s="1">
        <v>5314.369</v>
      </c>
      <c r="E88" s="17">
        <f>100-(F88/D88)*100</f>
        <v>42.839537299724576</v>
      </c>
      <c r="F88" s="1">
        <f>4771.974-1734.25609</f>
        <v>3037.7179100000003</v>
      </c>
      <c r="G88" s="1">
        <v>684.413</v>
      </c>
      <c r="H88" s="1">
        <v>684.41256</v>
      </c>
      <c r="I88" s="119" t="s">
        <v>323</v>
      </c>
    </row>
    <row r="89" spans="1:9" ht="74.25" customHeight="1">
      <c r="A89" s="38" t="s">
        <v>476</v>
      </c>
      <c r="B89" s="39" t="s">
        <v>478</v>
      </c>
      <c r="C89" s="39" t="s">
        <v>11</v>
      </c>
      <c r="D89" s="1">
        <v>3766.06</v>
      </c>
      <c r="E89" s="17">
        <f>100-(F89/D89)*100</f>
        <v>77.35146147432594</v>
      </c>
      <c r="F89" s="1">
        <f>D89-878.841-259.25251-1775.00894</f>
        <v>852.9575500000003</v>
      </c>
      <c r="G89" s="1">
        <v>852.956</v>
      </c>
      <c r="H89" s="1">
        <v>852.95584</v>
      </c>
      <c r="I89" s="119" t="s">
        <v>324</v>
      </c>
    </row>
    <row r="90" spans="1:9" ht="55.5" customHeight="1">
      <c r="A90" s="90">
        <v>24</v>
      </c>
      <c r="B90" s="85" t="s">
        <v>537</v>
      </c>
      <c r="C90" s="85"/>
      <c r="D90" s="86">
        <f>SUM(D91)</f>
        <v>206.754</v>
      </c>
      <c r="E90" s="91"/>
      <c r="F90" s="86">
        <f>SUM(F91)</f>
        <v>194.934</v>
      </c>
      <c r="G90" s="86">
        <f>SUM(G91)</f>
        <v>194.934</v>
      </c>
      <c r="H90" s="86">
        <f>SUM(H91)</f>
        <v>58.41069</v>
      </c>
      <c r="I90" s="119"/>
    </row>
    <row r="91" spans="1:13" ht="61.5" customHeight="1">
      <c r="A91" s="38" t="s">
        <v>476</v>
      </c>
      <c r="B91" s="39" t="s">
        <v>478</v>
      </c>
      <c r="C91" s="39" t="s">
        <v>47</v>
      </c>
      <c r="D91" s="1">
        <v>206.754</v>
      </c>
      <c r="E91" s="17">
        <f>100-(F91/D91)*100</f>
        <v>5.716938970950977</v>
      </c>
      <c r="F91" s="1">
        <v>194.934</v>
      </c>
      <c r="G91" s="1">
        <v>194.934</v>
      </c>
      <c r="H91" s="1">
        <v>58.41069</v>
      </c>
      <c r="I91" s="124" t="s">
        <v>387</v>
      </c>
      <c r="M91" s="124"/>
    </row>
    <row r="92" spans="1:9" ht="93.75" customHeight="1">
      <c r="A92" s="90">
        <v>32</v>
      </c>
      <c r="B92" s="85" t="s">
        <v>514</v>
      </c>
      <c r="C92" s="89"/>
      <c r="D92" s="86">
        <f>SUM(D93)</f>
        <v>1071.2</v>
      </c>
      <c r="E92" s="91"/>
      <c r="F92" s="86">
        <f>SUM(F93)</f>
        <v>1071.2</v>
      </c>
      <c r="G92" s="86">
        <f>SUM(G93)</f>
        <v>471.20000000000005</v>
      </c>
      <c r="H92" s="86">
        <f>SUM(H93)</f>
        <v>85</v>
      </c>
      <c r="I92" s="119"/>
    </row>
    <row r="93" spans="1:9" ht="58.5" customHeight="1">
      <c r="A93" s="38" t="s">
        <v>476</v>
      </c>
      <c r="B93" s="39" t="s">
        <v>478</v>
      </c>
      <c r="C93" s="39" t="s">
        <v>8</v>
      </c>
      <c r="D93" s="1">
        <v>1071.2</v>
      </c>
      <c r="E93" s="17">
        <f>100-(F93/D93)*100</f>
        <v>0</v>
      </c>
      <c r="F93" s="1">
        <f>SUM(D93)</f>
        <v>1071.2</v>
      </c>
      <c r="G93" s="1">
        <f>971.2-500</f>
        <v>471.20000000000005</v>
      </c>
      <c r="H93" s="1">
        <v>85</v>
      </c>
      <c r="I93" s="119" t="s">
        <v>240</v>
      </c>
    </row>
    <row r="94" spans="1:9" ht="100.5" customHeight="1">
      <c r="A94" s="90">
        <v>40</v>
      </c>
      <c r="B94" s="85" t="s">
        <v>577</v>
      </c>
      <c r="C94" s="85"/>
      <c r="D94" s="86">
        <f>D95+D97+D99+D101+D102+D104+D106+D108+D110+D111+D112+D113+D115+D117+D119+D121+D123+D125+D127+D129+D130+D131+D133+D135+D136+D137+D138+D139+D140+D141+D142+D143+D144+D219+D257+D258+D259+D260+D261+D262+D263+D265+D266+D267+D268+D270+D272+D274+D275+D276+D278+D280+D282+D284+D285+D287+D288+D290+D291+D292+D293+D294+D295+D296+D297+D298+D299+D300+D301+D302+D303+D304+D305+D306+D307+D309+D311+D313+D315+D316+D317+D319+D320+D322+D324+D325+D326+D327+D328+D329+D330+D331+D332+D334+D335+D336+D337+D338+D340+D341+D343+D345+D346+D347+D348+D350+D351+D352+D354+D356+D357+D358+D359+D360+D362+D363+D364+D365+D367+D368+D369+D370+D371</f>
        <v>207775.83000000005</v>
      </c>
      <c r="E94" s="91"/>
      <c r="F94" s="86">
        <f>F95+F97+F99+F101+F102+F104+F106+F108+F110+F111+F112+F113+F115+F117+F119+F121+F123+F125+F127+F129+F130+F131+F133+F135+F136+F137+F138+F139+F140+F141+F142+F143+F144+F219+F257+F258+F259+F260+F261+F262+F263+F265+F266+F267+F268+F270+F272+F274+F275+F276+F278+F280+F282+F284+F285+F287+F288+F290+F291+F292+F293+F294+F295+F296+F297+F298+F299+F300+F301+F302+F303+F304+F305+F306+F307+F309+F311+F313+F315+F316+F317+F319+F320+F322+F324+F325+F326+F327+F328+F329+F330+F331+F332+F334+F335+F336+F337+F338+F340+F341+F343+F345+F346+F347+F348+F350+F351+F352+F354+F356+F357+F358+F359+F360+F362+F363+F364+F365+F367+F368+F369+F370+F371+F380</f>
        <v>179304.86221000002</v>
      </c>
      <c r="G94" s="86">
        <f>G95+G97+G99+G101+G102+G104+G106+G108+G110+G111+G112+G113+G115+G117+G119+G121+G123+G125+G127+G129+G130+G131+G133+G135+G136+G137+G138+G139+G140+G141+G142+G143+G144+G219+G257+G258+G259+G260+G261+G262+G263+G265+G266+G267+G268+G270+G272+G274+G275+G276+G278+G280+G282+G284+G285+G287+G288+G290+G291+G292+G293+G294+G295+G296+G297+G298+G299+G300+G301+G302+G303+G304+G305+G306+G307+G309+G311+G313+G315+G316+G317+G319+G320+G322+G324+G325+G326+G327+G328+G329+G330+G331+G332+G334+G335+G336+G337+G338+G340+G341+G343+G345+G346+G347+G348+G350+G351+G352+G354+G356+G357+G358+G359+G360+G362+G363+G364+G365+G367+G368+G369+G370+G371+G380</f>
        <v>59229.62699999999</v>
      </c>
      <c r="H94" s="86">
        <f>H95+H97+H99+H101+H102+H104+H106+H108+H110+H111+H112+H113+H115+H117+H119+H121+H123+H125+H127+H129+H130+H131+H133+H135+H136+H137+H138+H139+H140+H141+H142+H143+H144+H219+H257+H258+H259+H260+H261+H262+H263+H265+H266+H267+H268+H270+H272+H274+H275+H276+H278+H280+H282+H284+H285+H287+H288+H290+H291+H292+H293+H294+H295+H296+H297+H298+H299+H300+H301+H302+H303+H304+H305+H306+H307+H309+H311+H313+H315+H316+H317+H319+H320+H322+H324+H325+H326+H327+H328+H329+H330+H331+H332+H334+H335+H336+H337+H338+H340+H341+H343+H345+H346+H347+H348+H350+H351+H352+H354+H356+H357+H358+H359+H360+H362+H363+H364+H365+H367+H368+H369+H370+H371+H380</f>
        <v>20771.71212</v>
      </c>
      <c r="I94" s="119"/>
    </row>
    <row r="95" spans="1:9" ht="42" customHeight="1">
      <c r="A95" s="203" t="s">
        <v>476</v>
      </c>
      <c r="B95" s="199" t="s">
        <v>478</v>
      </c>
      <c r="C95" s="39" t="s">
        <v>474</v>
      </c>
      <c r="D95" s="1">
        <v>706.344</v>
      </c>
      <c r="E95" s="17">
        <f aca="true" t="shared" si="1" ref="E95:E138">100-(F95/D95)*100</f>
        <v>0</v>
      </c>
      <c r="F95" s="1">
        <f>SUM(D95)</f>
        <v>706.344</v>
      </c>
      <c r="G95" s="92">
        <f>706.344-310.9</f>
        <v>395.4440000000001</v>
      </c>
      <c r="H95" s="92">
        <v>201.8054</v>
      </c>
      <c r="I95" s="195" t="s">
        <v>284</v>
      </c>
    </row>
    <row r="96" spans="1:15" s="16" customFormat="1" ht="34.5" customHeight="1">
      <c r="A96" s="203"/>
      <c r="B96" s="199"/>
      <c r="C96" s="39" t="s">
        <v>7</v>
      </c>
      <c r="D96" s="1"/>
      <c r="E96" s="17"/>
      <c r="F96" s="1"/>
      <c r="G96" s="1">
        <v>4.107</v>
      </c>
      <c r="H96" s="1">
        <v>4.107</v>
      </c>
      <c r="I96" s="195"/>
      <c r="J96" s="8"/>
      <c r="K96" s="8"/>
      <c r="L96" s="8"/>
      <c r="M96" s="8"/>
      <c r="O96" s="15"/>
    </row>
    <row r="97" spans="1:9" ht="73.5" customHeight="1">
      <c r="A97" s="203" t="s">
        <v>476</v>
      </c>
      <c r="B97" s="199" t="s">
        <v>478</v>
      </c>
      <c r="C97" s="39" t="s">
        <v>28</v>
      </c>
      <c r="D97" s="1">
        <v>1512</v>
      </c>
      <c r="E97" s="17">
        <f t="shared" si="1"/>
        <v>39.27824338624338</v>
      </c>
      <c r="F97" s="1">
        <f>D97-509.5064-84.38064</f>
        <v>918.11296</v>
      </c>
      <c r="G97" s="92">
        <f>275.038-168.514</f>
        <v>106.524</v>
      </c>
      <c r="H97" s="92">
        <v>99.94899</v>
      </c>
      <c r="I97" s="195" t="s">
        <v>241</v>
      </c>
    </row>
    <row r="98" spans="1:15" s="16" customFormat="1" ht="36.75" customHeight="1">
      <c r="A98" s="203"/>
      <c r="B98" s="199"/>
      <c r="C98" s="39" t="s">
        <v>7</v>
      </c>
      <c r="D98" s="1"/>
      <c r="E98" s="17"/>
      <c r="F98" s="1"/>
      <c r="G98" s="1">
        <v>24.866</v>
      </c>
      <c r="H98" s="1">
        <v>24.866</v>
      </c>
      <c r="I98" s="195"/>
      <c r="J98" s="8"/>
      <c r="K98" s="8"/>
      <c r="L98" s="8"/>
      <c r="M98" s="8"/>
      <c r="O98" s="15"/>
    </row>
    <row r="99" spans="1:9" ht="38.25" customHeight="1">
      <c r="A99" s="203" t="s">
        <v>476</v>
      </c>
      <c r="B99" s="199" t="s">
        <v>478</v>
      </c>
      <c r="C99" s="39" t="s">
        <v>29</v>
      </c>
      <c r="D99" s="1">
        <v>800</v>
      </c>
      <c r="E99" s="17">
        <f t="shared" si="1"/>
        <v>0.27025374999999485</v>
      </c>
      <c r="F99" s="1">
        <f>D99-2.16203</f>
        <v>797.83797</v>
      </c>
      <c r="G99" s="1">
        <v>87.838</v>
      </c>
      <c r="H99" s="1">
        <v>79.4784</v>
      </c>
      <c r="I99" s="195" t="s">
        <v>375</v>
      </c>
    </row>
    <row r="100" spans="1:15" s="16" customFormat="1" ht="38.25" customHeight="1">
      <c r="A100" s="203"/>
      <c r="B100" s="199"/>
      <c r="C100" s="39" t="s">
        <v>7</v>
      </c>
      <c r="D100" s="1"/>
      <c r="E100" s="17"/>
      <c r="F100" s="1"/>
      <c r="G100" s="1">
        <v>79.479</v>
      </c>
      <c r="H100" s="1">
        <v>79.479</v>
      </c>
      <c r="I100" s="195"/>
      <c r="J100" s="8"/>
      <c r="K100" s="8"/>
      <c r="L100" s="8"/>
      <c r="M100" s="8"/>
      <c r="O100" s="15"/>
    </row>
    <row r="101" spans="1:9" ht="76.5" customHeight="1">
      <c r="A101" s="38" t="s">
        <v>476</v>
      </c>
      <c r="B101" s="39" t="s">
        <v>478</v>
      </c>
      <c r="C101" s="39" t="s">
        <v>12</v>
      </c>
      <c r="D101" s="1">
        <v>2667.701</v>
      </c>
      <c r="E101" s="17">
        <f t="shared" si="1"/>
        <v>28.663713062295955</v>
      </c>
      <c r="F101" s="1">
        <f>D101-173.115-591.54716</f>
        <v>1903.0388400000002</v>
      </c>
      <c r="G101" s="1">
        <v>4.775</v>
      </c>
      <c r="H101" s="1">
        <v>4.77409</v>
      </c>
      <c r="I101" s="119" t="s">
        <v>325</v>
      </c>
    </row>
    <row r="102" spans="1:9" ht="41.25" customHeight="1">
      <c r="A102" s="203" t="s">
        <v>476</v>
      </c>
      <c r="B102" s="199" t="s">
        <v>478</v>
      </c>
      <c r="C102" s="20" t="s">
        <v>30</v>
      </c>
      <c r="D102" s="1">
        <v>822.602</v>
      </c>
      <c r="E102" s="17">
        <f t="shared" si="1"/>
        <v>58.667800467297674</v>
      </c>
      <c r="F102" s="1">
        <f>SUM(D102-463.8061-18.7964)</f>
        <v>339.99949999999995</v>
      </c>
      <c r="G102" s="1">
        <v>15</v>
      </c>
      <c r="H102" s="1">
        <v>0.99</v>
      </c>
      <c r="I102" s="195" t="s">
        <v>240</v>
      </c>
    </row>
    <row r="103" spans="1:15" s="16" customFormat="1" ht="37.5" customHeight="1">
      <c r="A103" s="203"/>
      <c r="B103" s="199"/>
      <c r="C103" s="39" t="s">
        <v>7</v>
      </c>
      <c r="D103" s="1"/>
      <c r="E103" s="17"/>
      <c r="F103" s="1"/>
      <c r="G103" s="1">
        <v>0.297</v>
      </c>
      <c r="H103" s="1">
        <v>0.297</v>
      </c>
      <c r="I103" s="195"/>
      <c r="J103" s="8"/>
      <c r="K103" s="8"/>
      <c r="L103" s="8"/>
      <c r="M103" s="8"/>
      <c r="O103" s="15"/>
    </row>
    <row r="104" spans="1:9" ht="35.25" customHeight="1">
      <c r="A104" s="203" t="s">
        <v>476</v>
      </c>
      <c r="B104" s="199" t="s">
        <v>478</v>
      </c>
      <c r="C104" s="20" t="s">
        <v>31</v>
      </c>
      <c r="D104" s="1">
        <v>610.807</v>
      </c>
      <c r="E104" s="17">
        <f>100-(F104/D104)*100</f>
        <v>52.566448976517954</v>
      </c>
      <c r="F104" s="1">
        <f>467.855-178.12755</f>
        <v>289.72745</v>
      </c>
      <c r="G104" s="1">
        <v>44.373</v>
      </c>
      <c r="H104" s="1">
        <v>1.39518</v>
      </c>
      <c r="I104" s="195" t="s">
        <v>240</v>
      </c>
    </row>
    <row r="105" spans="1:15" s="16" customFormat="1" ht="37.5" customHeight="1">
      <c r="A105" s="203"/>
      <c r="B105" s="199"/>
      <c r="C105" s="39" t="s">
        <v>7</v>
      </c>
      <c r="D105" s="1"/>
      <c r="E105" s="17"/>
      <c r="F105" s="1"/>
      <c r="G105" s="1">
        <v>0.419</v>
      </c>
      <c r="H105" s="1">
        <v>0.419</v>
      </c>
      <c r="I105" s="195"/>
      <c r="J105" s="8"/>
      <c r="K105" s="8"/>
      <c r="L105" s="8"/>
      <c r="M105" s="8"/>
      <c r="O105" s="15"/>
    </row>
    <row r="106" spans="1:9" ht="37.5" customHeight="1">
      <c r="A106" s="203" t="s">
        <v>476</v>
      </c>
      <c r="B106" s="199" t="s">
        <v>478</v>
      </c>
      <c r="C106" s="20" t="s">
        <v>306</v>
      </c>
      <c r="D106" s="1">
        <v>294</v>
      </c>
      <c r="E106" s="17">
        <f t="shared" si="1"/>
        <v>47.73405782312924</v>
      </c>
      <c r="F106" s="1">
        <f>207.8-54.13813</f>
        <v>153.66187000000002</v>
      </c>
      <c r="G106" s="1">
        <v>0.99</v>
      </c>
      <c r="H106" s="1">
        <v>0.99</v>
      </c>
      <c r="I106" s="195" t="s">
        <v>240</v>
      </c>
    </row>
    <row r="107" spans="1:15" s="16" customFormat="1" ht="40.5" customHeight="1">
      <c r="A107" s="203"/>
      <c r="B107" s="199"/>
      <c r="C107" s="39" t="s">
        <v>7</v>
      </c>
      <c r="D107" s="1"/>
      <c r="E107" s="17"/>
      <c r="F107" s="1"/>
      <c r="G107" s="1">
        <v>0.297</v>
      </c>
      <c r="H107" s="1">
        <v>0.297</v>
      </c>
      <c r="I107" s="195"/>
      <c r="J107" s="8"/>
      <c r="K107" s="8"/>
      <c r="L107" s="8"/>
      <c r="M107" s="8"/>
      <c r="O107" s="15"/>
    </row>
    <row r="108" spans="1:9" ht="42.75" customHeight="1">
      <c r="A108" s="203" t="s">
        <v>476</v>
      </c>
      <c r="B108" s="199" t="s">
        <v>478</v>
      </c>
      <c r="C108" s="20" t="s">
        <v>32</v>
      </c>
      <c r="D108" s="1">
        <v>298.864</v>
      </c>
      <c r="E108" s="17">
        <f t="shared" si="1"/>
        <v>83.58739092028482</v>
      </c>
      <c r="F108" s="1">
        <f>SUM(D108-249.81262)</f>
        <v>49.051379999999966</v>
      </c>
      <c r="G108" s="1">
        <v>29.051</v>
      </c>
      <c r="H108" s="1">
        <v>28.75128</v>
      </c>
      <c r="I108" s="193" t="s">
        <v>326</v>
      </c>
    </row>
    <row r="109" spans="1:15" s="16" customFormat="1" ht="39" customHeight="1">
      <c r="A109" s="203"/>
      <c r="B109" s="199"/>
      <c r="C109" s="39" t="s">
        <v>7</v>
      </c>
      <c r="D109" s="1"/>
      <c r="E109" s="17"/>
      <c r="F109" s="1"/>
      <c r="G109" s="1">
        <v>28.752</v>
      </c>
      <c r="H109" s="1">
        <v>28.752</v>
      </c>
      <c r="I109" s="194"/>
      <c r="J109" s="8"/>
      <c r="K109" s="8"/>
      <c r="L109" s="8"/>
      <c r="M109" s="8"/>
      <c r="O109" s="15"/>
    </row>
    <row r="110" spans="1:15" s="16" customFormat="1" ht="54" customHeight="1">
      <c r="A110" s="38" t="s">
        <v>476</v>
      </c>
      <c r="B110" s="39" t="s">
        <v>478</v>
      </c>
      <c r="C110" s="81" t="s">
        <v>150</v>
      </c>
      <c r="D110" s="1">
        <v>345.238</v>
      </c>
      <c r="E110" s="17">
        <f t="shared" si="1"/>
        <v>0</v>
      </c>
      <c r="F110" s="1">
        <v>345.238</v>
      </c>
      <c r="G110" s="1">
        <v>95.238</v>
      </c>
      <c r="H110" s="1">
        <v>0</v>
      </c>
      <c r="I110" s="119" t="s">
        <v>233</v>
      </c>
      <c r="J110" s="8"/>
      <c r="K110" s="8"/>
      <c r="L110" s="8"/>
      <c r="M110" s="8"/>
      <c r="O110" s="15"/>
    </row>
    <row r="111" spans="1:15" s="16" customFormat="1" ht="41.25" customHeight="1">
      <c r="A111" s="38" t="s">
        <v>476</v>
      </c>
      <c r="B111" s="39" t="s">
        <v>478</v>
      </c>
      <c r="C111" s="46" t="s">
        <v>201</v>
      </c>
      <c r="D111" s="1">
        <v>11757.16</v>
      </c>
      <c r="E111" s="17">
        <f t="shared" si="1"/>
        <v>2.1553221186068754</v>
      </c>
      <c r="F111" s="1">
        <f>SUM(D111)-253.40467</f>
        <v>11503.75533</v>
      </c>
      <c r="G111" s="1">
        <v>33.016</v>
      </c>
      <c r="H111" s="1">
        <v>0</v>
      </c>
      <c r="I111" s="119" t="s">
        <v>233</v>
      </c>
      <c r="J111" s="8"/>
      <c r="K111" s="8"/>
      <c r="L111" s="8"/>
      <c r="M111" s="8"/>
      <c r="O111" s="15"/>
    </row>
    <row r="112" spans="1:9" ht="63.75" customHeight="1">
      <c r="A112" s="38" t="s">
        <v>476</v>
      </c>
      <c r="B112" s="39" t="s">
        <v>478</v>
      </c>
      <c r="C112" s="20" t="s">
        <v>188</v>
      </c>
      <c r="D112" s="1">
        <v>26.666</v>
      </c>
      <c r="E112" s="17">
        <f t="shared" si="1"/>
        <v>0</v>
      </c>
      <c r="F112" s="1">
        <v>26.666</v>
      </c>
      <c r="G112" s="1">
        <v>3.74</v>
      </c>
      <c r="H112" s="1">
        <v>3.73948</v>
      </c>
      <c r="I112" s="119" t="s">
        <v>376</v>
      </c>
    </row>
    <row r="113" spans="1:9" ht="38.25" customHeight="1">
      <c r="A113" s="203" t="s">
        <v>476</v>
      </c>
      <c r="B113" s="199" t="s">
        <v>478</v>
      </c>
      <c r="C113" s="20" t="s">
        <v>33</v>
      </c>
      <c r="D113" s="1">
        <v>22.426</v>
      </c>
      <c r="E113" s="17">
        <f t="shared" si="1"/>
        <v>0</v>
      </c>
      <c r="F113" s="1">
        <v>22.426</v>
      </c>
      <c r="G113" s="1">
        <v>22.426</v>
      </c>
      <c r="H113" s="1">
        <v>19.04646</v>
      </c>
      <c r="I113" s="195" t="s">
        <v>346</v>
      </c>
    </row>
    <row r="114" spans="1:15" s="168" customFormat="1" ht="39" customHeight="1">
      <c r="A114" s="203"/>
      <c r="B114" s="199"/>
      <c r="C114" s="51" t="s">
        <v>7</v>
      </c>
      <c r="D114" s="92"/>
      <c r="E114" s="93"/>
      <c r="F114" s="92"/>
      <c r="G114" s="92">
        <v>4.346</v>
      </c>
      <c r="H114" s="92">
        <v>4.346</v>
      </c>
      <c r="I114" s="195"/>
      <c r="J114" s="57"/>
      <c r="K114" s="57"/>
      <c r="L114" s="57"/>
      <c r="M114" s="57"/>
      <c r="O114" s="169"/>
    </row>
    <row r="115" spans="1:9" ht="39.75" customHeight="1">
      <c r="A115" s="203" t="s">
        <v>476</v>
      </c>
      <c r="B115" s="199" t="s">
        <v>478</v>
      </c>
      <c r="C115" s="20" t="s">
        <v>34</v>
      </c>
      <c r="D115" s="1">
        <v>21.511</v>
      </c>
      <c r="E115" s="17">
        <f t="shared" si="1"/>
        <v>0</v>
      </c>
      <c r="F115" s="1">
        <v>21.511</v>
      </c>
      <c r="G115" s="1">
        <v>21.511</v>
      </c>
      <c r="H115" s="1">
        <v>18.08803</v>
      </c>
      <c r="I115" s="195" t="s">
        <v>351</v>
      </c>
    </row>
    <row r="116" spans="1:15" s="16" customFormat="1" ht="41.25" customHeight="1">
      <c r="A116" s="203"/>
      <c r="B116" s="199"/>
      <c r="C116" s="39" t="s">
        <v>7</v>
      </c>
      <c r="D116" s="1"/>
      <c r="E116" s="17"/>
      <c r="F116" s="1"/>
      <c r="G116" s="1">
        <v>3.942</v>
      </c>
      <c r="H116" s="1">
        <v>3.942</v>
      </c>
      <c r="I116" s="195"/>
      <c r="J116" s="8"/>
      <c r="K116" s="8"/>
      <c r="L116" s="8"/>
      <c r="M116" s="8"/>
      <c r="O116" s="15"/>
    </row>
    <row r="117" spans="1:9" ht="41.25" customHeight="1">
      <c r="A117" s="203" t="s">
        <v>476</v>
      </c>
      <c r="B117" s="199" t="s">
        <v>478</v>
      </c>
      <c r="C117" s="20" t="s">
        <v>35</v>
      </c>
      <c r="D117" s="1">
        <v>16.771</v>
      </c>
      <c r="E117" s="17">
        <f t="shared" si="1"/>
        <v>0</v>
      </c>
      <c r="F117" s="1">
        <v>16.771</v>
      </c>
      <c r="G117" s="1">
        <v>16.771</v>
      </c>
      <c r="H117" s="1">
        <v>13.28588</v>
      </c>
      <c r="I117" s="195" t="s">
        <v>347</v>
      </c>
    </row>
    <row r="118" spans="1:15" s="16" customFormat="1" ht="42.75" customHeight="1">
      <c r="A118" s="203"/>
      <c r="B118" s="199"/>
      <c r="C118" s="39" t="s">
        <v>7</v>
      </c>
      <c r="D118" s="1"/>
      <c r="E118" s="17"/>
      <c r="F118" s="1"/>
      <c r="G118" s="1">
        <v>3.74</v>
      </c>
      <c r="H118" s="1">
        <v>3.74</v>
      </c>
      <c r="I118" s="195"/>
      <c r="J118" s="8"/>
      <c r="K118" s="8"/>
      <c r="L118" s="8"/>
      <c r="M118" s="8"/>
      <c r="O118" s="15"/>
    </row>
    <row r="119" spans="1:9" ht="38.25" customHeight="1">
      <c r="A119" s="203" t="s">
        <v>476</v>
      </c>
      <c r="B119" s="199" t="s">
        <v>478</v>
      </c>
      <c r="C119" s="20" t="s">
        <v>36</v>
      </c>
      <c r="D119" s="1">
        <v>17.286</v>
      </c>
      <c r="E119" s="17">
        <f t="shared" si="1"/>
        <v>0</v>
      </c>
      <c r="F119" s="1">
        <v>17.286</v>
      </c>
      <c r="G119" s="1">
        <v>17.286</v>
      </c>
      <c r="H119" s="1">
        <v>13.86052</v>
      </c>
      <c r="I119" s="195" t="s">
        <v>348</v>
      </c>
    </row>
    <row r="120" spans="1:15" s="16" customFormat="1" ht="39" customHeight="1">
      <c r="A120" s="203"/>
      <c r="B120" s="199"/>
      <c r="C120" s="39" t="s">
        <v>7</v>
      </c>
      <c r="D120" s="1"/>
      <c r="E120" s="17"/>
      <c r="F120" s="1"/>
      <c r="G120" s="1">
        <v>3.74</v>
      </c>
      <c r="H120" s="1">
        <v>3.74</v>
      </c>
      <c r="I120" s="195"/>
      <c r="J120" s="8"/>
      <c r="K120" s="8"/>
      <c r="L120" s="8"/>
      <c r="M120" s="8"/>
      <c r="O120" s="15"/>
    </row>
    <row r="121" spans="1:9" ht="38.25" customHeight="1">
      <c r="A121" s="203" t="s">
        <v>476</v>
      </c>
      <c r="B121" s="199" t="s">
        <v>478</v>
      </c>
      <c r="C121" s="20" t="s">
        <v>37</v>
      </c>
      <c r="D121" s="1">
        <v>28.399</v>
      </c>
      <c r="E121" s="17">
        <f t="shared" si="1"/>
        <v>0</v>
      </c>
      <c r="F121" s="1">
        <v>28.399</v>
      </c>
      <c r="G121" s="1">
        <v>28.399</v>
      </c>
      <c r="H121" s="1">
        <v>23.40586</v>
      </c>
      <c r="I121" s="195" t="s">
        <v>351</v>
      </c>
    </row>
    <row r="122" spans="1:15" s="16" customFormat="1" ht="40.5" customHeight="1">
      <c r="A122" s="203"/>
      <c r="B122" s="199"/>
      <c r="C122" s="39" t="s">
        <v>7</v>
      </c>
      <c r="D122" s="1"/>
      <c r="E122" s="17"/>
      <c r="F122" s="1"/>
      <c r="G122" s="1">
        <v>4.548</v>
      </c>
      <c r="H122" s="1">
        <v>4.548</v>
      </c>
      <c r="I122" s="195"/>
      <c r="J122" s="8"/>
      <c r="K122" s="8"/>
      <c r="L122" s="8"/>
      <c r="M122" s="8"/>
      <c r="O122" s="15"/>
    </row>
    <row r="123" spans="1:9" ht="38.25" customHeight="1">
      <c r="A123" s="203" t="s">
        <v>476</v>
      </c>
      <c r="B123" s="199" t="s">
        <v>478</v>
      </c>
      <c r="C123" s="20" t="s">
        <v>38</v>
      </c>
      <c r="D123" s="1">
        <v>43.706</v>
      </c>
      <c r="E123" s="17">
        <f t="shared" si="1"/>
        <v>0</v>
      </c>
      <c r="F123" s="1">
        <v>43.706</v>
      </c>
      <c r="G123" s="1">
        <v>43.706</v>
      </c>
      <c r="H123" s="1">
        <v>35.11632</v>
      </c>
      <c r="I123" s="195" t="s">
        <v>349</v>
      </c>
    </row>
    <row r="124" spans="1:15" s="16" customFormat="1" ht="39" customHeight="1">
      <c r="A124" s="203"/>
      <c r="B124" s="199"/>
      <c r="C124" s="39" t="s">
        <v>7</v>
      </c>
      <c r="D124" s="1"/>
      <c r="E124" s="17"/>
      <c r="F124" s="1"/>
      <c r="G124" s="1">
        <v>4.952</v>
      </c>
      <c r="H124" s="1">
        <v>4.952</v>
      </c>
      <c r="I124" s="195"/>
      <c r="J124" s="8"/>
      <c r="K124" s="8"/>
      <c r="L124" s="8"/>
      <c r="M124" s="8"/>
      <c r="O124" s="15"/>
    </row>
    <row r="125" spans="1:9" ht="38.25" customHeight="1">
      <c r="A125" s="203" t="s">
        <v>476</v>
      </c>
      <c r="B125" s="199" t="s">
        <v>478</v>
      </c>
      <c r="C125" s="20" t="s">
        <v>39</v>
      </c>
      <c r="D125" s="1">
        <v>29.153</v>
      </c>
      <c r="E125" s="17">
        <f t="shared" si="1"/>
        <v>0</v>
      </c>
      <c r="F125" s="1">
        <v>29.153</v>
      </c>
      <c r="G125" s="1">
        <v>29.153</v>
      </c>
      <c r="H125" s="1">
        <v>23.95583</v>
      </c>
      <c r="I125" s="195" t="s">
        <v>350</v>
      </c>
    </row>
    <row r="126" spans="1:15" s="16" customFormat="1" ht="39.75" customHeight="1">
      <c r="A126" s="203"/>
      <c r="B126" s="199"/>
      <c r="C126" s="39" t="s">
        <v>7</v>
      </c>
      <c r="D126" s="1"/>
      <c r="E126" s="17"/>
      <c r="F126" s="1"/>
      <c r="G126" s="1">
        <v>4.548</v>
      </c>
      <c r="H126" s="1">
        <v>4.548</v>
      </c>
      <c r="I126" s="195"/>
      <c r="J126" s="8"/>
      <c r="K126" s="8"/>
      <c r="L126" s="8"/>
      <c r="M126" s="8"/>
      <c r="O126" s="15"/>
    </row>
    <row r="127" spans="1:9" ht="38.25" customHeight="1">
      <c r="A127" s="203" t="s">
        <v>476</v>
      </c>
      <c r="B127" s="199" t="s">
        <v>478</v>
      </c>
      <c r="C127" s="20" t="s">
        <v>40</v>
      </c>
      <c r="D127" s="1">
        <v>29.509</v>
      </c>
      <c r="E127" s="17">
        <f t="shared" si="1"/>
        <v>0</v>
      </c>
      <c r="F127" s="1">
        <v>29.509</v>
      </c>
      <c r="G127" s="1">
        <v>29.509</v>
      </c>
      <c r="H127" s="1">
        <v>23.95617</v>
      </c>
      <c r="I127" s="195" t="s">
        <v>350</v>
      </c>
    </row>
    <row r="128" spans="1:15" s="16" customFormat="1" ht="39" customHeight="1">
      <c r="A128" s="203"/>
      <c r="B128" s="199"/>
      <c r="C128" s="39" t="s">
        <v>7</v>
      </c>
      <c r="D128" s="1"/>
      <c r="E128" s="17"/>
      <c r="F128" s="1"/>
      <c r="G128" s="1">
        <v>4.548</v>
      </c>
      <c r="H128" s="1">
        <v>4.548</v>
      </c>
      <c r="I128" s="195"/>
      <c r="J128" s="8"/>
      <c r="K128" s="8"/>
      <c r="L128" s="8"/>
      <c r="M128" s="8"/>
      <c r="O128" s="15"/>
    </row>
    <row r="129" spans="1:15" s="16" customFormat="1" ht="37.5" customHeight="1">
      <c r="A129" s="38" t="s">
        <v>476</v>
      </c>
      <c r="B129" s="39" t="s">
        <v>478</v>
      </c>
      <c r="C129" s="20" t="s">
        <v>221</v>
      </c>
      <c r="D129" s="1">
        <v>58.338</v>
      </c>
      <c r="E129" s="17">
        <f t="shared" si="1"/>
        <v>0</v>
      </c>
      <c r="F129" s="1">
        <f>SUM(D129)</f>
        <v>58.338</v>
      </c>
      <c r="G129" s="1">
        <v>3.105</v>
      </c>
      <c r="H129" s="1">
        <v>0</v>
      </c>
      <c r="I129" s="119" t="s">
        <v>233</v>
      </c>
      <c r="J129" s="8"/>
      <c r="K129" s="8"/>
      <c r="L129" s="8"/>
      <c r="M129" s="8"/>
      <c r="O129" s="15"/>
    </row>
    <row r="130" spans="1:15" s="16" customFormat="1" ht="37.5" customHeight="1">
      <c r="A130" s="38" t="s">
        <v>476</v>
      </c>
      <c r="B130" s="39" t="s">
        <v>478</v>
      </c>
      <c r="C130" s="20" t="s">
        <v>222</v>
      </c>
      <c r="D130" s="1">
        <v>41.43</v>
      </c>
      <c r="E130" s="17">
        <f t="shared" si="1"/>
        <v>0</v>
      </c>
      <c r="F130" s="1">
        <f>SUM(D130)</f>
        <v>41.43</v>
      </c>
      <c r="G130" s="1">
        <v>1.784</v>
      </c>
      <c r="H130" s="1">
        <v>0</v>
      </c>
      <c r="I130" s="119" t="s">
        <v>233</v>
      </c>
      <c r="J130" s="8"/>
      <c r="K130" s="8"/>
      <c r="L130" s="8"/>
      <c r="M130" s="8"/>
      <c r="O130" s="15"/>
    </row>
    <row r="131" spans="1:9" ht="53.25" customHeight="1">
      <c r="A131" s="203" t="s">
        <v>476</v>
      </c>
      <c r="B131" s="199" t="s">
        <v>478</v>
      </c>
      <c r="C131" s="20" t="s">
        <v>43</v>
      </c>
      <c r="D131" s="1">
        <v>4548.06</v>
      </c>
      <c r="E131" s="17">
        <f t="shared" si="1"/>
        <v>0.031089079739501813</v>
      </c>
      <c r="F131" s="1">
        <f>SUM(D131-1.41395)</f>
        <v>4546.64605</v>
      </c>
      <c r="G131" s="1">
        <v>2661.009</v>
      </c>
      <c r="H131" s="1">
        <v>1054.50793</v>
      </c>
      <c r="I131" s="195" t="s">
        <v>285</v>
      </c>
    </row>
    <row r="132" spans="1:15" s="16" customFormat="1" ht="35.25" customHeight="1">
      <c r="A132" s="203"/>
      <c r="B132" s="199"/>
      <c r="C132" s="39" t="s">
        <v>7</v>
      </c>
      <c r="D132" s="1"/>
      <c r="E132" s="17"/>
      <c r="F132" s="1"/>
      <c r="G132" s="1">
        <v>3.3</v>
      </c>
      <c r="H132" s="1">
        <v>3.3</v>
      </c>
      <c r="I132" s="195"/>
      <c r="J132" s="8"/>
      <c r="K132" s="8"/>
      <c r="L132" s="8"/>
      <c r="M132" s="8"/>
      <c r="O132" s="15"/>
    </row>
    <row r="133" spans="1:9" ht="44.25" customHeight="1">
      <c r="A133" s="215" t="s">
        <v>476</v>
      </c>
      <c r="B133" s="199" t="s">
        <v>478</v>
      </c>
      <c r="C133" s="39" t="s">
        <v>494</v>
      </c>
      <c r="D133" s="1">
        <v>3826.168</v>
      </c>
      <c r="E133" s="17">
        <f t="shared" si="1"/>
        <v>25.932833581797766</v>
      </c>
      <c r="F133" s="1">
        <f>D133-87-905.23378</f>
        <v>2833.93422</v>
      </c>
      <c r="G133" s="92">
        <f>1810.038-601.058</f>
        <v>1208.98</v>
      </c>
      <c r="H133" s="92">
        <v>877.74274</v>
      </c>
      <c r="I133" s="195" t="s">
        <v>352</v>
      </c>
    </row>
    <row r="134" spans="1:15" s="16" customFormat="1" ht="38.25" customHeight="1">
      <c r="A134" s="215"/>
      <c r="B134" s="199"/>
      <c r="C134" s="39" t="s">
        <v>7</v>
      </c>
      <c r="D134" s="1"/>
      <c r="E134" s="17"/>
      <c r="F134" s="1"/>
      <c r="G134" s="1">
        <v>202.866</v>
      </c>
      <c r="H134" s="1">
        <v>202.866</v>
      </c>
      <c r="I134" s="195"/>
      <c r="J134" s="8"/>
      <c r="K134" s="8"/>
      <c r="L134" s="8"/>
      <c r="M134" s="8"/>
      <c r="O134" s="15"/>
    </row>
    <row r="135" spans="1:9" ht="111.75" customHeight="1">
      <c r="A135" s="40" t="s">
        <v>476</v>
      </c>
      <c r="B135" s="39" t="s">
        <v>478</v>
      </c>
      <c r="C135" s="39" t="s">
        <v>499</v>
      </c>
      <c r="D135" s="1">
        <v>2321.421</v>
      </c>
      <c r="E135" s="17">
        <f t="shared" si="1"/>
        <v>0.28411261895190876</v>
      </c>
      <c r="F135" s="1">
        <f>D135-6.59545</f>
        <v>2314.82555</v>
      </c>
      <c r="G135" s="92">
        <f>2314.826-864.579</f>
        <v>1450.247</v>
      </c>
      <c r="H135" s="92">
        <v>1084.41086</v>
      </c>
      <c r="I135" s="119" t="s">
        <v>286</v>
      </c>
    </row>
    <row r="136" spans="1:9" ht="57" customHeight="1">
      <c r="A136" s="38" t="s">
        <v>476</v>
      </c>
      <c r="B136" s="39" t="s">
        <v>478</v>
      </c>
      <c r="C136" s="39" t="s">
        <v>563</v>
      </c>
      <c r="D136" s="1">
        <v>560</v>
      </c>
      <c r="E136" s="17">
        <f>100-(F136/D136)*100</f>
        <v>0</v>
      </c>
      <c r="F136" s="1">
        <f aca="true" t="shared" si="2" ref="F136:F142">D136</f>
        <v>560</v>
      </c>
      <c r="G136" s="1">
        <v>33.5</v>
      </c>
      <c r="H136" s="1">
        <v>0</v>
      </c>
      <c r="I136" s="119" t="s">
        <v>233</v>
      </c>
    </row>
    <row r="137" spans="1:9" ht="57.75" customHeight="1">
      <c r="A137" s="38" t="s">
        <v>476</v>
      </c>
      <c r="B137" s="39" t="s">
        <v>478</v>
      </c>
      <c r="C137" s="81" t="s">
        <v>287</v>
      </c>
      <c r="D137" s="1">
        <v>307.928</v>
      </c>
      <c r="E137" s="17">
        <f>100-(F137/D137)*100</f>
        <v>0</v>
      </c>
      <c r="F137" s="1">
        <f t="shared" si="2"/>
        <v>307.928</v>
      </c>
      <c r="G137" s="1">
        <v>307.928</v>
      </c>
      <c r="H137" s="1">
        <v>13.87087</v>
      </c>
      <c r="I137" s="119" t="s">
        <v>336</v>
      </c>
    </row>
    <row r="138" spans="1:9" ht="76.5" customHeight="1">
      <c r="A138" s="38" t="s">
        <v>476</v>
      </c>
      <c r="B138" s="39" t="s">
        <v>478</v>
      </c>
      <c r="C138" s="39" t="s">
        <v>288</v>
      </c>
      <c r="D138" s="1">
        <v>140</v>
      </c>
      <c r="E138" s="17">
        <f t="shared" si="1"/>
        <v>0</v>
      </c>
      <c r="F138" s="1">
        <f t="shared" si="2"/>
        <v>140</v>
      </c>
      <c r="G138" s="1">
        <v>140</v>
      </c>
      <c r="H138" s="1">
        <v>0</v>
      </c>
      <c r="I138" s="119" t="s">
        <v>233</v>
      </c>
    </row>
    <row r="139" spans="1:9" ht="77.25" customHeight="1">
      <c r="A139" s="38" t="s">
        <v>476</v>
      </c>
      <c r="B139" s="39" t="s">
        <v>478</v>
      </c>
      <c r="C139" s="50" t="s">
        <v>453</v>
      </c>
      <c r="D139" s="1">
        <v>234.185</v>
      </c>
      <c r="E139" s="17">
        <f>100-(F139/D139)*100</f>
        <v>0</v>
      </c>
      <c r="F139" s="1">
        <f t="shared" si="2"/>
        <v>234.185</v>
      </c>
      <c r="G139" s="1">
        <v>50</v>
      </c>
      <c r="H139" s="1">
        <v>0</v>
      </c>
      <c r="I139" s="119" t="s">
        <v>233</v>
      </c>
    </row>
    <row r="140" spans="1:9" ht="75.75" customHeight="1">
      <c r="A140" s="38" t="s">
        <v>476</v>
      </c>
      <c r="B140" s="39" t="s">
        <v>478</v>
      </c>
      <c r="C140" s="50" t="s">
        <v>454</v>
      </c>
      <c r="D140" s="1">
        <v>234.185</v>
      </c>
      <c r="E140" s="17">
        <f>100-(F140/D140)*100</f>
        <v>0</v>
      </c>
      <c r="F140" s="1">
        <f t="shared" si="2"/>
        <v>234.185</v>
      </c>
      <c r="G140" s="1">
        <v>50</v>
      </c>
      <c r="H140" s="1">
        <v>0</v>
      </c>
      <c r="I140" s="119" t="s">
        <v>233</v>
      </c>
    </row>
    <row r="141" spans="1:9" ht="74.25" customHeight="1">
      <c r="A141" s="38" t="s">
        <v>476</v>
      </c>
      <c r="B141" s="39" t="s">
        <v>478</v>
      </c>
      <c r="C141" s="50" t="s">
        <v>455</v>
      </c>
      <c r="D141" s="1">
        <v>234.185</v>
      </c>
      <c r="E141" s="17">
        <f>100-(F141/D141)*100</f>
        <v>0</v>
      </c>
      <c r="F141" s="1">
        <f t="shared" si="2"/>
        <v>234.185</v>
      </c>
      <c r="G141" s="1">
        <v>50</v>
      </c>
      <c r="H141" s="1">
        <v>0</v>
      </c>
      <c r="I141" s="119" t="s">
        <v>233</v>
      </c>
    </row>
    <row r="142" spans="1:9" ht="78" customHeight="1">
      <c r="A142" s="38" t="s">
        <v>476</v>
      </c>
      <c r="B142" s="39" t="s">
        <v>478</v>
      </c>
      <c r="C142" s="50" t="s">
        <v>456</v>
      </c>
      <c r="D142" s="1">
        <v>234.185</v>
      </c>
      <c r="E142" s="17">
        <f>100-(F142/D142)*100</f>
        <v>0</v>
      </c>
      <c r="F142" s="1">
        <f t="shared" si="2"/>
        <v>234.185</v>
      </c>
      <c r="G142" s="1">
        <v>50</v>
      </c>
      <c r="H142" s="1">
        <v>0</v>
      </c>
      <c r="I142" s="119" t="s">
        <v>233</v>
      </c>
    </row>
    <row r="143" spans="1:9" ht="75.75" customHeight="1">
      <c r="A143" s="38" t="s">
        <v>193</v>
      </c>
      <c r="B143" s="39" t="s">
        <v>194</v>
      </c>
      <c r="C143" s="39" t="s">
        <v>194</v>
      </c>
      <c r="D143" s="1"/>
      <c r="E143" s="17"/>
      <c r="F143" s="1"/>
      <c r="G143" s="1">
        <f>1292.78+20000+200-1292.78</f>
        <v>20200</v>
      </c>
      <c r="H143" s="1">
        <v>4470</v>
      </c>
      <c r="I143" s="122" t="s">
        <v>316</v>
      </c>
    </row>
    <row r="144" spans="1:9" ht="37.5" customHeight="1">
      <c r="A144" s="203" t="s">
        <v>476</v>
      </c>
      <c r="B144" s="199" t="s">
        <v>478</v>
      </c>
      <c r="C144" s="39" t="s">
        <v>560</v>
      </c>
      <c r="D144" s="1">
        <f>SUM(D146:D215)</f>
        <v>4406.699999999999</v>
      </c>
      <c r="E144" s="17">
        <f>100-(F144/D144)*100</f>
        <v>0</v>
      </c>
      <c r="F144" s="1">
        <f>SUM(F146:F215)</f>
        <v>4406.699999999999</v>
      </c>
      <c r="G144" s="1">
        <f>SUM(G146:G218)</f>
        <v>4406.699999999998</v>
      </c>
      <c r="H144" s="1">
        <v>2388.70805</v>
      </c>
      <c r="I144" s="119"/>
    </row>
    <row r="145" spans="1:9" s="27" customFormat="1" ht="18.75">
      <c r="A145" s="203"/>
      <c r="B145" s="199"/>
      <c r="C145" s="39" t="s">
        <v>57</v>
      </c>
      <c r="D145" s="25"/>
      <c r="E145" s="26"/>
      <c r="F145" s="25"/>
      <c r="G145" s="25"/>
      <c r="H145" s="25"/>
      <c r="I145" s="119"/>
    </row>
    <row r="146" spans="1:9" s="27" customFormat="1" ht="18.75">
      <c r="A146" s="38" t="s">
        <v>476</v>
      </c>
      <c r="B146" s="39" t="s">
        <v>478</v>
      </c>
      <c r="C146" s="39" t="s">
        <v>289</v>
      </c>
      <c r="D146" s="1">
        <v>60.196</v>
      </c>
      <c r="E146" s="17">
        <f aca="true" t="shared" si="3" ref="E146:E198">100-(F146/D146)*100</f>
        <v>0</v>
      </c>
      <c r="F146" s="1">
        <f>SUM(D146)</f>
        <v>60.196</v>
      </c>
      <c r="G146" s="1">
        <v>60.196</v>
      </c>
      <c r="H146" s="1">
        <v>0</v>
      </c>
      <c r="I146" s="119" t="s">
        <v>233</v>
      </c>
    </row>
    <row r="147" spans="1:9" s="27" customFormat="1" ht="18.75">
      <c r="A147" s="38" t="s">
        <v>476</v>
      </c>
      <c r="B147" s="39" t="s">
        <v>478</v>
      </c>
      <c r="C147" s="39" t="s">
        <v>163</v>
      </c>
      <c r="D147" s="1">
        <v>47.087</v>
      </c>
      <c r="E147" s="17">
        <f>100-(F147/D147)*100</f>
        <v>0</v>
      </c>
      <c r="F147" s="1">
        <f>SUM(D147)</f>
        <v>47.087</v>
      </c>
      <c r="G147" s="1">
        <v>47.086</v>
      </c>
      <c r="H147" s="1">
        <v>45.09559</v>
      </c>
      <c r="I147" s="119" t="s">
        <v>317</v>
      </c>
    </row>
    <row r="148" spans="1:9" s="27" customFormat="1" ht="18.75">
      <c r="A148" s="38" t="s">
        <v>476</v>
      </c>
      <c r="B148" s="39" t="s">
        <v>478</v>
      </c>
      <c r="C148" s="39" t="s">
        <v>153</v>
      </c>
      <c r="D148" s="1">
        <v>54.353</v>
      </c>
      <c r="E148" s="17">
        <f>100-(F148/D148)*100</f>
        <v>0</v>
      </c>
      <c r="F148" s="1">
        <f>SUM(D148)</f>
        <v>54.353</v>
      </c>
      <c r="G148" s="1">
        <v>53.997</v>
      </c>
      <c r="H148" s="1">
        <v>51.91173</v>
      </c>
      <c r="I148" s="119" t="s">
        <v>317</v>
      </c>
    </row>
    <row r="149" spans="1:9" s="27" customFormat="1" ht="18.75">
      <c r="A149" s="38" t="s">
        <v>476</v>
      </c>
      <c r="B149" s="39" t="s">
        <v>478</v>
      </c>
      <c r="C149" s="39" t="s">
        <v>156</v>
      </c>
      <c r="D149" s="1">
        <v>52.504</v>
      </c>
      <c r="E149" s="17">
        <f>100-(F149/D149)*100</f>
        <v>0</v>
      </c>
      <c r="F149" s="1">
        <f>SUM(D149)</f>
        <v>52.504</v>
      </c>
      <c r="G149" s="1">
        <v>52.504</v>
      </c>
      <c r="H149" s="1">
        <v>0</v>
      </c>
      <c r="I149" s="119" t="s">
        <v>233</v>
      </c>
    </row>
    <row r="150" spans="1:9" s="27" customFormat="1" ht="18.75">
      <c r="A150" s="38" t="s">
        <v>476</v>
      </c>
      <c r="B150" s="39" t="s">
        <v>478</v>
      </c>
      <c r="C150" s="39" t="s">
        <v>58</v>
      </c>
      <c r="D150" s="1">
        <v>52.372</v>
      </c>
      <c r="E150" s="17">
        <f t="shared" si="3"/>
        <v>0</v>
      </c>
      <c r="F150" s="1">
        <f aca="true" t="shared" si="4" ref="F150:F198">SUM(D150)</f>
        <v>52.372</v>
      </c>
      <c r="G150" s="1">
        <v>52.321</v>
      </c>
      <c r="H150" s="1">
        <v>43.18909</v>
      </c>
      <c r="I150" s="119" t="s">
        <v>317</v>
      </c>
    </row>
    <row r="151" spans="1:9" s="27" customFormat="1" ht="18.75">
      <c r="A151" s="38" t="s">
        <v>476</v>
      </c>
      <c r="B151" s="39" t="s">
        <v>478</v>
      </c>
      <c r="C151" s="39" t="s">
        <v>173</v>
      </c>
      <c r="D151" s="1">
        <v>41.09</v>
      </c>
      <c r="E151" s="17">
        <f>100-(F151/D151)*100</f>
        <v>0</v>
      </c>
      <c r="F151" s="1">
        <f>SUM(D151)</f>
        <v>41.09</v>
      </c>
      <c r="G151" s="1">
        <v>39.464</v>
      </c>
      <c r="H151" s="1">
        <v>37.5518</v>
      </c>
      <c r="I151" s="119" t="s">
        <v>317</v>
      </c>
    </row>
    <row r="152" spans="1:9" s="27" customFormat="1" ht="18.75">
      <c r="A152" s="38" t="s">
        <v>476</v>
      </c>
      <c r="B152" s="39" t="s">
        <v>478</v>
      </c>
      <c r="C152" s="39" t="s">
        <v>59</v>
      </c>
      <c r="D152" s="1">
        <v>65.071</v>
      </c>
      <c r="E152" s="17">
        <f t="shared" si="3"/>
        <v>0</v>
      </c>
      <c r="F152" s="1">
        <f t="shared" si="4"/>
        <v>65.071</v>
      </c>
      <c r="G152" s="1">
        <v>65.071</v>
      </c>
      <c r="H152" s="1">
        <v>52.4214</v>
      </c>
      <c r="I152" s="119" t="s">
        <v>317</v>
      </c>
    </row>
    <row r="153" spans="1:9" s="27" customFormat="1" ht="18.75">
      <c r="A153" s="38" t="s">
        <v>476</v>
      </c>
      <c r="B153" s="39" t="s">
        <v>478</v>
      </c>
      <c r="C153" s="39" t="s">
        <v>60</v>
      </c>
      <c r="D153" s="1">
        <v>71.304</v>
      </c>
      <c r="E153" s="17">
        <f t="shared" si="3"/>
        <v>0</v>
      </c>
      <c r="F153" s="1">
        <f t="shared" si="4"/>
        <v>71.304</v>
      </c>
      <c r="G153" s="1">
        <v>71.304</v>
      </c>
      <c r="H153" s="1">
        <v>0</v>
      </c>
      <c r="I153" s="119" t="s">
        <v>233</v>
      </c>
    </row>
    <row r="154" spans="1:9" s="27" customFormat="1" ht="18.75">
      <c r="A154" s="38" t="s">
        <v>476</v>
      </c>
      <c r="B154" s="39" t="s">
        <v>478</v>
      </c>
      <c r="C154" s="39" t="s">
        <v>61</v>
      </c>
      <c r="D154" s="1">
        <v>92.568</v>
      </c>
      <c r="E154" s="17">
        <f t="shared" si="3"/>
        <v>0</v>
      </c>
      <c r="F154" s="1">
        <f t="shared" si="4"/>
        <v>92.568</v>
      </c>
      <c r="G154" s="1">
        <v>92.237</v>
      </c>
      <c r="H154" s="1">
        <v>82.54225</v>
      </c>
      <c r="I154" s="119" t="s">
        <v>317</v>
      </c>
    </row>
    <row r="155" spans="1:9" s="27" customFormat="1" ht="18.75">
      <c r="A155" s="38" t="s">
        <v>476</v>
      </c>
      <c r="B155" s="39" t="s">
        <v>478</v>
      </c>
      <c r="C155" s="39" t="s">
        <v>62</v>
      </c>
      <c r="D155" s="1">
        <v>88.703</v>
      </c>
      <c r="E155" s="17">
        <f t="shared" si="3"/>
        <v>0</v>
      </c>
      <c r="F155" s="1">
        <f t="shared" si="4"/>
        <v>88.703</v>
      </c>
      <c r="G155" s="1">
        <v>79.73</v>
      </c>
      <c r="H155" s="1">
        <v>77.16165</v>
      </c>
      <c r="I155" s="119" t="s">
        <v>317</v>
      </c>
    </row>
    <row r="156" spans="1:9" s="27" customFormat="1" ht="18.75">
      <c r="A156" s="38" t="s">
        <v>476</v>
      </c>
      <c r="B156" s="39" t="s">
        <v>478</v>
      </c>
      <c r="C156" s="39" t="s">
        <v>83</v>
      </c>
      <c r="D156" s="1">
        <v>61.612</v>
      </c>
      <c r="E156" s="17">
        <f>100-(F156/D156)*100</f>
        <v>0</v>
      </c>
      <c r="F156" s="1">
        <f>SUM(D156)</f>
        <v>61.612</v>
      </c>
      <c r="G156" s="1">
        <v>61.612</v>
      </c>
      <c r="H156" s="1">
        <v>48.04817</v>
      </c>
      <c r="I156" s="119" t="s">
        <v>317</v>
      </c>
    </row>
    <row r="157" spans="1:9" s="27" customFormat="1" ht="18.75">
      <c r="A157" s="38" t="s">
        <v>476</v>
      </c>
      <c r="B157" s="39" t="s">
        <v>478</v>
      </c>
      <c r="C157" s="39" t="s">
        <v>63</v>
      </c>
      <c r="D157" s="1">
        <v>50.195</v>
      </c>
      <c r="E157" s="17">
        <f t="shared" si="3"/>
        <v>0</v>
      </c>
      <c r="F157" s="1">
        <f t="shared" si="4"/>
        <v>50.195</v>
      </c>
      <c r="G157" s="1">
        <v>50.195</v>
      </c>
      <c r="H157" s="1">
        <v>46.17041</v>
      </c>
      <c r="I157" s="119" t="s">
        <v>317</v>
      </c>
    </row>
    <row r="158" spans="1:9" s="27" customFormat="1" ht="19.5" customHeight="1">
      <c r="A158" s="38" t="s">
        <v>476</v>
      </c>
      <c r="B158" s="39" t="s">
        <v>478</v>
      </c>
      <c r="C158" s="39" t="s">
        <v>290</v>
      </c>
      <c r="D158" s="1">
        <v>56.441</v>
      </c>
      <c r="E158" s="17">
        <f t="shared" si="3"/>
        <v>0</v>
      </c>
      <c r="F158" s="1">
        <f t="shared" si="4"/>
        <v>56.441</v>
      </c>
      <c r="G158" s="1">
        <v>54.497</v>
      </c>
      <c r="H158" s="1">
        <v>45.32361</v>
      </c>
      <c r="I158" s="119" t="s">
        <v>317</v>
      </c>
    </row>
    <row r="159" spans="1:9" s="27" customFormat="1" ht="18.75" customHeight="1">
      <c r="A159" s="38" t="s">
        <v>476</v>
      </c>
      <c r="B159" s="39" t="s">
        <v>478</v>
      </c>
      <c r="C159" s="39" t="s">
        <v>64</v>
      </c>
      <c r="D159" s="1">
        <v>64.969</v>
      </c>
      <c r="E159" s="17">
        <f t="shared" si="3"/>
        <v>0</v>
      </c>
      <c r="F159" s="1">
        <f t="shared" si="4"/>
        <v>64.969</v>
      </c>
      <c r="G159" s="1">
        <v>64.969</v>
      </c>
      <c r="H159" s="1">
        <v>1.26027</v>
      </c>
      <c r="I159" s="119" t="s">
        <v>388</v>
      </c>
    </row>
    <row r="160" spans="1:9" s="27" customFormat="1" ht="18.75">
      <c r="A160" s="38" t="s">
        <v>476</v>
      </c>
      <c r="B160" s="39" t="s">
        <v>478</v>
      </c>
      <c r="C160" s="39" t="s">
        <v>65</v>
      </c>
      <c r="D160" s="1">
        <v>79.571</v>
      </c>
      <c r="E160" s="17">
        <f t="shared" si="3"/>
        <v>0</v>
      </c>
      <c r="F160" s="1">
        <f t="shared" si="4"/>
        <v>79.571</v>
      </c>
      <c r="G160" s="1">
        <v>79.571</v>
      </c>
      <c r="H160" s="1">
        <v>74.78662</v>
      </c>
      <c r="I160" s="119" t="s">
        <v>317</v>
      </c>
    </row>
    <row r="161" spans="1:9" s="27" customFormat="1" ht="18.75">
      <c r="A161" s="38" t="s">
        <v>476</v>
      </c>
      <c r="B161" s="39" t="s">
        <v>478</v>
      </c>
      <c r="C161" s="39" t="s">
        <v>66</v>
      </c>
      <c r="D161" s="1">
        <v>39.365</v>
      </c>
      <c r="E161" s="17">
        <f t="shared" si="3"/>
        <v>0</v>
      </c>
      <c r="F161" s="1">
        <f t="shared" si="4"/>
        <v>39.365</v>
      </c>
      <c r="G161" s="1">
        <v>39.286</v>
      </c>
      <c r="H161" s="1">
        <v>37.39569</v>
      </c>
      <c r="I161" s="119" t="s">
        <v>317</v>
      </c>
    </row>
    <row r="162" spans="1:9" s="27" customFormat="1" ht="18.75">
      <c r="A162" s="38" t="s">
        <v>476</v>
      </c>
      <c r="B162" s="39" t="s">
        <v>478</v>
      </c>
      <c r="C162" s="39" t="s">
        <v>67</v>
      </c>
      <c r="D162" s="1">
        <v>54.952</v>
      </c>
      <c r="E162" s="17">
        <f t="shared" si="3"/>
        <v>0</v>
      </c>
      <c r="F162" s="1">
        <f t="shared" si="4"/>
        <v>54.952</v>
      </c>
      <c r="G162" s="1">
        <v>54.777</v>
      </c>
      <c r="H162" s="1">
        <v>52.6838</v>
      </c>
      <c r="I162" s="119" t="s">
        <v>317</v>
      </c>
    </row>
    <row r="163" spans="1:9" s="27" customFormat="1" ht="18.75">
      <c r="A163" s="38" t="s">
        <v>476</v>
      </c>
      <c r="B163" s="39" t="s">
        <v>478</v>
      </c>
      <c r="C163" s="39" t="s">
        <v>68</v>
      </c>
      <c r="D163" s="1">
        <v>62.953</v>
      </c>
      <c r="E163" s="17">
        <f t="shared" si="3"/>
        <v>0</v>
      </c>
      <c r="F163" s="1">
        <f t="shared" si="4"/>
        <v>62.953</v>
      </c>
      <c r="G163" s="1">
        <v>62.953</v>
      </c>
      <c r="H163" s="1">
        <v>0</v>
      </c>
      <c r="I163" s="119" t="s">
        <v>233</v>
      </c>
    </row>
    <row r="164" spans="1:9" s="27" customFormat="1" ht="18.75">
      <c r="A164" s="38" t="s">
        <v>476</v>
      </c>
      <c r="B164" s="39" t="s">
        <v>478</v>
      </c>
      <c r="C164" s="39" t="s">
        <v>69</v>
      </c>
      <c r="D164" s="1">
        <v>34.528</v>
      </c>
      <c r="E164" s="17">
        <f t="shared" si="3"/>
        <v>0</v>
      </c>
      <c r="F164" s="1">
        <f t="shared" si="4"/>
        <v>34.528</v>
      </c>
      <c r="G164" s="1">
        <v>34.51</v>
      </c>
      <c r="H164" s="1">
        <v>32.68298</v>
      </c>
      <c r="I164" s="119" t="s">
        <v>317</v>
      </c>
    </row>
    <row r="165" spans="1:9" s="27" customFormat="1" ht="18.75">
      <c r="A165" s="38" t="s">
        <v>476</v>
      </c>
      <c r="B165" s="39" t="s">
        <v>478</v>
      </c>
      <c r="C165" s="39" t="s">
        <v>157</v>
      </c>
      <c r="D165" s="1">
        <v>55.78</v>
      </c>
      <c r="E165" s="17">
        <f>100-(F165/D165)*100</f>
        <v>0</v>
      </c>
      <c r="F165" s="1">
        <f>SUM(D165)</f>
        <v>55.78</v>
      </c>
      <c r="G165" s="1">
        <v>55.329</v>
      </c>
      <c r="H165" s="1">
        <v>53.22497</v>
      </c>
      <c r="I165" s="119" t="s">
        <v>317</v>
      </c>
    </row>
    <row r="166" spans="1:9" s="27" customFormat="1" ht="18.75">
      <c r="A166" s="38" t="s">
        <v>476</v>
      </c>
      <c r="B166" s="39" t="s">
        <v>478</v>
      </c>
      <c r="C166" s="39" t="s">
        <v>70</v>
      </c>
      <c r="D166" s="1">
        <v>57.184</v>
      </c>
      <c r="E166" s="17">
        <f t="shared" si="3"/>
        <v>0</v>
      </c>
      <c r="F166" s="1">
        <f t="shared" si="4"/>
        <v>57.184</v>
      </c>
      <c r="G166" s="1">
        <v>57.184</v>
      </c>
      <c r="H166" s="1">
        <v>54.15478</v>
      </c>
      <c r="I166" s="119" t="s">
        <v>317</v>
      </c>
    </row>
    <row r="167" spans="1:9" s="27" customFormat="1" ht="18.75">
      <c r="A167" s="38" t="s">
        <v>476</v>
      </c>
      <c r="B167" s="39" t="s">
        <v>478</v>
      </c>
      <c r="C167" s="39" t="s">
        <v>337</v>
      </c>
      <c r="D167" s="1">
        <v>50.13</v>
      </c>
      <c r="E167" s="17">
        <f t="shared" si="3"/>
        <v>0</v>
      </c>
      <c r="F167" s="1">
        <f t="shared" si="4"/>
        <v>50.13</v>
      </c>
      <c r="G167" s="1">
        <v>49.872</v>
      </c>
      <c r="H167" s="1">
        <v>47.84183</v>
      </c>
      <c r="I167" s="119" t="s">
        <v>317</v>
      </c>
    </row>
    <row r="168" spans="1:9" s="27" customFormat="1" ht="18.75">
      <c r="A168" s="38" t="s">
        <v>476</v>
      </c>
      <c r="B168" s="39" t="s">
        <v>478</v>
      </c>
      <c r="C168" s="39" t="s">
        <v>71</v>
      </c>
      <c r="D168" s="1">
        <v>60.459</v>
      </c>
      <c r="E168" s="17">
        <f t="shared" si="3"/>
        <v>0</v>
      </c>
      <c r="F168" s="1">
        <f t="shared" si="4"/>
        <v>60.459</v>
      </c>
      <c r="G168" s="1">
        <v>60.459</v>
      </c>
      <c r="H168" s="1">
        <v>0</v>
      </c>
      <c r="I168" s="119" t="s">
        <v>233</v>
      </c>
    </row>
    <row r="169" spans="1:9" s="27" customFormat="1" ht="18.75" customHeight="1">
      <c r="A169" s="38" t="s">
        <v>476</v>
      </c>
      <c r="B169" s="39" t="s">
        <v>478</v>
      </c>
      <c r="C169" s="39" t="s">
        <v>165</v>
      </c>
      <c r="D169" s="1">
        <v>57.668</v>
      </c>
      <c r="E169" s="17">
        <f>100-(F169/D169)*100</f>
        <v>0</v>
      </c>
      <c r="F169" s="1">
        <f>SUM(D169)</f>
        <v>57.668</v>
      </c>
      <c r="G169" s="1">
        <v>57.668</v>
      </c>
      <c r="H169" s="1">
        <v>1.09995</v>
      </c>
      <c r="I169" s="119" t="s">
        <v>388</v>
      </c>
    </row>
    <row r="170" spans="1:9" s="27" customFormat="1" ht="18.75" customHeight="1">
      <c r="A170" s="38" t="s">
        <v>476</v>
      </c>
      <c r="B170" s="39" t="s">
        <v>478</v>
      </c>
      <c r="C170" s="39" t="s">
        <v>166</v>
      </c>
      <c r="D170" s="1">
        <v>57.486</v>
      </c>
      <c r="E170" s="17">
        <f>100-(F170/D170)*100</f>
        <v>0</v>
      </c>
      <c r="F170" s="1">
        <f>SUM(D170)</f>
        <v>57.486</v>
      </c>
      <c r="G170" s="1">
        <v>57.486</v>
      </c>
      <c r="H170" s="1">
        <v>1.08108</v>
      </c>
      <c r="I170" s="119" t="s">
        <v>388</v>
      </c>
    </row>
    <row r="171" spans="1:9" s="27" customFormat="1" ht="18.75" customHeight="1">
      <c r="A171" s="38" t="s">
        <v>476</v>
      </c>
      <c r="B171" s="39" t="s">
        <v>478</v>
      </c>
      <c r="C171" s="39" t="s">
        <v>72</v>
      </c>
      <c r="D171" s="1">
        <v>62.953</v>
      </c>
      <c r="E171" s="17">
        <f t="shared" si="3"/>
        <v>0</v>
      </c>
      <c r="F171" s="1">
        <f t="shared" si="4"/>
        <v>62.953</v>
      </c>
      <c r="G171" s="1">
        <v>7.073</v>
      </c>
      <c r="H171" s="1">
        <v>7.07245</v>
      </c>
      <c r="I171" s="119" t="s">
        <v>388</v>
      </c>
    </row>
    <row r="172" spans="1:9" s="27" customFormat="1" ht="18.75">
      <c r="A172" s="38" t="s">
        <v>476</v>
      </c>
      <c r="B172" s="39" t="s">
        <v>478</v>
      </c>
      <c r="C172" s="39" t="s">
        <v>73</v>
      </c>
      <c r="D172" s="1">
        <v>58.691</v>
      </c>
      <c r="E172" s="17">
        <f t="shared" si="3"/>
        <v>0</v>
      </c>
      <c r="F172" s="1">
        <f t="shared" si="4"/>
        <v>58.691</v>
      </c>
      <c r="G172" s="1">
        <v>57.33</v>
      </c>
      <c r="H172" s="1">
        <v>48.11629</v>
      </c>
      <c r="I172" s="119" t="s">
        <v>317</v>
      </c>
    </row>
    <row r="173" spans="1:9" s="27" customFormat="1" ht="18.75">
      <c r="A173" s="38" t="s">
        <v>476</v>
      </c>
      <c r="B173" s="39" t="s">
        <v>478</v>
      </c>
      <c r="C173" s="39" t="s">
        <v>74</v>
      </c>
      <c r="D173" s="1">
        <v>57.397</v>
      </c>
      <c r="E173" s="17">
        <f t="shared" si="3"/>
        <v>0</v>
      </c>
      <c r="F173" s="1">
        <f t="shared" si="4"/>
        <v>57.397</v>
      </c>
      <c r="G173" s="1">
        <v>57.397</v>
      </c>
      <c r="H173" s="1">
        <v>46.64718</v>
      </c>
      <c r="I173" s="119" t="s">
        <v>317</v>
      </c>
    </row>
    <row r="174" spans="1:9" s="27" customFormat="1" ht="18.75">
      <c r="A174" s="38" t="s">
        <v>476</v>
      </c>
      <c r="B174" s="39" t="s">
        <v>478</v>
      </c>
      <c r="C174" s="39" t="s">
        <v>167</v>
      </c>
      <c r="D174" s="1">
        <v>45.508</v>
      </c>
      <c r="E174" s="17">
        <f>100-(F174/D174)*100</f>
        <v>0</v>
      </c>
      <c r="F174" s="1">
        <f>SUM(D174)</f>
        <v>45.508</v>
      </c>
      <c r="G174" s="1">
        <v>45.508</v>
      </c>
      <c r="H174" s="1">
        <v>0</v>
      </c>
      <c r="I174" s="119" t="s">
        <v>233</v>
      </c>
    </row>
    <row r="175" spans="1:9" s="27" customFormat="1" ht="18.75">
      <c r="A175" s="38" t="s">
        <v>476</v>
      </c>
      <c r="B175" s="39" t="s">
        <v>478</v>
      </c>
      <c r="C175" s="39" t="s">
        <v>75</v>
      </c>
      <c r="D175" s="1">
        <v>84.08</v>
      </c>
      <c r="E175" s="17">
        <f t="shared" si="3"/>
        <v>0</v>
      </c>
      <c r="F175" s="1">
        <f t="shared" si="4"/>
        <v>84.08</v>
      </c>
      <c r="G175" s="1">
        <v>82.73</v>
      </c>
      <c r="H175" s="1">
        <v>73.18518</v>
      </c>
      <c r="I175" s="119" t="s">
        <v>317</v>
      </c>
    </row>
    <row r="176" spans="1:9" s="27" customFormat="1" ht="18.75">
      <c r="A176" s="38" t="s">
        <v>476</v>
      </c>
      <c r="B176" s="39" t="s">
        <v>478</v>
      </c>
      <c r="C176" s="39" t="s">
        <v>76</v>
      </c>
      <c r="D176" s="1">
        <v>64.172</v>
      </c>
      <c r="E176" s="17">
        <f t="shared" si="3"/>
        <v>0</v>
      </c>
      <c r="F176" s="1">
        <f t="shared" si="4"/>
        <v>64.172</v>
      </c>
      <c r="G176" s="1">
        <v>62.757</v>
      </c>
      <c r="H176" s="1">
        <v>53.47147</v>
      </c>
      <c r="I176" s="119" t="s">
        <v>317</v>
      </c>
    </row>
    <row r="177" spans="1:9" s="27" customFormat="1" ht="18.75">
      <c r="A177" s="38" t="s">
        <v>476</v>
      </c>
      <c r="B177" s="39" t="s">
        <v>478</v>
      </c>
      <c r="C177" s="39" t="s">
        <v>77</v>
      </c>
      <c r="D177" s="1">
        <v>58.55</v>
      </c>
      <c r="E177" s="17">
        <f t="shared" si="3"/>
        <v>0</v>
      </c>
      <c r="F177" s="1">
        <f t="shared" si="4"/>
        <v>58.55</v>
      </c>
      <c r="G177" s="1">
        <v>55.004</v>
      </c>
      <c r="H177" s="1">
        <v>45.79213</v>
      </c>
      <c r="I177" s="119" t="s">
        <v>317</v>
      </c>
    </row>
    <row r="178" spans="1:9" s="27" customFormat="1" ht="18.75" customHeight="1">
      <c r="A178" s="38" t="s">
        <v>476</v>
      </c>
      <c r="B178" s="39" t="s">
        <v>478</v>
      </c>
      <c r="C178" s="39" t="s">
        <v>161</v>
      </c>
      <c r="D178" s="1">
        <v>46.313</v>
      </c>
      <c r="E178" s="17">
        <f>100-(F178/D178)*100</f>
        <v>0</v>
      </c>
      <c r="F178" s="1">
        <f>SUM(D178)</f>
        <v>46.313</v>
      </c>
      <c r="G178" s="1">
        <v>46.313</v>
      </c>
      <c r="H178" s="1">
        <v>0.87165</v>
      </c>
      <c r="I178" s="119" t="s">
        <v>388</v>
      </c>
    </row>
    <row r="179" spans="1:9" s="27" customFormat="1" ht="18.75" customHeight="1">
      <c r="A179" s="38" t="s">
        <v>476</v>
      </c>
      <c r="B179" s="39" t="s">
        <v>478</v>
      </c>
      <c r="C179" s="39" t="s">
        <v>78</v>
      </c>
      <c r="D179" s="1">
        <v>38.092</v>
      </c>
      <c r="E179" s="17">
        <f t="shared" si="3"/>
        <v>0</v>
      </c>
      <c r="F179" s="1">
        <f t="shared" si="4"/>
        <v>38.092</v>
      </c>
      <c r="G179" s="1">
        <v>36.904</v>
      </c>
      <c r="H179" s="1">
        <v>27.95835</v>
      </c>
      <c r="I179" s="119" t="s">
        <v>388</v>
      </c>
    </row>
    <row r="180" spans="1:9" s="27" customFormat="1" ht="18.75">
      <c r="A180" s="38" t="s">
        <v>476</v>
      </c>
      <c r="B180" s="39" t="s">
        <v>478</v>
      </c>
      <c r="C180" s="39" t="s">
        <v>79</v>
      </c>
      <c r="D180" s="1">
        <v>80.096</v>
      </c>
      <c r="E180" s="17">
        <f t="shared" si="3"/>
        <v>0</v>
      </c>
      <c r="F180" s="1">
        <f t="shared" si="4"/>
        <v>80.096</v>
      </c>
      <c r="G180" s="1">
        <v>78.5</v>
      </c>
      <c r="H180" s="1">
        <v>69.00658</v>
      </c>
      <c r="I180" s="119" t="s">
        <v>317</v>
      </c>
    </row>
    <row r="181" spans="1:9" s="27" customFormat="1" ht="18.75">
      <c r="A181" s="38" t="s">
        <v>476</v>
      </c>
      <c r="B181" s="39" t="s">
        <v>478</v>
      </c>
      <c r="C181" s="39" t="s">
        <v>80</v>
      </c>
      <c r="D181" s="1">
        <v>84.977</v>
      </c>
      <c r="E181" s="17">
        <f t="shared" si="3"/>
        <v>0</v>
      </c>
      <c r="F181" s="1">
        <f t="shared" si="4"/>
        <v>84.977</v>
      </c>
      <c r="G181" s="1">
        <v>82.181</v>
      </c>
      <c r="H181" s="1">
        <v>72.62413</v>
      </c>
      <c r="I181" s="119" t="s">
        <v>317</v>
      </c>
    </row>
    <row r="182" spans="1:9" s="27" customFormat="1" ht="18.75">
      <c r="A182" s="38" t="s">
        <v>476</v>
      </c>
      <c r="B182" s="39" t="s">
        <v>478</v>
      </c>
      <c r="C182" s="39" t="s">
        <v>81</v>
      </c>
      <c r="D182" s="1">
        <v>56.282</v>
      </c>
      <c r="E182" s="17">
        <f t="shared" si="3"/>
        <v>0</v>
      </c>
      <c r="F182" s="1">
        <f t="shared" si="4"/>
        <v>56.282</v>
      </c>
      <c r="G182" s="1">
        <v>55.733</v>
      </c>
      <c r="H182" s="1">
        <v>46.55037</v>
      </c>
      <c r="I182" s="119" t="s">
        <v>317</v>
      </c>
    </row>
    <row r="183" spans="1:9" s="27" customFormat="1" ht="18.75">
      <c r="A183" s="38" t="s">
        <v>476</v>
      </c>
      <c r="B183" s="39" t="s">
        <v>478</v>
      </c>
      <c r="C183" s="39" t="s">
        <v>82</v>
      </c>
      <c r="D183" s="1">
        <v>87.445</v>
      </c>
      <c r="E183" s="17">
        <f t="shared" si="3"/>
        <v>0</v>
      </c>
      <c r="F183" s="1">
        <f t="shared" si="4"/>
        <v>87.445</v>
      </c>
      <c r="G183" s="1">
        <v>87.445</v>
      </c>
      <c r="H183" s="1">
        <v>0</v>
      </c>
      <c r="I183" s="119" t="s">
        <v>233</v>
      </c>
    </row>
    <row r="184" spans="1:9" s="27" customFormat="1" ht="18.75">
      <c r="A184" s="38" t="s">
        <v>476</v>
      </c>
      <c r="B184" s="39" t="s">
        <v>478</v>
      </c>
      <c r="C184" s="39" t="s">
        <v>434</v>
      </c>
      <c r="D184" s="1">
        <v>60.834</v>
      </c>
      <c r="E184" s="17">
        <f t="shared" si="3"/>
        <v>0</v>
      </c>
      <c r="F184" s="1">
        <f t="shared" si="4"/>
        <v>60.834</v>
      </c>
      <c r="G184" s="1">
        <v>59.636</v>
      </c>
      <c r="H184" s="1">
        <v>50.39401</v>
      </c>
      <c r="I184" s="119" t="s">
        <v>317</v>
      </c>
    </row>
    <row r="185" spans="1:9" s="27" customFormat="1" ht="18.75">
      <c r="A185" s="38" t="s">
        <v>476</v>
      </c>
      <c r="B185" s="39" t="s">
        <v>478</v>
      </c>
      <c r="C185" s="39" t="s">
        <v>91</v>
      </c>
      <c r="D185" s="1">
        <v>45.737</v>
      </c>
      <c r="E185" s="17">
        <f>100-(F185/D185)*100</f>
        <v>0</v>
      </c>
      <c r="F185" s="1">
        <f>SUM(D185)</f>
        <v>45.737</v>
      </c>
      <c r="G185" s="1">
        <v>45.737</v>
      </c>
      <c r="H185" s="1">
        <v>0</v>
      </c>
      <c r="I185" s="119" t="s">
        <v>233</v>
      </c>
    </row>
    <row r="186" spans="1:9" s="27" customFormat="1" ht="18.75">
      <c r="A186" s="38" t="s">
        <v>476</v>
      </c>
      <c r="B186" s="39" t="s">
        <v>478</v>
      </c>
      <c r="C186" s="39" t="s">
        <v>84</v>
      </c>
      <c r="D186" s="1">
        <v>60.713</v>
      </c>
      <c r="E186" s="17">
        <f t="shared" si="3"/>
        <v>0</v>
      </c>
      <c r="F186" s="1">
        <f t="shared" si="4"/>
        <v>60.713</v>
      </c>
      <c r="G186" s="1">
        <v>60.713</v>
      </c>
      <c r="H186" s="1">
        <v>0</v>
      </c>
      <c r="I186" s="119" t="s">
        <v>233</v>
      </c>
    </row>
    <row r="187" spans="1:9" s="27" customFormat="1" ht="18.75" customHeight="1">
      <c r="A187" s="38" t="s">
        <v>476</v>
      </c>
      <c r="B187" s="39" t="s">
        <v>478</v>
      </c>
      <c r="C187" s="39" t="s">
        <v>85</v>
      </c>
      <c r="D187" s="1">
        <v>44.924</v>
      </c>
      <c r="E187" s="17">
        <f t="shared" si="3"/>
        <v>0</v>
      </c>
      <c r="F187" s="1">
        <f t="shared" si="4"/>
        <v>44.924</v>
      </c>
      <c r="G187" s="1">
        <v>44.924</v>
      </c>
      <c r="H187" s="1">
        <v>32.54577</v>
      </c>
      <c r="I187" s="119" t="s">
        <v>388</v>
      </c>
    </row>
    <row r="188" spans="1:9" s="27" customFormat="1" ht="18.75" customHeight="1">
      <c r="A188" s="38" t="s">
        <v>476</v>
      </c>
      <c r="B188" s="39" t="s">
        <v>478</v>
      </c>
      <c r="C188" s="39" t="s">
        <v>88</v>
      </c>
      <c r="D188" s="1">
        <v>71.2</v>
      </c>
      <c r="E188" s="17">
        <f>100-(F188/D188)*100</f>
        <v>0</v>
      </c>
      <c r="F188" s="1">
        <f>SUM(D188)</f>
        <v>71.2</v>
      </c>
      <c r="G188" s="1">
        <v>71.2</v>
      </c>
      <c r="H188" s="1">
        <v>1.41678</v>
      </c>
      <c r="I188" s="119" t="s">
        <v>388</v>
      </c>
    </row>
    <row r="189" spans="1:9" s="27" customFormat="1" ht="18.75">
      <c r="A189" s="38" t="s">
        <v>476</v>
      </c>
      <c r="B189" s="39" t="s">
        <v>478</v>
      </c>
      <c r="C189" s="39" t="s">
        <v>86</v>
      </c>
      <c r="D189" s="1">
        <v>88.259</v>
      </c>
      <c r="E189" s="17">
        <f t="shared" si="3"/>
        <v>0</v>
      </c>
      <c r="F189" s="1">
        <f t="shared" si="4"/>
        <v>88.259</v>
      </c>
      <c r="G189" s="1">
        <v>82.649</v>
      </c>
      <c r="H189" s="1">
        <v>73.05607</v>
      </c>
      <c r="I189" s="119" t="s">
        <v>317</v>
      </c>
    </row>
    <row r="190" spans="1:9" s="27" customFormat="1" ht="18.75">
      <c r="A190" s="38" t="s">
        <v>476</v>
      </c>
      <c r="B190" s="39" t="s">
        <v>478</v>
      </c>
      <c r="C190" s="39" t="s">
        <v>87</v>
      </c>
      <c r="D190" s="1">
        <v>88.746</v>
      </c>
      <c r="E190" s="17">
        <f t="shared" si="3"/>
        <v>0</v>
      </c>
      <c r="F190" s="1">
        <f t="shared" si="4"/>
        <v>88.746</v>
      </c>
      <c r="G190" s="1">
        <v>84.345</v>
      </c>
      <c r="H190" s="1">
        <v>74.74569</v>
      </c>
      <c r="I190" s="119" t="s">
        <v>317</v>
      </c>
    </row>
    <row r="191" spans="1:9" s="27" customFormat="1" ht="18.75">
      <c r="A191" s="38" t="s">
        <v>476</v>
      </c>
      <c r="B191" s="39" t="s">
        <v>478</v>
      </c>
      <c r="C191" s="39" t="s">
        <v>89</v>
      </c>
      <c r="D191" s="1">
        <v>89.966</v>
      </c>
      <c r="E191" s="17">
        <f t="shared" si="3"/>
        <v>0</v>
      </c>
      <c r="F191" s="1">
        <f t="shared" si="4"/>
        <v>89.966</v>
      </c>
      <c r="G191" s="1">
        <v>89.966</v>
      </c>
      <c r="H191" s="1">
        <v>0</v>
      </c>
      <c r="I191" s="119" t="s">
        <v>233</v>
      </c>
    </row>
    <row r="192" spans="1:9" s="27" customFormat="1" ht="18.75">
      <c r="A192" s="38" t="s">
        <v>476</v>
      </c>
      <c r="B192" s="39" t="s">
        <v>478</v>
      </c>
      <c r="C192" s="39" t="s">
        <v>90</v>
      </c>
      <c r="D192" s="1">
        <v>71.436</v>
      </c>
      <c r="E192" s="17">
        <f t="shared" si="3"/>
        <v>0</v>
      </c>
      <c r="F192" s="1">
        <f t="shared" si="4"/>
        <v>71.436</v>
      </c>
      <c r="G192" s="1">
        <v>71.436</v>
      </c>
      <c r="H192" s="1">
        <v>58.09764</v>
      </c>
      <c r="I192" s="119" t="s">
        <v>317</v>
      </c>
    </row>
    <row r="193" spans="1:9" s="27" customFormat="1" ht="18.75" customHeight="1">
      <c r="A193" s="38" t="s">
        <v>476</v>
      </c>
      <c r="B193" s="39" t="s">
        <v>478</v>
      </c>
      <c r="C193" s="39" t="s">
        <v>92</v>
      </c>
      <c r="D193" s="1">
        <v>39.254</v>
      </c>
      <c r="E193" s="17">
        <f t="shared" si="3"/>
        <v>0</v>
      </c>
      <c r="F193" s="1">
        <f t="shared" si="4"/>
        <v>39.254</v>
      </c>
      <c r="G193" s="1">
        <v>38.528</v>
      </c>
      <c r="H193" s="1">
        <v>29.56676</v>
      </c>
      <c r="I193" s="119" t="s">
        <v>388</v>
      </c>
    </row>
    <row r="194" spans="1:9" s="27" customFormat="1" ht="18.75">
      <c r="A194" s="38" t="s">
        <v>476</v>
      </c>
      <c r="B194" s="39" t="s">
        <v>478</v>
      </c>
      <c r="C194" s="39" t="s">
        <v>93</v>
      </c>
      <c r="D194" s="1">
        <v>45.906</v>
      </c>
      <c r="E194" s="17">
        <f t="shared" si="3"/>
        <v>0</v>
      </c>
      <c r="F194" s="1">
        <f t="shared" si="4"/>
        <v>45.906</v>
      </c>
      <c r="G194" s="1">
        <v>43.598</v>
      </c>
      <c r="H194" s="1">
        <v>29.39454</v>
      </c>
      <c r="I194" s="119" t="s">
        <v>317</v>
      </c>
    </row>
    <row r="195" spans="1:9" s="27" customFormat="1" ht="18.75">
      <c r="A195" s="38" t="s">
        <v>476</v>
      </c>
      <c r="B195" s="39" t="s">
        <v>478</v>
      </c>
      <c r="C195" s="39" t="s">
        <v>94</v>
      </c>
      <c r="D195" s="1">
        <v>76.47</v>
      </c>
      <c r="E195" s="17">
        <f t="shared" si="3"/>
        <v>0</v>
      </c>
      <c r="F195" s="1">
        <f t="shared" si="4"/>
        <v>76.47</v>
      </c>
      <c r="G195" s="1">
        <v>76.47</v>
      </c>
      <c r="H195" s="1">
        <v>19.6279</v>
      </c>
      <c r="I195" s="119" t="s">
        <v>317</v>
      </c>
    </row>
    <row r="196" spans="1:9" s="27" customFormat="1" ht="18.75">
      <c r="A196" s="38" t="s">
        <v>476</v>
      </c>
      <c r="B196" s="39" t="s">
        <v>478</v>
      </c>
      <c r="C196" s="39" t="s">
        <v>95</v>
      </c>
      <c r="D196" s="1">
        <v>83.593</v>
      </c>
      <c r="E196" s="17">
        <f t="shared" si="3"/>
        <v>0</v>
      </c>
      <c r="F196" s="1">
        <f t="shared" si="4"/>
        <v>83.593</v>
      </c>
      <c r="G196" s="1">
        <v>80.721</v>
      </c>
      <c r="H196" s="1">
        <v>71.18201</v>
      </c>
      <c r="I196" s="119" t="s">
        <v>317</v>
      </c>
    </row>
    <row r="197" spans="1:9" s="27" customFormat="1" ht="18.75">
      <c r="A197" s="38" t="s">
        <v>476</v>
      </c>
      <c r="B197" s="39" t="s">
        <v>478</v>
      </c>
      <c r="C197" s="39" t="s">
        <v>96</v>
      </c>
      <c r="D197" s="1">
        <v>99.223</v>
      </c>
      <c r="E197" s="17">
        <f t="shared" si="3"/>
        <v>0</v>
      </c>
      <c r="F197" s="1">
        <f t="shared" si="4"/>
        <v>99.223</v>
      </c>
      <c r="G197" s="1">
        <v>99.223</v>
      </c>
      <c r="H197" s="1">
        <v>0</v>
      </c>
      <c r="I197" s="119" t="s">
        <v>233</v>
      </c>
    </row>
    <row r="198" spans="1:9" s="27" customFormat="1" ht="18.75">
      <c r="A198" s="38" t="s">
        <v>476</v>
      </c>
      <c r="B198" s="39" t="s">
        <v>478</v>
      </c>
      <c r="C198" s="39" t="s">
        <v>97</v>
      </c>
      <c r="D198" s="1">
        <v>78.787</v>
      </c>
      <c r="E198" s="17">
        <f t="shared" si="3"/>
        <v>0</v>
      </c>
      <c r="F198" s="1">
        <f t="shared" si="4"/>
        <v>78.787</v>
      </c>
      <c r="G198" s="1">
        <v>75.72</v>
      </c>
      <c r="H198" s="1">
        <v>66.245</v>
      </c>
      <c r="I198" s="119" t="s">
        <v>317</v>
      </c>
    </row>
    <row r="199" spans="1:9" s="27" customFormat="1" ht="18.75">
      <c r="A199" s="38" t="s">
        <v>476</v>
      </c>
      <c r="B199" s="39" t="s">
        <v>478</v>
      </c>
      <c r="C199" s="39" t="s">
        <v>151</v>
      </c>
      <c r="D199" s="1">
        <v>90.008</v>
      </c>
      <c r="E199" s="17">
        <f aca="true" t="shared" si="5" ref="E199:E218">100-(F199/D199)*100</f>
        <v>0</v>
      </c>
      <c r="F199" s="1">
        <f aca="true" t="shared" si="6" ref="F199:F218">SUM(D199)</f>
        <v>90.008</v>
      </c>
      <c r="G199" s="1">
        <v>90.008</v>
      </c>
      <c r="H199" s="1">
        <v>61.74992</v>
      </c>
      <c r="I199" s="119" t="s">
        <v>317</v>
      </c>
    </row>
    <row r="200" spans="1:9" s="27" customFormat="1" ht="18.75">
      <c r="A200" s="38" t="s">
        <v>476</v>
      </c>
      <c r="B200" s="39" t="s">
        <v>478</v>
      </c>
      <c r="C200" s="39" t="s">
        <v>170</v>
      </c>
      <c r="D200" s="1">
        <v>45.839</v>
      </c>
      <c r="E200" s="17">
        <f>100-(F200/D200)*100</f>
        <v>0</v>
      </c>
      <c r="F200" s="1">
        <f>SUM(D200)</f>
        <v>45.839</v>
      </c>
      <c r="G200" s="1">
        <v>45.811</v>
      </c>
      <c r="H200" s="1">
        <v>43.83705</v>
      </c>
      <c r="I200" s="119" t="s">
        <v>317</v>
      </c>
    </row>
    <row r="201" spans="1:9" s="27" customFormat="1" ht="18.75">
      <c r="A201" s="38" t="s">
        <v>476</v>
      </c>
      <c r="B201" s="39" t="s">
        <v>478</v>
      </c>
      <c r="C201" s="39" t="s">
        <v>152</v>
      </c>
      <c r="D201" s="1">
        <v>70.895</v>
      </c>
      <c r="E201" s="17">
        <f t="shared" si="5"/>
        <v>0</v>
      </c>
      <c r="F201" s="1">
        <f t="shared" si="6"/>
        <v>70.895</v>
      </c>
      <c r="G201" s="1">
        <v>70.817</v>
      </c>
      <c r="H201" s="1">
        <v>68.51649</v>
      </c>
      <c r="I201" s="119" t="s">
        <v>317</v>
      </c>
    </row>
    <row r="202" spans="1:9" s="27" customFormat="1" ht="18.75">
      <c r="A202" s="38" t="s">
        <v>476</v>
      </c>
      <c r="B202" s="39" t="s">
        <v>478</v>
      </c>
      <c r="C202" s="39" t="s">
        <v>154</v>
      </c>
      <c r="D202" s="1">
        <v>61.058</v>
      </c>
      <c r="E202" s="17">
        <f t="shared" si="5"/>
        <v>0</v>
      </c>
      <c r="F202" s="1">
        <f t="shared" si="6"/>
        <v>61.058</v>
      </c>
      <c r="G202" s="1">
        <v>61.058</v>
      </c>
      <c r="H202" s="1">
        <v>0</v>
      </c>
      <c r="I202" s="119" t="s">
        <v>233</v>
      </c>
    </row>
    <row r="203" spans="1:9" s="27" customFormat="1" ht="18.75">
      <c r="A203" s="38" t="s">
        <v>476</v>
      </c>
      <c r="B203" s="39" t="s">
        <v>478</v>
      </c>
      <c r="C203" s="39" t="s">
        <v>155</v>
      </c>
      <c r="D203" s="1">
        <v>71.304</v>
      </c>
      <c r="E203" s="17">
        <f t="shared" si="5"/>
        <v>0</v>
      </c>
      <c r="F203" s="1">
        <f t="shared" si="6"/>
        <v>71.304</v>
      </c>
      <c r="G203" s="1">
        <v>71.304</v>
      </c>
      <c r="H203" s="1">
        <v>0</v>
      </c>
      <c r="I203" s="119" t="s">
        <v>233</v>
      </c>
    </row>
    <row r="204" spans="1:9" s="27" customFormat="1" ht="18.75">
      <c r="A204" s="38" t="s">
        <v>476</v>
      </c>
      <c r="B204" s="39" t="s">
        <v>478</v>
      </c>
      <c r="C204" s="39" t="s">
        <v>158</v>
      </c>
      <c r="D204" s="1">
        <v>55.194</v>
      </c>
      <c r="E204" s="17">
        <f t="shared" si="5"/>
        <v>0</v>
      </c>
      <c r="F204" s="1">
        <f t="shared" si="6"/>
        <v>55.194</v>
      </c>
      <c r="G204" s="1">
        <v>54.182</v>
      </c>
      <c r="H204" s="1">
        <v>52.08584</v>
      </c>
      <c r="I204" s="119" t="s">
        <v>317</v>
      </c>
    </row>
    <row r="205" spans="1:9" s="27" customFormat="1" ht="18.75">
      <c r="A205" s="38" t="s">
        <v>476</v>
      </c>
      <c r="B205" s="39" t="s">
        <v>478</v>
      </c>
      <c r="C205" s="39" t="s">
        <v>159</v>
      </c>
      <c r="D205" s="1">
        <v>65.863</v>
      </c>
      <c r="E205" s="17">
        <f t="shared" si="5"/>
        <v>0</v>
      </c>
      <c r="F205" s="1">
        <f t="shared" si="6"/>
        <v>65.863</v>
      </c>
      <c r="G205" s="1">
        <v>65.863</v>
      </c>
      <c r="H205" s="1">
        <v>0</v>
      </c>
      <c r="I205" s="119" t="s">
        <v>233</v>
      </c>
    </row>
    <row r="206" spans="1:9" s="27" customFormat="1" ht="18.75" customHeight="1">
      <c r="A206" s="38" t="s">
        <v>476</v>
      </c>
      <c r="B206" s="39" t="s">
        <v>478</v>
      </c>
      <c r="C206" s="39" t="s">
        <v>307</v>
      </c>
      <c r="D206" s="1">
        <v>72.646</v>
      </c>
      <c r="E206" s="17">
        <f t="shared" si="5"/>
        <v>0</v>
      </c>
      <c r="F206" s="1">
        <f t="shared" si="6"/>
        <v>72.646</v>
      </c>
      <c r="G206" s="1">
        <v>72.646</v>
      </c>
      <c r="H206" s="1">
        <v>1.35666</v>
      </c>
      <c r="I206" s="119" t="s">
        <v>388</v>
      </c>
    </row>
    <row r="207" spans="1:9" s="27" customFormat="1" ht="18.75">
      <c r="A207" s="38" t="s">
        <v>476</v>
      </c>
      <c r="B207" s="39" t="s">
        <v>478</v>
      </c>
      <c r="C207" s="39" t="s">
        <v>431</v>
      </c>
      <c r="D207" s="1">
        <v>72.953</v>
      </c>
      <c r="E207" s="17">
        <f t="shared" si="5"/>
        <v>0</v>
      </c>
      <c r="F207" s="1">
        <f t="shared" si="6"/>
        <v>72.953</v>
      </c>
      <c r="G207" s="1">
        <v>72.953</v>
      </c>
      <c r="H207" s="1">
        <v>0</v>
      </c>
      <c r="I207" s="119" t="s">
        <v>233</v>
      </c>
    </row>
    <row r="208" spans="1:9" s="27" customFormat="1" ht="18.75">
      <c r="A208" s="38" t="s">
        <v>476</v>
      </c>
      <c r="B208" s="39" t="s">
        <v>478</v>
      </c>
      <c r="C208" s="39" t="s">
        <v>160</v>
      </c>
      <c r="D208" s="1">
        <v>40.468</v>
      </c>
      <c r="E208" s="17">
        <f t="shared" si="5"/>
        <v>0</v>
      </c>
      <c r="F208" s="1">
        <f t="shared" si="6"/>
        <v>40.468</v>
      </c>
      <c r="G208" s="1">
        <v>40.047</v>
      </c>
      <c r="H208" s="1">
        <v>31.08541</v>
      </c>
      <c r="I208" s="119" t="s">
        <v>317</v>
      </c>
    </row>
    <row r="209" spans="1:9" s="27" customFormat="1" ht="18.75">
      <c r="A209" s="38" t="s">
        <v>476</v>
      </c>
      <c r="B209" s="39" t="s">
        <v>478</v>
      </c>
      <c r="C209" s="39" t="s">
        <v>162</v>
      </c>
      <c r="D209" s="1">
        <v>57.373</v>
      </c>
      <c r="E209" s="17">
        <f t="shared" si="5"/>
        <v>0</v>
      </c>
      <c r="F209" s="1">
        <f t="shared" si="6"/>
        <v>57.373</v>
      </c>
      <c r="G209" s="1">
        <v>54.18</v>
      </c>
      <c r="H209" s="1">
        <v>44.99465</v>
      </c>
      <c r="I209" s="119" t="s">
        <v>317</v>
      </c>
    </row>
    <row r="210" spans="1:9" s="27" customFormat="1" ht="18.75">
      <c r="A210" s="38" t="s">
        <v>476</v>
      </c>
      <c r="B210" s="39" t="s">
        <v>478</v>
      </c>
      <c r="C210" s="39" t="s">
        <v>164</v>
      </c>
      <c r="D210" s="1">
        <v>63.158</v>
      </c>
      <c r="E210" s="17">
        <f t="shared" si="5"/>
        <v>0</v>
      </c>
      <c r="F210" s="1">
        <f t="shared" si="6"/>
        <v>63.158</v>
      </c>
      <c r="G210" s="1">
        <v>62.507</v>
      </c>
      <c r="H210" s="1">
        <v>53.23472</v>
      </c>
      <c r="I210" s="119" t="s">
        <v>317</v>
      </c>
    </row>
    <row r="211" spans="1:9" s="27" customFormat="1" ht="18.75">
      <c r="A211" s="38" t="s">
        <v>476</v>
      </c>
      <c r="B211" s="39" t="s">
        <v>478</v>
      </c>
      <c r="C211" s="39" t="s">
        <v>168</v>
      </c>
      <c r="D211" s="1">
        <v>50.97</v>
      </c>
      <c r="E211" s="17">
        <f t="shared" si="5"/>
        <v>0</v>
      </c>
      <c r="F211" s="1">
        <f t="shared" si="6"/>
        <v>50.97</v>
      </c>
      <c r="G211" s="1">
        <v>50.97</v>
      </c>
      <c r="H211" s="1">
        <v>47.09128</v>
      </c>
      <c r="I211" s="119" t="s">
        <v>317</v>
      </c>
    </row>
    <row r="212" spans="1:9" s="27" customFormat="1" ht="18.75">
      <c r="A212" s="38" t="s">
        <v>476</v>
      </c>
      <c r="B212" s="39" t="s">
        <v>478</v>
      </c>
      <c r="C212" s="39" t="s">
        <v>169</v>
      </c>
      <c r="D212" s="1">
        <v>56.728</v>
      </c>
      <c r="E212" s="17">
        <f t="shared" si="5"/>
        <v>0</v>
      </c>
      <c r="F212" s="1">
        <f t="shared" si="6"/>
        <v>56.728</v>
      </c>
      <c r="G212" s="1">
        <v>54.197</v>
      </c>
      <c r="H212" s="1">
        <v>45.02038</v>
      </c>
      <c r="I212" s="119" t="s">
        <v>317</v>
      </c>
    </row>
    <row r="213" spans="1:9" s="27" customFormat="1" ht="18.75">
      <c r="A213" s="38" t="s">
        <v>476</v>
      </c>
      <c r="B213" s="39" t="s">
        <v>478</v>
      </c>
      <c r="C213" s="39" t="s">
        <v>171</v>
      </c>
      <c r="D213" s="1">
        <v>71.123</v>
      </c>
      <c r="E213" s="17">
        <f t="shared" si="5"/>
        <v>0</v>
      </c>
      <c r="F213" s="1">
        <f t="shared" si="6"/>
        <v>71.123</v>
      </c>
      <c r="G213" s="1">
        <v>63.565</v>
      </c>
      <c r="H213" s="1">
        <v>54.17527</v>
      </c>
      <c r="I213" s="119" t="s">
        <v>317</v>
      </c>
    </row>
    <row r="214" spans="1:9" s="27" customFormat="1" ht="18.75">
      <c r="A214" s="38" t="s">
        <v>476</v>
      </c>
      <c r="B214" s="39" t="s">
        <v>478</v>
      </c>
      <c r="C214" s="39" t="s">
        <v>172</v>
      </c>
      <c r="D214" s="1">
        <v>71.123</v>
      </c>
      <c r="E214" s="17">
        <f t="shared" si="5"/>
        <v>0</v>
      </c>
      <c r="F214" s="1">
        <f t="shared" si="6"/>
        <v>71.123</v>
      </c>
      <c r="G214" s="1">
        <v>71.123</v>
      </c>
      <c r="H214" s="1">
        <v>1.39878</v>
      </c>
      <c r="I214" s="119" t="s">
        <v>317</v>
      </c>
    </row>
    <row r="215" spans="1:9" s="27" customFormat="1" ht="18.75">
      <c r="A215" s="38" t="s">
        <v>476</v>
      </c>
      <c r="B215" s="39" t="s">
        <v>478</v>
      </c>
      <c r="C215" s="39" t="s">
        <v>433</v>
      </c>
      <c r="D215" s="1">
        <v>51.852</v>
      </c>
      <c r="E215" s="17">
        <f t="shared" si="5"/>
        <v>0</v>
      </c>
      <c r="F215" s="1">
        <f t="shared" si="6"/>
        <v>51.852</v>
      </c>
      <c r="G215" s="1">
        <v>51.852</v>
      </c>
      <c r="H215" s="1">
        <v>0.966</v>
      </c>
      <c r="I215" s="119" t="s">
        <v>317</v>
      </c>
    </row>
    <row r="216" spans="1:9" s="27" customFormat="1" ht="18.75">
      <c r="A216" s="38" t="s">
        <v>476</v>
      </c>
      <c r="B216" s="39" t="s">
        <v>478</v>
      </c>
      <c r="C216" s="37" t="s">
        <v>447</v>
      </c>
      <c r="D216" s="1">
        <v>55.104</v>
      </c>
      <c r="E216" s="17">
        <f t="shared" si="5"/>
        <v>0</v>
      </c>
      <c r="F216" s="1">
        <f t="shared" si="6"/>
        <v>55.104</v>
      </c>
      <c r="G216" s="1">
        <v>54.974</v>
      </c>
      <c r="H216" s="1">
        <v>0</v>
      </c>
      <c r="I216" s="119" t="s">
        <v>233</v>
      </c>
    </row>
    <row r="217" spans="1:9" s="27" customFormat="1" ht="18.75">
      <c r="A217" s="38" t="s">
        <v>476</v>
      </c>
      <c r="B217" s="39" t="s">
        <v>478</v>
      </c>
      <c r="C217" s="37" t="s">
        <v>448</v>
      </c>
      <c r="D217" s="1">
        <v>32.312</v>
      </c>
      <c r="E217" s="17">
        <f t="shared" si="5"/>
        <v>0</v>
      </c>
      <c r="F217" s="1">
        <f t="shared" si="6"/>
        <v>32.312</v>
      </c>
      <c r="G217" s="1">
        <v>32.312</v>
      </c>
      <c r="H217" s="1">
        <v>0</v>
      </c>
      <c r="I217" s="119" t="s">
        <v>233</v>
      </c>
    </row>
    <row r="218" spans="1:9" s="27" customFormat="1" ht="18.75">
      <c r="A218" s="38" t="s">
        <v>476</v>
      </c>
      <c r="B218" s="39" t="s">
        <v>478</v>
      </c>
      <c r="C218" s="37" t="s">
        <v>449</v>
      </c>
      <c r="D218" s="1">
        <v>32.312</v>
      </c>
      <c r="E218" s="17">
        <f t="shared" si="5"/>
        <v>0</v>
      </c>
      <c r="F218" s="1">
        <f t="shared" si="6"/>
        <v>32.312</v>
      </c>
      <c r="G218" s="1">
        <v>32.312</v>
      </c>
      <c r="H218" s="1">
        <v>0</v>
      </c>
      <c r="I218" s="119" t="s">
        <v>233</v>
      </c>
    </row>
    <row r="219" spans="1:9" ht="30" customHeight="1">
      <c r="A219" s="203" t="s">
        <v>476</v>
      </c>
      <c r="B219" s="199" t="s">
        <v>478</v>
      </c>
      <c r="C219" s="39" t="s">
        <v>561</v>
      </c>
      <c r="D219" s="1">
        <f>SUM(D221:D256)</f>
        <v>1579.948</v>
      </c>
      <c r="E219" s="17">
        <f>100-(F219/D219)*100</f>
        <v>0</v>
      </c>
      <c r="F219" s="1">
        <f>SUM(F221:F256)</f>
        <v>1579.948</v>
      </c>
      <c r="G219" s="1">
        <f>SUM(G221:G256)</f>
        <v>1579.948</v>
      </c>
      <c r="H219" s="1">
        <v>373.07692</v>
      </c>
      <c r="I219" s="119"/>
    </row>
    <row r="220" spans="1:9" s="27" customFormat="1" ht="21" customHeight="1">
      <c r="A220" s="203"/>
      <c r="B220" s="199"/>
      <c r="C220" s="39" t="s">
        <v>57</v>
      </c>
      <c r="D220" s="25"/>
      <c r="E220" s="26"/>
      <c r="F220" s="25"/>
      <c r="G220" s="25"/>
      <c r="H220" s="25"/>
      <c r="I220" s="119"/>
    </row>
    <row r="221" spans="1:9" s="27" customFormat="1" ht="18.75">
      <c r="A221" s="38" t="s">
        <v>476</v>
      </c>
      <c r="B221" s="39" t="s">
        <v>478</v>
      </c>
      <c r="C221" s="39" t="s">
        <v>98</v>
      </c>
      <c r="D221" s="1">
        <v>42.5</v>
      </c>
      <c r="E221" s="17">
        <f aca="true" t="shared" si="7" ref="E221:E239">100-(F221/D221)*100</f>
        <v>0</v>
      </c>
      <c r="F221" s="1">
        <f>SUM(D221)</f>
        <v>42.5</v>
      </c>
      <c r="G221" s="1">
        <v>42.5</v>
      </c>
      <c r="H221" s="1">
        <v>0</v>
      </c>
      <c r="I221" s="119" t="s">
        <v>233</v>
      </c>
    </row>
    <row r="222" spans="1:9" s="27" customFormat="1" ht="18.75">
      <c r="A222" s="38" t="s">
        <v>476</v>
      </c>
      <c r="B222" s="39" t="s">
        <v>478</v>
      </c>
      <c r="C222" s="39" t="s">
        <v>99</v>
      </c>
      <c r="D222" s="1">
        <v>42.5</v>
      </c>
      <c r="E222" s="17">
        <f t="shared" si="7"/>
        <v>0</v>
      </c>
      <c r="F222" s="1">
        <f aca="true" t="shared" si="8" ref="F222:F239">SUM(D222)</f>
        <v>42.5</v>
      </c>
      <c r="G222" s="1">
        <v>42.5</v>
      </c>
      <c r="H222" s="1">
        <v>0</v>
      </c>
      <c r="I222" s="119" t="s">
        <v>233</v>
      </c>
    </row>
    <row r="223" spans="1:9" s="27" customFormat="1" ht="18.75">
      <c r="A223" s="38" t="s">
        <v>476</v>
      </c>
      <c r="B223" s="39" t="s">
        <v>478</v>
      </c>
      <c r="C223" s="39" t="s">
        <v>100</v>
      </c>
      <c r="D223" s="1">
        <v>42.5</v>
      </c>
      <c r="E223" s="17">
        <f t="shared" si="7"/>
        <v>0</v>
      </c>
      <c r="F223" s="1">
        <f t="shared" si="8"/>
        <v>42.5</v>
      </c>
      <c r="G223" s="1">
        <v>42.5</v>
      </c>
      <c r="H223" s="1">
        <v>0</v>
      </c>
      <c r="I223" s="119" t="s">
        <v>233</v>
      </c>
    </row>
    <row r="224" spans="1:9" s="27" customFormat="1" ht="18.75">
      <c r="A224" s="38" t="s">
        <v>476</v>
      </c>
      <c r="B224" s="39" t="s">
        <v>478</v>
      </c>
      <c r="C224" s="39" t="s">
        <v>101</v>
      </c>
      <c r="D224" s="1">
        <v>42.5</v>
      </c>
      <c r="E224" s="17">
        <f t="shared" si="7"/>
        <v>0</v>
      </c>
      <c r="F224" s="1">
        <f t="shared" si="8"/>
        <v>42.5</v>
      </c>
      <c r="G224" s="1">
        <v>42.5</v>
      </c>
      <c r="H224" s="1">
        <v>0</v>
      </c>
      <c r="I224" s="119" t="s">
        <v>233</v>
      </c>
    </row>
    <row r="225" spans="1:9" s="27" customFormat="1" ht="18.75">
      <c r="A225" s="38" t="s">
        <v>476</v>
      </c>
      <c r="B225" s="39" t="s">
        <v>478</v>
      </c>
      <c r="C225" s="39" t="s">
        <v>102</v>
      </c>
      <c r="D225" s="1">
        <v>42.5</v>
      </c>
      <c r="E225" s="17">
        <f t="shared" si="7"/>
        <v>0</v>
      </c>
      <c r="F225" s="1">
        <f t="shared" si="8"/>
        <v>42.5</v>
      </c>
      <c r="G225" s="1">
        <v>42.5</v>
      </c>
      <c r="H225" s="1">
        <v>0</v>
      </c>
      <c r="I225" s="119" t="s">
        <v>233</v>
      </c>
    </row>
    <row r="226" spans="1:9" s="27" customFormat="1" ht="18.75">
      <c r="A226" s="38" t="s">
        <v>476</v>
      </c>
      <c r="B226" s="39" t="s">
        <v>478</v>
      </c>
      <c r="C226" s="39" t="s">
        <v>103</v>
      </c>
      <c r="D226" s="1">
        <v>42.5</v>
      </c>
      <c r="E226" s="17">
        <f t="shared" si="7"/>
        <v>0</v>
      </c>
      <c r="F226" s="1">
        <f t="shared" si="8"/>
        <v>42.5</v>
      </c>
      <c r="G226" s="1">
        <v>42.5</v>
      </c>
      <c r="H226" s="82">
        <v>0</v>
      </c>
      <c r="I226" s="119" t="s">
        <v>233</v>
      </c>
    </row>
    <row r="227" spans="1:9" s="27" customFormat="1" ht="18.75">
      <c r="A227" s="38" t="s">
        <v>476</v>
      </c>
      <c r="B227" s="39" t="s">
        <v>478</v>
      </c>
      <c r="C227" s="39" t="s">
        <v>104</v>
      </c>
      <c r="D227" s="1">
        <v>42.5</v>
      </c>
      <c r="E227" s="17">
        <f t="shared" si="7"/>
        <v>0</v>
      </c>
      <c r="F227" s="1">
        <f t="shared" si="8"/>
        <v>42.5</v>
      </c>
      <c r="G227" s="1">
        <v>42.5</v>
      </c>
      <c r="H227" s="1">
        <v>0</v>
      </c>
      <c r="I227" s="119" t="s">
        <v>233</v>
      </c>
    </row>
    <row r="228" spans="1:9" s="27" customFormat="1" ht="18.75">
      <c r="A228" s="38" t="s">
        <v>476</v>
      </c>
      <c r="B228" s="39" t="s">
        <v>478</v>
      </c>
      <c r="C228" s="39" t="s">
        <v>105</v>
      </c>
      <c r="D228" s="1">
        <v>42.5</v>
      </c>
      <c r="E228" s="17">
        <f t="shared" si="7"/>
        <v>0</v>
      </c>
      <c r="F228" s="1">
        <f t="shared" si="8"/>
        <v>42.5</v>
      </c>
      <c r="G228" s="1">
        <v>42.5</v>
      </c>
      <c r="H228" s="1">
        <v>0</v>
      </c>
      <c r="I228" s="119" t="s">
        <v>233</v>
      </c>
    </row>
    <row r="229" spans="1:9" s="27" customFormat="1" ht="18.75">
      <c r="A229" s="38" t="s">
        <v>476</v>
      </c>
      <c r="B229" s="39" t="s">
        <v>478</v>
      </c>
      <c r="C229" s="39" t="s">
        <v>106</v>
      </c>
      <c r="D229" s="1">
        <v>42.5</v>
      </c>
      <c r="E229" s="17">
        <f t="shared" si="7"/>
        <v>0</v>
      </c>
      <c r="F229" s="1">
        <f t="shared" si="8"/>
        <v>42.5</v>
      </c>
      <c r="G229" s="1">
        <v>42.5</v>
      </c>
      <c r="H229" s="1">
        <v>0</v>
      </c>
      <c r="I229" s="119" t="s">
        <v>233</v>
      </c>
    </row>
    <row r="230" spans="1:9" s="27" customFormat="1" ht="18.75">
      <c r="A230" s="38" t="s">
        <v>476</v>
      </c>
      <c r="B230" s="39" t="s">
        <v>478</v>
      </c>
      <c r="C230" s="39" t="s">
        <v>107</v>
      </c>
      <c r="D230" s="1">
        <v>42.5</v>
      </c>
      <c r="E230" s="17">
        <f t="shared" si="7"/>
        <v>0</v>
      </c>
      <c r="F230" s="1">
        <f t="shared" si="8"/>
        <v>42.5</v>
      </c>
      <c r="G230" s="1">
        <v>42.5</v>
      </c>
      <c r="H230" s="1">
        <v>0</v>
      </c>
      <c r="I230" s="119" t="s">
        <v>233</v>
      </c>
    </row>
    <row r="231" spans="1:9" s="27" customFormat="1" ht="18.75">
      <c r="A231" s="38" t="s">
        <v>476</v>
      </c>
      <c r="B231" s="39" t="s">
        <v>478</v>
      </c>
      <c r="C231" s="39" t="s">
        <v>108</v>
      </c>
      <c r="D231" s="1">
        <v>42.5</v>
      </c>
      <c r="E231" s="17">
        <f t="shared" si="7"/>
        <v>0</v>
      </c>
      <c r="F231" s="1">
        <f t="shared" si="8"/>
        <v>42.5</v>
      </c>
      <c r="G231" s="1">
        <v>42.5</v>
      </c>
      <c r="H231" s="1">
        <v>0</v>
      </c>
      <c r="I231" s="119" t="s">
        <v>233</v>
      </c>
    </row>
    <row r="232" spans="1:9" s="27" customFormat="1" ht="18.75">
      <c r="A232" s="38" t="s">
        <v>476</v>
      </c>
      <c r="B232" s="39" t="s">
        <v>478</v>
      </c>
      <c r="C232" s="39" t="s">
        <v>109</v>
      </c>
      <c r="D232" s="1">
        <v>42.5</v>
      </c>
      <c r="E232" s="17">
        <f t="shared" si="7"/>
        <v>0</v>
      </c>
      <c r="F232" s="1">
        <f t="shared" si="8"/>
        <v>42.5</v>
      </c>
      <c r="G232" s="1">
        <v>42.5</v>
      </c>
      <c r="H232" s="1">
        <v>0</v>
      </c>
      <c r="I232" s="119" t="s">
        <v>233</v>
      </c>
    </row>
    <row r="233" spans="1:9" s="27" customFormat="1" ht="18.75" customHeight="1">
      <c r="A233" s="38" t="s">
        <v>476</v>
      </c>
      <c r="B233" s="39" t="s">
        <v>478</v>
      </c>
      <c r="C233" s="39" t="s">
        <v>110</v>
      </c>
      <c r="D233" s="1">
        <v>42.5</v>
      </c>
      <c r="E233" s="17">
        <f t="shared" si="7"/>
        <v>0</v>
      </c>
      <c r="F233" s="1">
        <f t="shared" si="8"/>
        <v>42.5</v>
      </c>
      <c r="G233" s="1">
        <v>42.5</v>
      </c>
      <c r="H233" s="1">
        <v>0.77715</v>
      </c>
      <c r="I233" s="119" t="s">
        <v>388</v>
      </c>
    </row>
    <row r="234" spans="1:9" s="27" customFormat="1" ht="18.75">
      <c r="A234" s="38" t="s">
        <v>476</v>
      </c>
      <c r="B234" s="39" t="s">
        <v>478</v>
      </c>
      <c r="C234" s="39" t="s">
        <v>111</v>
      </c>
      <c r="D234" s="1">
        <v>42.5</v>
      </c>
      <c r="E234" s="17">
        <f t="shared" si="7"/>
        <v>0</v>
      </c>
      <c r="F234" s="1">
        <f t="shared" si="8"/>
        <v>42.5</v>
      </c>
      <c r="G234" s="1">
        <v>42.5</v>
      </c>
      <c r="H234" s="1">
        <v>30.74966</v>
      </c>
      <c r="I234" s="119" t="s">
        <v>338</v>
      </c>
    </row>
    <row r="235" spans="1:9" s="27" customFormat="1" ht="18.75">
      <c r="A235" s="38" t="s">
        <v>476</v>
      </c>
      <c r="B235" s="39" t="s">
        <v>478</v>
      </c>
      <c r="C235" s="39" t="s">
        <v>112</v>
      </c>
      <c r="D235" s="1">
        <v>42.5</v>
      </c>
      <c r="E235" s="17">
        <f t="shared" si="7"/>
        <v>0</v>
      </c>
      <c r="F235" s="1">
        <f t="shared" si="8"/>
        <v>42.5</v>
      </c>
      <c r="G235" s="1">
        <v>42.5</v>
      </c>
      <c r="H235" s="1">
        <v>29.98362</v>
      </c>
      <c r="I235" s="119" t="s">
        <v>338</v>
      </c>
    </row>
    <row r="236" spans="1:9" s="27" customFormat="1" ht="18.75">
      <c r="A236" s="38" t="s">
        <v>476</v>
      </c>
      <c r="B236" s="39" t="s">
        <v>478</v>
      </c>
      <c r="C236" s="39" t="s">
        <v>113</v>
      </c>
      <c r="D236" s="1">
        <v>42.5</v>
      </c>
      <c r="E236" s="17">
        <f t="shared" si="7"/>
        <v>0</v>
      </c>
      <c r="F236" s="1">
        <f t="shared" si="8"/>
        <v>42.5</v>
      </c>
      <c r="G236" s="1">
        <v>42.5</v>
      </c>
      <c r="H236" s="1">
        <v>29.73161</v>
      </c>
      <c r="I236" s="119" t="s">
        <v>338</v>
      </c>
    </row>
    <row r="237" spans="1:9" s="27" customFormat="1" ht="18.75">
      <c r="A237" s="38" t="s">
        <v>476</v>
      </c>
      <c r="B237" s="39" t="s">
        <v>478</v>
      </c>
      <c r="C237" s="39" t="s">
        <v>114</v>
      </c>
      <c r="D237" s="1">
        <v>42.5</v>
      </c>
      <c r="E237" s="17">
        <f t="shared" si="7"/>
        <v>0</v>
      </c>
      <c r="F237" s="1">
        <f t="shared" si="8"/>
        <v>42.5</v>
      </c>
      <c r="G237" s="1">
        <v>42.5</v>
      </c>
      <c r="H237" s="1">
        <v>29.94556</v>
      </c>
      <c r="I237" s="119" t="s">
        <v>338</v>
      </c>
    </row>
    <row r="238" spans="1:9" s="27" customFormat="1" ht="18.75">
      <c r="A238" s="38" t="s">
        <v>476</v>
      </c>
      <c r="B238" s="39" t="s">
        <v>478</v>
      </c>
      <c r="C238" s="39" t="s">
        <v>115</v>
      </c>
      <c r="D238" s="1">
        <v>42.5</v>
      </c>
      <c r="E238" s="17">
        <f t="shared" si="7"/>
        <v>0</v>
      </c>
      <c r="F238" s="1">
        <f t="shared" si="8"/>
        <v>42.5</v>
      </c>
      <c r="G238" s="1">
        <v>42.5</v>
      </c>
      <c r="H238" s="1">
        <v>32.5006</v>
      </c>
      <c r="I238" s="119" t="s">
        <v>338</v>
      </c>
    </row>
    <row r="239" spans="1:9" s="27" customFormat="1" ht="18.75">
      <c r="A239" s="38" t="s">
        <v>476</v>
      </c>
      <c r="B239" s="39" t="s">
        <v>478</v>
      </c>
      <c r="C239" s="39" t="s">
        <v>116</v>
      </c>
      <c r="D239" s="1">
        <v>42.5</v>
      </c>
      <c r="E239" s="17">
        <f t="shared" si="7"/>
        <v>0</v>
      </c>
      <c r="F239" s="1">
        <f t="shared" si="8"/>
        <v>42.5</v>
      </c>
      <c r="G239" s="1">
        <v>42.5</v>
      </c>
      <c r="H239" s="1">
        <v>0</v>
      </c>
      <c r="I239" s="119" t="s">
        <v>233</v>
      </c>
    </row>
    <row r="240" spans="1:9" s="27" customFormat="1" ht="18.75">
      <c r="A240" s="38" t="s">
        <v>476</v>
      </c>
      <c r="B240" s="39" t="s">
        <v>478</v>
      </c>
      <c r="C240" s="39" t="s">
        <v>174</v>
      </c>
      <c r="D240" s="1">
        <v>42.5</v>
      </c>
      <c r="E240" s="17">
        <f aca="true" t="shared" si="9" ref="E240:E256">100-(F240/D240)*100</f>
        <v>0</v>
      </c>
      <c r="F240" s="1">
        <f aca="true" t="shared" si="10" ref="F240:F256">SUM(D240)</f>
        <v>42.5</v>
      </c>
      <c r="G240" s="1">
        <v>42.5</v>
      </c>
      <c r="H240" s="1">
        <v>0</v>
      </c>
      <c r="I240" s="119" t="s">
        <v>233</v>
      </c>
    </row>
    <row r="241" spans="1:9" s="27" customFormat="1" ht="18.75" customHeight="1">
      <c r="A241" s="38" t="s">
        <v>476</v>
      </c>
      <c r="B241" s="39" t="s">
        <v>478</v>
      </c>
      <c r="C241" s="39" t="s">
        <v>175</v>
      </c>
      <c r="D241" s="1">
        <v>42.5</v>
      </c>
      <c r="E241" s="17">
        <f t="shared" si="9"/>
        <v>0</v>
      </c>
      <c r="F241" s="1">
        <f t="shared" si="10"/>
        <v>42.5</v>
      </c>
      <c r="G241" s="1">
        <v>42.5</v>
      </c>
      <c r="H241" s="1">
        <v>7.49581</v>
      </c>
      <c r="I241" s="119" t="s">
        <v>388</v>
      </c>
    </row>
    <row r="242" spans="1:9" s="27" customFormat="1" ht="18.75" customHeight="1">
      <c r="A242" s="38" t="s">
        <v>476</v>
      </c>
      <c r="B242" s="39" t="s">
        <v>478</v>
      </c>
      <c r="C242" s="39" t="s">
        <v>176</v>
      </c>
      <c r="D242" s="1">
        <v>42.5</v>
      </c>
      <c r="E242" s="17">
        <f t="shared" si="9"/>
        <v>0</v>
      </c>
      <c r="F242" s="1">
        <f t="shared" si="10"/>
        <v>42.5</v>
      </c>
      <c r="G242" s="1">
        <v>42.5</v>
      </c>
      <c r="H242" s="1">
        <v>28.26836</v>
      </c>
      <c r="I242" s="119" t="s">
        <v>338</v>
      </c>
    </row>
    <row r="243" spans="1:9" s="27" customFormat="1" ht="18.75" customHeight="1">
      <c r="A243" s="38" t="s">
        <v>476</v>
      </c>
      <c r="B243" s="39" t="s">
        <v>478</v>
      </c>
      <c r="C243" s="39" t="s">
        <v>177</v>
      </c>
      <c r="D243" s="1">
        <v>42.5</v>
      </c>
      <c r="E243" s="17">
        <f t="shared" si="9"/>
        <v>0</v>
      </c>
      <c r="F243" s="1">
        <f t="shared" si="10"/>
        <v>42.5</v>
      </c>
      <c r="G243" s="1">
        <v>42.5</v>
      </c>
      <c r="H243" s="1">
        <v>7.49581</v>
      </c>
      <c r="I243" s="119" t="s">
        <v>388</v>
      </c>
    </row>
    <row r="244" spans="1:9" s="27" customFormat="1" ht="18.75" customHeight="1">
      <c r="A244" s="38" t="s">
        <v>476</v>
      </c>
      <c r="B244" s="39" t="s">
        <v>478</v>
      </c>
      <c r="C244" s="39" t="s">
        <v>178</v>
      </c>
      <c r="D244" s="1">
        <v>42.5</v>
      </c>
      <c r="E244" s="17">
        <f t="shared" si="9"/>
        <v>0</v>
      </c>
      <c r="F244" s="1">
        <f t="shared" si="10"/>
        <v>42.5</v>
      </c>
      <c r="G244" s="1">
        <v>42.5</v>
      </c>
      <c r="H244" s="1">
        <v>7.49581</v>
      </c>
      <c r="I244" s="119" t="s">
        <v>388</v>
      </c>
    </row>
    <row r="245" spans="1:9" s="27" customFormat="1" ht="18.75" customHeight="1">
      <c r="A245" s="38" t="s">
        <v>476</v>
      </c>
      <c r="B245" s="39" t="s">
        <v>478</v>
      </c>
      <c r="C245" s="39" t="s">
        <v>179</v>
      </c>
      <c r="D245" s="1">
        <v>42.5</v>
      </c>
      <c r="E245" s="17">
        <f t="shared" si="9"/>
        <v>0</v>
      </c>
      <c r="F245" s="1">
        <f t="shared" si="10"/>
        <v>42.5</v>
      </c>
      <c r="G245" s="1">
        <v>42.5</v>
      </c>
      <c r="H245" s="1">
        <v>8.23513</v>
      </c>
      <c r="I245" s="119" t="s">
        <v>388</v>
      </c>
    </row>
    <row r="246" spans="1:9" s="27" customFormat="1" ht="18.75" customHeight="1">
      <c r="A246" s="38" t="s">
        <v>476</v>
      </c>
      <c r="B246" s="39" t="s">
        <v>478</v>
      </c>
      <c r="C246" s="39" t="s">
        <v>180</v>
      </c>
      <c r="D246" s="1">
        <v>42.5</v>
      </c>
      <c r="E246" s="17">
        <f t="shared" si="9"/>
        <v>0</v>
      </c>
      <c r="F246" s="1">
        <f t="shared" si="10"/>
        <v>42.5</v>
      </c>
      <c r="G246" s="1">
        <v>42.5</v>
      </c>
      <c r="H246" s="1">
        <v>8.27656</v>
      </c>
      <c r="I246" s="119" t="s">
        <v>388</v>
      </c>
    </row>
    <row r="247" spans="1:9" s="27" customFormat="1" ht="18.75" customHeight="1">
      <c r="A247" s="38" t="s">
        <v>476</v>
      </c>
      <c r="B247" s="39" t="s">
        <v>478</v>
      </c>
      <c r="C247" s="39" t="s">
        <v>181</v>
      </c>
      <c r="D247" s="1">
        <v>42.5</v>
      </c>
      <c r="E247" s="17">
        <f t="shared" si="9"/>
        <v>0</v>
      </c>
      <c r="F247" s="1">
        <f t="shared" si="10"/>
        <v>42.5</v>
      </c>
      <c r="G247" s="1">
        <v>42.5</v>
      </c>
      <c r="H247" s="1">
        <v>7.49581</v>
      </c>
      <c r="I247" s="119" t="s">
        <v>388</v>
      </c>
    </row>
    <row r="248" spans="1:9" s="27" customFormat="1" ht="18.75" customHeight="1">
      <c r="A248" s="38" t="s">
        <v>476</v>
      </c>
      <c r="B248" s="39" t="s">
        <v>478</v>
      </c>
      <c r="C248" s="39" t="s">
        <v>182</v>
      </c>
      <c r="D248" s="1">
        <v>42.5</v>
      </c>
      <c r="E248" s="17">
        <f t="shared" si="9"/>
        <v>0</v>
      </c>
      <c r="F248" s="1">
        <f t="shared" si="10"/>
        <v>42.5</v>
      </c>
      <c r="G248" s="1">
        <v>42.5</v>
      </c>
      <c r="H248" s="1">
        <v>7.49581</v>
      </c>
      <c r="I248" s="119" t="s">
        <v>388</v>
      </c>
    </row>
    <row r="249" spans="1:9" s="27" customFormat="1" ht="18.75" customHeight="1">
      <c r="A249" s="38" t="s">
        <v>476</v>
      </c>
      <c r="B249" s="39" t="s">
        <v>478</v>
      </c>
      <c r="C249" s="39" t="s">
        <v>183</v>
      </c>
      <c r="D249" s="1">
        <v>42.5</v>
      </c>
      <c r="E249" s="17">
        <f t="shared" si="9"/>
        <v>0</v>
      </c>
      <c r="F249" s="1">
        <f t="shared" si="10"/>
        <v>42.5</v>
      </c>
      <c r="G249" s="1">
        <v>42.5</v>
      </c>
      <c r="H249" s="1">
        <v>7.49581</v>
      </c>
      <c r="I249" s="119" t="s">
        <v>388</v>
      </c>
    </row>
    <row r="250" spans="1:9" s="27" customFormat="1" ht="18.75" customHeight="1">
      <c r="A250" s="38" t="s">
        <v>476</v>
      </c>
      <c r="B250" s="39" t="s">
        <v>478</v>
      </c>
      <c r="C250" s="39" t="s">
        <v>184</v>
      </c>
      <c r="D250" s="1">
        <v>42.5</v>
      </c>
      <c r="E250" s="17">
        <f t="shared" si="9"/>
        <v>0</v>
      </c>
      <c r="F250" s="1">
        <f t="shared" si="10"/>
        <v>42.5</v>
      </c>
      <c r="G250" s="1">
        <v>42.5</v>
      </c>
      <c r="H250" s="1">
        <v>7.49581</v>
      </c>
      <c r="I250" s="119" t="s">
        <v>388</v>
      </c>
    </row>
    <row r="251" spans="1:9" s="27" customFormat="1" ht="18.75">
      <c r="A251" s="38" t="s">
        <v>476</v>
      </c>
      <c r="B251" s="39" t="s">
        <v>478</v>
      </c>
      <c r="C251" s="39" t="s">
        <v>185</v>
      </c>
      <c r="D251" s="1">
        <v>42.5</v>
      </c>
      <c r="E251" s="17">
        <f t="shared" si="9"/>
        <v>0</v>
      </c>
      <c r="F251" s="1">
        <f t="shared" si="10"/>
        <v>42.5</v>
      </c>
      <c r="G251" s="1">
        <v>42.5</v>
      </c>
      <c r="H251" s="1">
        <v>39.42623</v>
      </c>
      <c r="I251" s="119" t="s">
        <v>338</v>
      </c>
    </row>
    <row r="252" spans="1:9" s="27" customFormat="1" ht="18.75">
      <c r="A252" s="38" t="s">
        <v>476</v>
      </c>
      <c r="B252" s="39" t="s">
        <v>478</v>
      </c>
      <c r="C252" s="39" t="s">
        <v>186</v>
      </c>
      <c r="D252" s="1">
        <v>42.5</v>
      </c>
      <c r="E252" s="17">
        <f t="shared" si="9"/>
        <v>0</v>
      </c>
      <c r="F252" s="1">
        <f t="shared" si="10"/>
        <v>42.5</v>
      </c>
      <c r="G252" s="1">
        <v>42.5</v>
      </c>
      <c r="H252" s="1">
        <v>42.24579</v>
      </c>
      <c r="I252" s="119" t="s">
        <v>338</v>
      </c>
    </row>
    <row r="253" spans="1:9" s="27" customFormat="1" ht="18.75" customHeight="1">
      <c r="A253" s="38" t="s">
        <v>476</v>
      </c>
      <c r="B253" s="39" t="s">
        <v>478</v>
      </c>
      <c r="C253" s="39" t="s">
        <v>435</v>
      </c>
      <c r="D253" s="1">
        <v>42.5</v>
      </c>
      <c r="E253" s="17">
        <f t="shared" si="9"/>
        <v>0</v>
      </c>
      <c r="F253" s="1">
        <f t="shared" si="10"/>
        <v>42.5</v>
      </c>
      <c r="G253" s="1">
        <v>42.5</v>
      </c>
      <c r="H253" s="1">
        <v>7.49581</v>
      </c>
      <c r="I253" s="119" t="s">
        <v>388</v>
      </c>
    </row>
    <row r="254" spans="1:9" s="27" customFormat="1" ht="18.75">
      <c r="A254" s="38" t="s">
        <v>476</v>
      </c>
      <c r="B254" s="39" t="s">
        <v>478</v>
      </c>
      <c r="C254" s="39" t="s">
        <v>171</v>
      </c>
      <c r="D254" s="1">
        <v>42.5</v>
      </c>
      <c r="E254" s="17">
        <f t="shared" si="9"/>
        <v>0</v>
      </c>
      <c r="F254" s="1">
        <f t="shared" si="10"/>
        <v>42.5</v>
      </c>
      <c r="G254" s="1">
        <v>42.5</v>
      </c>
      <c r="H254" s="1">
        <v>32.97017</v>
      </c>
      <c r="I254" s="119" t="s">
        <v>338</v>
      </c>
    </row>
    <row r="255" spans="1:9" s="27" customFormat="1" ht="18.75">
      <c r="A255" s="38" t="s">
        <v>476</v>
      </c>
      <c r="B255" s="39" t="s">
        <v>478</v>
      </c>
      <c r="C255" s="39" t="s">
        <v>187</v>
      </c>
      <c r="D255" s="1">
        <v>42.5</v>
      </c>
      <c r="E255" s="17">
        <f>100-(F255/D255)*100</f>
        <v>0</v>
      </c>
      <c r="F255" s="1">
        <f>SUM(D255)</f>
        <v>42.5</v>
      </c>
      <c r="G255" s="1">
        <v>42.5</v>
      </c>
      <c r="H255" s="1">
        <v>0</v>
      </c>
      <c r="I255" s="119" t="s">
        <v>233</v>
      </c>
    </row>
    <row r="256" spans="1:9" s="27" customFormat="1" ht="18.75">
      <c r="A256" s="38" t="s">
        <v>476</v>
      </c>
      <c r="B256" s="39" t="s">
        <v>478</v>
      </c>
      <c r="C256" s="39" t="s">
        <v>308</v>
      </c>
      <c r="D256" s="1">
        <v>92.448</v>
      </c>
      <c r="E256" s="17">
        <f t="shared" si="9"/>
        <v>0</v>
      </c>
      <c r="F256" s="1">
        <f t="shared" si="10"/>
        <v>92.448</v>
      </c>
      <c r="G256" s="1">
        <v>92.448</v>
      </c>
      <c r="H256" s="1">
        <v>0</v>
      </c>
      <c r="I256" s="119" t="s">
        <v>233</v>
      </c>
    </row>
    <row r="257" spans="1:9" s="27" customFormat="1" ht="54.75" customHeight="1">
      <c r="A257" s="38" t="s">
        <v>476</v>
      </c>
      <c r="B257" s="39" t="s">
        <v>478</v>
      </c>
      <c r="C257" s="39" t="s">
        <v>291</v>
      </c>
      <c r="D257" s="1">
        <v>1087</v>
      </c>
      <c r="E257" s="17">
        <v>0</v>
      </c>
      <c r="F257" s="1">
        <v>1087</v>
      </c>
      <c r="G257" s="92">
        <f>1087-52.655</f>
        <v>1034.345</v>
      </c>
      <c r="H257" s="92">
        <v>0</v>
      </c>
      <c r="I257" s="119" t="s">
        <v>233</v>
      </c>
    </row>
    <row r="258" spans="1:9" s="27" customFormat="1" ht="55.5" customHeight="1">
      <c r="A258" s="59" t="s">
        <v>476</v>
      </c>
      <c r="B258" s="51" t="s">
        <v>478</v>
      </c>
      <c r="C258" s="97" t="s">
        <v>292</v>
      </c>
      <c r="D258" s="92">
        <v>52.655</v>
      </c>
      <c r="E258" s="93">
        <v>0</v>
      </c>
      <c r="F258" s="92">
        <v>52.655</v>
      </c>
      <c r="G258" s="92">
        <v>52.655</v>
      </c>
      <c r="H258" s="92">
        <v>0</v>
      </c>
      <c r="I258" s="119" t="s">
        <v>233</v>
      </c>
    </row>
    <row r="259" spans="1:9" ht="57.75" customHeight="1">
      <c r="A259" s="38" t="s">
        <v>476</v>
      </c>
      <c r="B259" s="39" t="s">
        <v>478</v>
      </c>
      <c r="C259" s="20" t="s">
        <v>562</v>
      </c>
      <c r="D259" s="1">
        <v>2921.18</v>
      </c>
      <c r="E259" s="17">
        <f>100-(F259/D259)*100</f>
        <v>0</v>
      </c>
      <c r="F259" s="1">
        <f>D259</f>
        <v>2921.18</v>
      </c>
      <c r="G259" s="1">
        <v>1.238</v>
      </c>
      <c r="H259" s="1">
        <v>1.23785</v>
      </c>
      <c r="I259" s="119" t="s">
        <v>244</v>
      </c>
    </row>
    <row r="260" spans="1:9" ht="60" customHeight="1">
      <c r="A260" s="38" t="s">
        <v>476</v>
      </c>
      <c r="B260" s="39" t="s">
        <v>478</v>
      </c>
      <c r="C260" s="39" t="s">
        <v>580</v>
      </c>
      <c r="D260" s="1">
        <v>3867.61</v>
      </c>
      <c r="E260" s="17">
        <f>100-(F260/D260)*100</f>
        <v>0</v>
      </c>
      <c r="F260" s="1">
        <f>D260</f>
        <v>3867.61</v>
      </c>
      <c r="G260" s="1">
        <v>1.398</v>
      </c>
      <c r="H260" s="1">
        <v>1.39761</v>
      </c>
      <c r="I260" s="119" t="s">
        <v>245</v>
      </c>
    </row>
    <row r="261" spans="1:9" s="27" customFormat="1" ht="56.25">
      <c r="A261" s="40">
        <v>150101</v>
      </c>
      <c r="B261" s="39" t="s">
        <v>478</v>
      </c>
      <c r="C261" s="39" t="s">
        <v>117</v>
      </c>
      <c r="D261" s="1">
        <v>43.459</v>
      </c>
      <c r="E261" s="17">
        <f aca="true" t="shared" si="11" ref="E261:E293">100-(F261/D261)*100</f>
        <v>0</v>
      </c>
      <c r="F261" s="1">
        <f>SUM(D261)</f>
        <v>43.459</v>
      </c>
      <c r="G261" s="1">
        <v>5.918</v>
      </c>
      <c r="H261" s="1">
        <v>0</v>
      </c>
      <c r="I261" s="119" t="s">
        <v>233</v>
      </c>
    </row>
    <row r="262" spans="1:9" s="27" customFormat="1" ht="37.5">
      <c r="A262" s="40">
        <v>150101</v>
      </c>
      <c r="B262" s="39" t="s">
        <v>478</v>
      </c>
      <c r="C262" s="39" t="s">
        <v>118</v>
      </c>
      <c r="D262" s="1">
        <v>65.551</v>
      </c>
      <c r="E262" s="17">
        <f t="shared" si="11"/>
        <v>0</v>
      </c>
      <c r="F262" s="1">
        <v>65.551</v>
      </c>
      <c r="G262" s="1">
        <v>7.298</v>
      </c>
      <c r="H262" s="1">
        <v>0</v>
      </c>
      <c r="I262" s="119" t="s">
        <v>233</v>
      </c>
    </row>
    <row r="263" spans="1:9" s="27" customFormat="1" ht="37.5">
      <c r="A263" s="215">
        <v>150101</v>
      </c>
      <c r="B263" s="199" t="s">
        <v>478</v>
      </c>
      <c r="C263" s="39" t="s">
        <v>119</v>
      </c>
      <c r="D263" s="1">
        <v>130.106</v>
      </c>
      <c r="E263" s="17">
        <f t="shared" si="11"/>
        <v>0</v>
      </c>
      <c r="F263" s="1">
        <v>130.106</v>
      </c>
      <c r="G263" s="1">
        <v>124.787</v>
      </c>
      <c r="H263" s="1">
        <v>8.53404</v>
      </c>
      <c r="I263" s="195" t="s">
        <v>339</v>
      </c>
    </row>
    <row r="264" spans="1:15" s="16" customFormat="1" ht="36" customHeight="1">
      <c r="A264" s="215"/>
      <c r="B264" s="199"/>
      <c r="C264" s="39" t="s">
        <v>7</v>
      </c>
      <c r="D264" s="1"/>
      <c r="E264" s="17"/>
      <c r="F264" s="1"/>
      <c r="G264" s="1">
        <v>8.534</v>
      </c>
      <c r="H264" s="1">
        <v>8.534</v>
      </c>
      <c r="I264" s="195"/>
      <c r="J264" s="8"/>
      <c r="K264" s="8"/>
      <c r="L264" s="8"/>
      <c r="M264" s="8"/>
      <c r="O264" s="15"/>
    </row>
    <row r="265" spans="1:9" s="27" customFormat="1" ht="56.25">
      <c r="A265" s="40">
        <v>150101</v>
      </c>
      <c r="B265" s="39" t="s">
        <v>478</v>
      </c>
      <c r="C265" s="39" t="s">
        <v>120</v>
      </c>
      <c r="D265" s="1">
        <v>167.602</v>
      </c>
      <c r="E265" s="17">
        <f t="shared" si="11"/>
        <v>0</v>
      </c>
      <c r="F265" s="1">
        <f>SUM(D265)</f>
        <v>167.602</v>
      </c>
      <c r="G265" s="1">
        <v>161.249</v>
      </c>
      <c r="H265" s="1">
        <v>0</v>
      </c>
      <c r="I265" s="119" t="s">
        <v>233</v>
      </c>
    </row>
    <row r="266" spans="1:9" s="27" customFormat="1" ht="56.25" customHeight="1">
      <c r="A266" s="40">
        <v>150101</v>
      </c>
      <c r="B266" s="39" t="s">
        <v>478</v>
      </c>
      <c r="C266" s="39" t="s">
        <v>135</v>
      </c>
      <c r="D266" s="1">
        <v>74.116</v>
      </c>
      <c r="E266" s="17">
        <f t="shared" si="11"/>
        <v>0</v>
      </c>
      <c r="F266" s="1">
        <f>SUM(D266)</f>
        <v>74.116</v>
      </c>
      <c r="G266" s="1">
        <v>5.679</v>
      </c>
      <c r="H266" s="1">
        <v>0</v>
      </c>
      <c r="I266" s="119" t="s">
        <v>233</v>
      </c>
    </row>
    <row r="267" spans="1:9" s="27" customFormat="1" ht="55.5" customHeight="1">
      <c r="A267" s="40">
        <v>150101</v>
      </c>
      <c r="B267" s="39" t="s">
        <v>478</v>
      </c>
      <c r="C267" s="39" t="s">
        <v>293</v>
      </c>
      <c r="D267" s="1">
        <v>194.696</v>
      </c>
      <c r="E267" s="17">
        <v>0</v>
      </c>
      <c r="F267" s="1">
        <f>SUM(D267)</f>
        <v>194.696</v>
      </c>
      <c r="G267" s="1">
        <v>187.206</v>
      </c>
      <c r="H267" s="1">
        <v>3.9837</v>
      </c>
      <c r="I267" s="119" t="s">
        <v>389</v>
      </c>
    </row>
    <row r="268" spans="1:9" s="27" customFormat="1" ht="57.75" customHeight="1">
      <c r="A268" s="215">
        <v>150101</v>
      </c>
      <c r="B268" s="199" t="s">
        <v>478</v>
      </c>
      <c r="C268" s="39" t="s">
        <v>121</v>
      </c>
      <c r="D268" s="1">
        <v>289.311</v>
      </c>
      <c r="E268" s="17">
        <f t="shared" si="11"/>
        <v>0</v>
      </c>
      <c r="F268" s="1">
        <v>289.311</v>
      </c>
      <c r="G268" s="92">
        <v>18.621</v>
      </c>
      <c r="H268" s="1">
        <v>18.62063</v>
      </c>
      <c r="I268" s="195" t="s">
        <v>339</v>
      </c>
    </row>
    <row r="269" spans="1:15" s="16" customFormat="1" ht="33.75" customHeight="1">
      <c r="A269" s="215"/>
      <c r="B269" s="199"/>
      <c r="C269" s="39" t="s">
        <v>7</v>
      </c>
      <c r="D269" s="1"/>
      <c r="E269" s="17"/>
      <c r="F269" s="1"/>
      <c r="G269" s="1">
        <v>18.621</v>
      </c>
      <c r="H269" s="1">
        <v>18.621</v>
      </c>
      <c r="I269" s="195"/>
      <c r="J269" s="8"/>
      <c r="K269" s="8"/>
      <c r="L269" s="8"/>
      <c r="M269" s="8"/>
      <c r="O269" s="15"/>
    </row>
    <row r="270" spans="1:9" s="27" customFormat="1" ht="60" customHeight="1">
      <c r="A270" s="215">
        <v>150101</v>
      </c>
      <c r="B270" s="199" t="s">
        <v>478</v>
      </c>
      <c r="C270" s="39" t="s">
        <v>122</v>
      </c>
      <c r="D270" s="1">
        <v>214.529</v>
      </c>
      <c r="E270" s="17">
        <f t="shared" si="11"/>
        <v>0</v>
      </c>
      <c r="F270" s="1">
        <v>214.529</v>
      </c>
      <c r="G270" s="1">
        <v>195.57</v>
      </c>
      <c r="H270" s="1">
        <v>14.61566</v>
      </c>
      <c r="I270" s="195" t="s">
        <v>377</v>
      </c>
    </row>
    <row r="271" spans="1:15" s="16" customFormat="1" ht="34.5" customHeight="1">
      <c r="A271" s="215"/>
      <c r="B271" s="199"/>
      <c r="C271" s="39" t="s">
        <v>7</v>
      </c>
      <c r="D271" s="1"/>
      <c r="E271" s="17"/>
      <c r="F271" s="1"/>
      <c r="G271" s="1">
        <v>14.616</v>
      </c>
      <c r="H271" s="1"/>
      <c r="I271" s="195"/>
      <c r="J271" s="8"/>
      <c r="K271" s="8"/>
      <c r="L271" s="8"/>
      <c r="M271" s="8"/>
      <c r="O271" s="15"/>
    </row>
    <row r="272" spans="1:9" s="27" customFormat="1" ht="57" customHeight="1">
      <c r="A272" s="215">
        <v>150101</v>
      </c>
      <c r="B272" s="199" t="s">
        <v>478</v>
      </c>
      <c r="C272" s="39" t="s">
        <v>123</v>
      </c>
      <c r="D272" s="1">
        <v>176.096</v>
      </c>
      <c r="E272" s="17">
        <f t="shared" si="11"/>
        <v>0</v>
      </c>
      <c r="F272" s="1">
        <v>176.096</v>
      </c>
      <c r="G272" s="1">
        <v>166.495</v>
      </c>
      <c r="H272" s="1">
        <v>165.64221</v>
      </c>
      <c r="I272" s="184" t="s">
        <v>353</v>
      </c>
    </row>
    <row r="273" spans="1:15" s="16" customFormat="1" ht="38.25" customHeight="1">
      <c r="A273" s="215"/>
      <c r="B273" s="199"/>
      <c r="C273" s="39" t="s">
        <v>7</v>
      </c>
      <c r="D273" s="1"/>
      <c r="E273" s="17"/>
      <c r="F273" s="1"/>
      <c r="G273" s="1">
        <v>14.042</v>
      </c>
      <c r="H273" s="1">
        <v>14.042</v>
      </c>
      <c r="I273" s="184"/>
      <c r="J273" s="8"/>
      <c r="K273" s="8"/>
      <c r="L273" s="8"/>
      <c r="M273" s="8"/>
      <c r="O273" s="15"/>
    </row>
    <row r="274" spans="1:9" s="27" customFormat="1" ht="56.25">
      <c r="A274" s="40">
        <v>150101</v>
      </c>
      <c r="B274" s="39" t="s">
        <v>478</v>
      </c>
      <c r="C274" s="39" t="s">
        <v>124</v>
      </c>
      <c r="D274" s="1">
        <v>96.1</v>
      </c>
      <c r="E274" s="17">
        <f t="shared" si="11"/>
        <v>0</v>
      </c>
      <c r="F274" s="1">
        <f>SUM(D274)</f>
        <v>96.1</v>
      </c>
      <c r="G274" s="1">
        <v>5.805</v>
      </c>
      <c r="H274" s="1">
        <v>0</v>
      </c>
      <c r="I274" s="119" t="s">
        <v>233</v>
      </c>
    </row>
    <row r="275" spans="1:9" s="27" customFormat="1" ht="37.5">
      <c r="A275" s="40">
        <v>150101</v>
      </c>
      <c r="B275" s="39" t="s">
        <v>478</v>
      </c>
      <c r="C275" s="39" t="s">
        <v>125</v>
      </c>
      <c r="D275" s="1">
        <v>86.681</v>
      </c>
      <c r="E275" s="17">
        <f t="shared" si="11"/>
        <v>0</v>
      </c>
      <c r="F275" s="1">
        <v>86.681</v>
      </c>
      <c r="G275" s="1">
        <v>8.998</v>
      </c>
      <c r="H275" s="1">
        <v>0</v>
      </c>
      <c r="I275" s="119" t="s">
        <v>233</v>
      </c>
    </row>
    <row r="276" spans="1:9" s="27" customFormat="1" ht="37.5">
      <c r="A276" s="215">
        <v>150101</v>
      </c>
      <c r="B276" s="199" t="s">
        <v>478</v>
      </c>
      <c r="C276" s="39" t="s">
        <v>126</v>
      </c>
      <c r="D276" s="1">
        <v>47.312</v>
      </c>
      <c r="E276" s="17">
        <f t="shared" si="11"/>
        <v>0</v>
      </c>
      <c r="F276" s="1">
        <v>47.312</v>
      </c>
      <c r="G276" s="1">
        <v>46.12</v>
      </c>
      <c r="H276" s="1">
        <v>5.53032</v>
      </c>
      <c r="I276" s="195" t="s">
        <v>327</v>
      </c>
    </row>
    <row r="277" spans="1:15" s="16" customFormat="1" ht="32.25" customHeight="1">
      <c r="A277" s="215"/>
      <c r="B277" s="199"/>
      <c r="C277" s="39" t="s">
        <v>7</v>
      </c>
      <c r="D277" s="1"/>
      <c r="E277" s="17"/>
      <c r="F277" s="1"/>
      <c r="G277" s="1">
        <v>5.53</v>
      </c>
      <c r="H277" s="1">
        <v>5.53</v>
      </c>
      <c r="I277" s="195"/>
      <c r="J277" s="8"/>
      <c r="K277" s="8"/>
      <c r="L277" s="8"/>
      <c r="M277" s="8"/>
      <c r="O277" s="15"/>
    </row>
    <row r="278" spans="1:9" s="27" customFormat="1" ht="37.5" customHeight="1">
      <c r="A278" s="215">
        <v>150101</v>
      </c>
      <c r="B278" s="199" t="s">
        <v>478</v>
      </c>
      <c r="C278" s="39" t="s">
        <v>127</v>
      </c>
      <c r="D278" s="1">
        <v>63.614</v>
      </c>
      <c r="E278" s="17">
        <f t="shared" si="11"/>
        <v>0</v>
      </c>
      <c r="F278" s="1">
        <v>63.614</v>
      </c>
      <c r="G278" s="1">
        <v>5.902</v>
      </c>
      <c r="H278" s="1">
        <v>5.90114</v>
      </c>
      <c r="I278" s="195" t="s">
        <v>327</v>
      </c>
    </row>
    <row r="279" spans="1:15" s="16" customFormat="1" ht="32.25" customHeight="1">
      <c r="A279" s="215"/>
      <c r="B279" s="199"/>
      <c r="C279" s="39" t="s">
        <v>7</v>
      </c>
      <c r="D279" s="1"/>
      <c r="E279" s="17"/>
      <c r="F279" s="1"/>
      <c r="G279" s="1">
        <v>5.901</v>
      </c>
      <c r="H279" s="1">
        <v>5.901</v>
      </c>
      <c r="I279" s="195"/>
      <c r="J279" s="8"/>
      <c r="K279" s="8"/>
      <c r="L279" s="8"/>
      <c r="M279" s="8"/>
      <c r="O279" s="15"/>
    </row>
    <row r="280" spans="1:9" s="27" customFormat="1" ht="37.5">
      <c r="A280" s="215">
        <v>150101</v>
      </c>
      <c r="B280" s="199" t="s">
        <v>478</v>
      </c>
      <c r="C280" s="39" t="s">
        <v>128</v>
      </c>
      <c r="D280" s="1">
        <v>220.506</v>
      </c>
      <c r="E280" s="17">
        <f t="shared" si="11"/>
        <v>0</v>
      </c>
      <c r="F280" s="1">
        <f>SUM(D280)</f>
        <v>220.506</v>
      </c>
      <c r="G280" s="1">
        <v>220.506</v>
      </c>
      <c r="H280" s="1">
        <v>9.39935</v>
      </c>
      <c r="I280" s="195" t="s">
        <v>327</v>
      </c>
    </row>
    <row r="281" spans="1:15" s="16" customFormat="1" ht="33" customHeight="1">
      <c r="A281" s="215"/>
      <c r="B281" s="199"/>
      <c r="C281" s="39" t="s">
        <v>7</v>
      </c>
      <c r="D281" s="1"/>
      <c r="E281" s="17"/>
      <c r="F281" s="1"/>
      <c r="G281" s="1">
        <v>9.399</v>
      </c>
      <c r="H281" s="1">
        <v>9.399</v>
      </c>
      <c r="I281" s="195"/>
      <c r="J281" s="8"/>
      <c r="K281" s="8"/>
      <c r="L281" s="8"/>
      <c r="M281" s="8"/>
      <c r="O281" s="15"/>
    </row>
    <row r="282" spans="1:9" s="27" customFormat="1" ht="37.5">
      <c r="A282" s="215">
        <v>150101</v>
      </c>
      <c r="B282" s="199" t="s">
        <v>478</v>
      </c>
      <c r="C282" s="39" t="s">
        <v>129</v>
      </c>
      <c r="D282" s="1">
        <v>88.917</v>
      </c>
      <c r="E282" s="17">
        <f t="shared" si="11"/>
        <v>0</v>
      </c>
      <c r="F282" s="1">
        <v>88.917</v>
      </c>
      <c r="G282" s="1">
        <v>84.634</v>
      </c>
      <c r="H282" s="1">
        <v>7.79239</v>
      </c>
      <c r="I282" s="195" t="s">
        <v>327</v>
      </c>
    </row>
    <row r="283" spans="1:15" s="16" customFormat="1" ht="39" customHeight="1">
      <c r="A283" s="215"/>
      <c r="B283" s="199"/>
      <c r="C283" s="39" t="s">
        <v>7</v>
      </c>
      <c r="D283" s="1"/>
      <c r="E283" s="17"/>
      <c r="F283" s="1"/>
      <c r="G283" s="1">
        <v>7.792</v>
      </c>
      <c r="H283" s="1">
        <v>7.792</v>
      </c>
      <c r="I283" s="195"/>
      <c r="J283" s="8"/>
      <c r="K283" s="8"/>
      <c r="L283" s="8"/>
      <c r="M283" s="8"/>
      <c r="O283" s="15"/>
    </row>
    <row r="284" spans="1:9" s="27" customFormat="1" ht="39.75" customHeight="1">
      <c r="A284" s="40">
        <v>150101</v>
      </c>
      <c r="B284" s="39" t="s">
        <v>478</v>
      </c>
      <c r="C284" s="39" t="s">
        <v>130</v>
      </c>
      <c r="D284" s="1">
        <v>159.508</v>
      </c>
      <c r="E284" s="17">
        <f t="shared" si="11"/>
        <v>0</v>
      </c>
      <c r="F284" s="1">
        <f>SUM(D284)</f>
        <v>159.508</v>
      </c>
      <c r="G284" s="1">
        <v>159.508</v>
      </c>
      <c r="H284" s="1">
        <v>0</v>
      </c>
      <c r="I284" s="119" t="s">
        <v>233</v>
      </c>
    </row>
    <row r="285" spans="1:9" s="27" customFormat="1" ht="37.5">
      <c r="A285" s="215">
        <v>150101</v>
      </c>
      <c r="B285" s="199" t="s">
        <v>478</v>
      </c>
      <c r="C285" s="39" t="s">
        <v>464</v>
      </c>
      <c r="D285" s="1">
        <v>53.803</v>
      </c>
      <c r="E285" s="17">
        <f t="shared" si="11"/>
        <v>0</v>
      </c>
      <c r="F285" s="1">
        <f>SUM(D285)</f>
        <v>53.803</v>
      </c>
      <c r="G285" s="1">
        <v>6.305</v>
      </c>
      <c r="H285" s="1">
        <v>4.55874</v>
      </c>
      <c r="I285" s="195" t="s">
        <v>327</v>
      </c>
    </row>
    <row r="286" spans="1:15" s="16" customFormat="1" ht="36.75" customHeight="1">
      <c r="A286" s="215"/>
      <c r="B286" s="199"/>
      <c r="C286" s="39" t="s">
        <v>7</v>
      </c>
      <c r="D286" s="1"/>
      <c r="E286" s="17"/>
      <c r="F286" s="1"/>
      <c r="G286" s="1">
        <v>4.559</v>
      </c>
      <c r="H286" s="1">
        <v>4.559</v>
      </c>
      <c r="I286" s="195"/>
      <c r="J286" s="8"/>
      <c r="K286" s="8"/>
      <c r="L286" s="8"/>
      <c r="M286" s="8"/>
      <c r="O286" s="15"/>
    </row>
    <row r="287" spans="1:9" s="27" customFormat="1" ht="41.25" customHeight="1">
      <c r="A287" s="40">
        <v>150101</v>
      </c>
      <c r="B287" s="39" t="s">
        <v>478</v>
      </c>
      <c r="C287" s="39" t="s">
        <v>465</v>
      </c>
      <c r="D287" s="1">
        <v>113.424</v>
      </c>
      <c r="E287" s="17">
        <f t="shared" si="11"/>
        <v>0</v>
      </c>
      <c r="F287" s="1">
        <f>SUM(D287)</f>
        <v>113.424</v>
      </c>
      <c r="G287" s="1">
        <v>6.226</v>
      </c>
      <c r="H287" s="1">
        <v>0</v>
      </c>
      <c r="I287" s="119" t="s">
        <v>233</v>
      </c>
    </row>
    <row r="288" spans="1:9" s="27" customFormat="1" ht="37.5">
      <c r="A288" s="215">
        <v>150101</v>
      </c>
      <c r="B288" s="199" t="s">
        <v>478</v>
      </c>
      <c r="C288" s="39" t="s">
        <v>466</v>
      </c>
      <c r="D288" s="1">
        <v>76.218</v>
      </c>
      <c r="E288" s="17">
        <f t="shared" si="11"/>
        <v>0</v>
      </c>
      <c r="F288" s="1">
        <f>SUM(D288)</f>
        <v>76.218</v>
      </c>
      <c r="G288" s="1">
        <v>7.091</v>
      </c>
      <c r="H288" s="1">
        <v>5.3449</v>
      </c>
      <c r="I288" s="195" t="s">
        <v>327</v>
      </c>
    </row>
    <row r="289" spans="1:15" s="16" customFormat="1" ht="37.5" customHeight="1">
      <c r="A289" s="215"/>
      <c r="B289" s="199"/>
      <c r="C289" s="39" t="s">
        <v>7</v>
      </c>
      <c r="D289" s="1"/>
      <c r="E289" s="17"/>
      <c r="F289" s="1"/>
      <c r="G289" s="1">
        <v>5.345</v>
      </c>
      <c r="H289" s="1">
        <v>5.345</v>
      </c>
      <c r="I289" s="195"/>
      <c r="J289" s="8"/>
      <c r="K289" s="8"/>
      <c r="L289" s="8"/>
      <c r="M289" s="8"/>
      <c r="O289" s="15"/>
    </row>
    <row r="290" spans="1:9" s="27" customFormat="1" ht="56.25">
      <c r="A290" s="40">
        <v>150101</v>
      </c>
      <c r="B290" s="39" t="s">
        <v>478</v>
      </c>
      <c r="C290" s="39" t="s">
        <v>205</v>
      </c>
      <c r="D290" s="1">
        <v>469.135</v>
      </c>
      <c r="E290" s="17">
        <f t="shared" si="11"/>
        <v>0</v>
      </c>
      <c r="F290" s="1">
        <f>SUM(D290)</f>
        <v>469.135</v>
      </c>
      <c r="G290" s="1">
        <v>16.39</v>
      </c>
      <c r="H290" s="1">
        <v>0</v>
      </c>
      <c r="I290" s="119" t="s">
        <v>233</v>
      </c>
    </row>
    <row r="291" spans="1:9" s="27" customFormat="1" ht="59.25" customHeight="1">
      <c r="A291" s="40">
        <v>150101</v>
      </c>
      <c r="B291" s="39" t="s">
        <v>478</v>
      </c>
      <c r="C291" s="39" t="s">
        <v>294</v>
      </c>
      <c r="D291" s="1">
        <v>911.047</v>
      </c>
      <c r="E291" s="17">
        <f t="shared" si="11"/>
        <v>0</v>
      </c>
      <c r="F291" s="1">
        <f>SUM(D291)</f>
        <v>911.047</v>
      </c>
      <c r="G291" s="1">
        <v>23.166</v>
      </c>
      <c r="H291" s="1">
        <v>0</v>
      </c>
      <c r="I291" s="119" t="s">
        <v>233</v>
      </c>
    </row>
    <row r="292" spans="1:9" s="27" customFormat="1" ht="54.75" customHeight="1">
      <c r="A292" s="40">
        <v>150101</v>
      </c>
      <c r="B292" s="39" t="s">
        <v>478</v>
      </c>
      <c r="C292" s="39" t="s">
        <v>295</v>
      </c>
      <c r="D292" s="1">
        <v>520.135</v>
      </c>
      <c r="E292" s="17">
        <f t="shared" si="11"/>
        <v>0</v>
      </c>
      <c r="F292" s="1">
        <f>SUM(D292)</f>
        <v>520.135</v>
      </c>
      <c r="G292" s="1">
        <v>20.552</v>
      </c>
      <c r="H292" s="1">
        <v>0</v>
      </c>
      <c r="I292" s="119" t="s">
        <v>233</v>
      </c>
    </row>
    <row r="293" spans="1:9" s="27" customFormat="1" ht="39.75" customHeight="1">
      <c r="A293" s="40">
        <v>150101</v>
      </c>
      <c r="B293" s="39" t="s">
        <v>478</v>
      </c>
      <c r="C293" s="39" t="s">
        <v>134</v>
      </c>
      <c r="D293" s="1">
        <v>5</v>
      </c>
      <c r="E293" s="17">
        <f t="shared" si="11"/>
        <v>0</v>
      </c>
      <c r="F293" s="1">
        <v>5</v>
      </c>
      <c r="G293" s="1">
        <v>5</v>
      </c>
      <c r="H293" s="1">
        <v>0</v>
      </c>
      <c r="I293" s="119" t="s">
        <v>233</v>
      </c>
    </row>
    <row r="294" spans="1:9" s="27" customFormat="1" ht="57" customHeight="1">
      <c r="A294" s="40">
        <v>150101</v>
      </c>
      <c r="B294" s="39" t="s">
        <v>478</v>
      </c>
      <c r="C294" s="83" t="s">
        <v>462</v>
      </c>
      <c r="D294" s="1">
        <v>5</v>
      </c>
      <c r="E294" s="17">
        <f>100-(F294/D294)*100</f>
        <v>0</v>
      </c>
      <c r="F294" s="1">
        <v>5</v>
      </c>
      <c r="G294" s="1">
        <v>5</v>
      </c>
      <c r="H294" s="1">
        <v>0</v>
      </c>
      <c r="I294" s="119" t="s">
        <v>233</v>
      </c>
    </row>
    <row r="295" spans="1:9" s="27" customFormat="1" ht="37.5">
      <c r="A295" s="40">
        <v>150101</v>
      </c>
      <c r="B295" s="39" t="s">
        <v>478</v>
      </c>
      <c r="C295" s="49" t="s">
        <v>459</v>
      </c>
      <c r="D295" s="1">
        <v>44.165</v>
      </c>
      <c r="E295" s="17">
        <f>100-(F295/D295)*100</f>
        <v>0</v>
      </c>
      <c r="F295" s="1">
        <v>44.165</v>
      </c>
      <c r="G295" s="1">
        <v>44.165</v>
      </c>
      <c r="H295" s="1">
        <v>0</v>
      </c>
      <c r="I295" s="119" t="s">
        <v>233</v>
      </c>
    </row>
    <row r="296" spans="1:9" s="27" customFormat="1" ht="56.25">
      <c r="A296" s="40">
        <v>150101</v>
      </c>
      <c r="B296" s="39" t="s">
        <v>478</v>
      </c>
      <c r="C296" s="49" t="s">
        <v>457</v>
      </c>
      <c r="D296" s="1">
        <v>75.492</v>
      </c>
      <c r="E296" s="17">
        <f>100-(F296/D296)*100</f>
        <v>0</v>
      </c>
      <c r="F296" s="1">
        <v>75.492</v>
      </c>
      <c r="G296" s="1">
        <v>75.492</v>
      </c>
      <c r="H296" s="1">
        <v>0</v>
      </c>
      <c r="I296" s="119" t="s">
        <v>233</v>
      </c>
    </row>
    <row r="297" spans="1:9" s="27" customFormat="1" ht="56.25">
      <c r="A297" s="40">
        <v>150101</v>
      </c>
      <c r="B297" s="39" t="s">
        <v>478</v>
      </c>
      <c r="C297" s="49" t="s">
        <v>458</v>
      </c>
      <c r="D297" s="1">
        <v>183.104</v>
      </c>
      <c r="E297" s="17">
        <f>100-(F297/D297)*100</f>
        <v>35.13850052429221</v>
      </c>
      <c r="F297" s="1">
        <v>118.764</v>
      </c>
      <c r="G297" s="1">
        <v>64.34</v>
      </c>
      <c r="H297" s="1">
        <v>0</v>
      </c>
      <c r="I297" s="119" t="s">
        <v>233</v>
      </c>
    </row>
    <row r="298" spans="1:9" s="27" customFormat="1" ht="55.5" customHeight="1">
      <c r="A298" s="40">
        <v>150101</v>
      </c>
      <c r="B298" s="39" t="s">
        <v>478</v>
      </c>
      <c r="C298" s="39" t="s">
        <v>132</v>
      </c>
      <c r="D298" s="1"/>
      <c r="E298" s="17"/>
      <c r="F298" s="1"/>
      <c r="G298" s="1">
        <v>0.397</v>
      </c>
      <c r="H298" s="1">
        <v>0.39624</v>
      </c>
      <c r="I298" s="119" t="s">
        <v>327</v>
      </c>
    </row>
    <row r="299" spans="1:9" s="27" customFormat="1" ht="54.75" customHeight="1">
      <c r="A299" s="40">
        <v>150101</v>
      </c>
      <c r="B299" s="39" t="s">
        <v>478</v>
      </c>
      <c r="C299" s="39" t="s">
        <v>133</v>
      </c>
      <c r="D299" s="1"/>
      <c r="E299" s="17"/>
      <c r="F299" s="1"/>
      <c r="G299" s="1">
        <v>1.043</v>
      </c>
      <c r="H299" s="1">
        <v>1.04268</v>
      </c>
      <c r="I299" s="119" t="s">
        <v>327</v>
      </c>
    </row>
    <row r="300" spans="1:9" ht="74.25" customHeight="1">
      <c r="A300" s="38" t="s">
        <v>476</v>
      </c>
      <c r="B300" s="39" t="s">
        <v>478</v>
      </c>
      <c r="C300" s="39" t="s">
        <v>13</v>
      </c>
      <c r="D300" s="1">
        <v>51.997</v>
      </c>
      <c r="E300" s="17">
        <f>100-(F300/D300)*100</f>
        <v>1.1441429313229605</v>
      </c>
      <c r="F300" s="1">
        <f>51.997-0.59492</f>
        <v>51.40208</v>
      </c>
      <c r="G300" s="1">
        <v>10.661</v>
      </c>
      <c r="H300" s="1">
        <v>10.66008</v>
      </c>
      <c r="I300" s="119" t="s">
        <v>327</v>
      </c>
    </row>
    <row r="301" spans="1:9" ht="75" customHeight="1">
      <c r="A301" s="38" t="s">
        <v>476</v>
      </c>
      <c r="B301" s="39" t="s">
        <v>478</v>
      </c>
      <c r="C301" s="39" t="s">
        <v>312</v>
      </c>
      <c r="D301" s="1">
        <v>44.962</v>
      </c>
      <c r="E301" s="17">
        <f aca="true" t="shared" si="12" ref="E301:E315">100-(F301/D301)*100</f>
        <v>1.9837195854276928</v>
      </c>
      <c r="F301" s="1">
        <f>44.962-0.89192</f>
        <v>44.070080000000004</v>
      </c>
      <c r="G301" s="1">
        <v>10.766</v>
      </c>
      <c r="H301" s="1">
        <v>10.7653</v>
      </c>
      <c r="I301" s="119" t="s">
        <v>327</v>
      </c>
    </row>
    <row r="302" spans="1:9" ht="57.75" customHeight="1">
      <c r="A302" s="38" t="s">
        <v>476</v>
      </c>
      <c r="B302" s="39" t="s">
        <v>478</v>
      </c>
      <c r="C302" s="39" t="s">
        <v>14</v>
      </c>
      <c r="D302" s="23">
        <v>20.278</v>
      </c>
      <c r="E302" s="26">
        <f t="shared" si="12"/>
        <v>0</v>
      </c>
      <c r="F302" s="23">
        <f>SUM(D302)</f>
        <v>20.278</v>
      </c>
      <c r="G302" s="1">
        <v>7.492</v>
      </c>
      <c r="H302" s="1">
        <v>7.49189</v>
      </c>
      <c r="I302" s="119" t="s">
        <v>327</v>
      </c>
    </row>
    <row r="303" spans="1:9" ht="57.75" customHeight="1">
      <c r="A303" s="38" t="s">
        <v>476</v>
      </c>
      <c r="B303" s="39" t="s">
        <v>478</v>
      </c>
      <c r="C303" s="39" t="s">
        <v>15</v>
      </c>
      <c r="D303" s="23">
        <v>21.328</v>
      </c>
      <c r="E303" s="26">
        <f t="shared" si="12"/>
        <v>0</v>
      </c>
      <c r="F303" s="23">
        <f>SUM(D303)</f>
        <v>21.328</v>
      </c>
      <c r="G303" s="1">
        <v>7.492</v>
      </c>
      <c r="H303" s="1">
        <v>7.49189</v>
      </c>
      <c r="I303" s="119" t="s">
        <v>327</v>
      </c>
    </row>
    <row r="304" spans="1:9" ht="57.75" customHeight="1">
      <c r="A304" s="38" t="s">
        <v>476</v>
      </c>
      <c r="B304" s="39" t="s">
        <v>478</v>
      </c>
      <c r="C304" s="2" t="s">
        <v>296</v>
      </c>
      <c r="D304" s="23">
        <v>16.744</v>
      </c>
      <c r="E304" s="26">
        <f t="shared" si="12"/>
        <v>0</v>
      </c>
      <c r="F304" s="23">
        <f>SUM(D304)</f>
        <v>16.744</v>
      </c>
      <c r="G304" s="1">
        <v>7.492</v>
      </c>
      <c r="H304" s="1">
        <v>7.49189</v>
      </c>
      <c r="I304" s="119" t="s">
        <v>327</v>
      </c>
    </row>
    <row r="305" spans="1:9" ht="57.75" customHeight="1">
      <c r="A305" s="38" t="s">
        <v>476</v>
      </c>
      <c r="B305" s="39" t="s">
        <v>478</v>
      </c>
      <c r="C305" s="2" t="s">
        <v>297</v>
      </c>
      <c r="D305" s="23">
        <v>16.014</v>
      </c>
      <c r="E305" s="26">
        <f t="shared" si="12"/>
        <v>0</v>
      </c>
      <c r="F305" s="23">
        <f>SUM(D305)</f>
        <v>16.014</v>
      </c>
      <c r="G305" s="1">
        <v>7.492</v>
      </c>
      <c r="H305" s="1">
        <v>7.49189</v>
      </c>
      <c r="I305" s="119" t="s">
        <v>327</v>
      </c>
    </row>
    <row r="306" spans="1:9" ht="57.75" customHeight="1">
      <c r="A306" s="38" t="s">
        <v>476</v>
      </c>
      <c r="B306" s="39" t="s">
        <v>478</v>
      </c>
      <c r="C306" s="2" t="s">
        <v>298</v>
      </c>
      <c r="D306" s="23">
        <v>15</v>
      </c>
      <c r="E306" s="26">
        <f t="shared" si="12"/>
        <v>0</v>
      </c>
      <c r="F306" s="23">
        <f>SUM(D306)</f>
        <v>15</v>
      </c>
      <c r="G306" s="1">
        <v>15</v>
      </c>
      <c r="H306" s="1">
        <v>0</v>
      </c>
      <c r="I306" s="119" t="s">
        <v>233</v>
      </c>
    </row>
    <row r="307" spans="1:9" ht="57" customHeight="1">
      <c r="A307" s="203" t="s">
        <v>476</v>
      </c>
      <c r="B307" s="200" t="s">
        <v>478</v>
      </c>
      <c r="C307" s="39" t="s">
        <v>218</v>
      </c>
      <c r="D307" s="1">
        <v>14805.017</v>
      </c>
      <c r="E307" s="17">
        <f t="shared" si="12"/>
        <v>2.9428080359516002</v>
      </c>
      <c r="F307" s="1">
        <f>D307-(79.512+136.904+219.26723)</f>
        <v>14369.33377</v>
      </c>
      <c r="G307" s="1">
        <f>23.974+25</f>
        <v>48.974000000000004</v>
      </c>
      <c r="H307" s="1">
        <v>23.97362</v>
      </c>
      <c r="I307" s="195" t="s">
        <v>327</v>
      </c>
    </row>
    <row r="308" spans="1:9" ht="38.25" customHeight="1">
      <c r="A308" s="203"/>
      <c r="B308" s="200"/>
      <c r="C308" s="39" t="s">
        <v>7</v>
      </c>
      <c r="D308" s="1"/>
      <c r="E308" s="17"/>
      <c r="F308" s="1"/>
      <c r="G308" s="1">
        <v>23.974</v>
      </c>
      <c r="H308" s="1">
        <v>23.974</v>
      </c>
      <c r="I308" s="195"/>
    </row>
    <row r="309" spans="1:9" ht="44.25" customHeight="1">
      <c r="A309" s="203" t="s">
        <v>476</v>
      </c>
      <c r="B309" s="199" t="s">
        <v>478</v>
      </c>
      <c r="C309" s="39" t="s">
        <v>299</v>
      </c>
      <c r="D309" s="1">
        <v>2489.88</v>
      </c>
      <c r="E309" s="17">
        <f t="shared" si="12"/>
        <v>47.17625829357238</v>
      </c>
      <c r="F309" s="1">
        <f>SUM(D309-98.21146-96.41545-283.54791-696.4574)</f>
        <v>1315.2477800000001</v>
      </c>
      <c r="G309" s="1">
        <v>1315.248</v>
      </c>
      <c r="H309" s="1">
        <v>357.58275</v>
      </c>
      <c r="I309" s="184" t="s">
        <v>300</v>
      </c>
    </row>
    <row r="310" spans="1:15" s="16" customFormat="1" ht="40.5" customHeight="1">
      <c r="A310" s="203"/>
      <c r="B310" s="199"/>
      <c r="C310" s="39" t="s">
        <v>7</v>
      </c>
      <c r="D310" s="1"/>
      <c r="E310" s="17"/>
      <c r="F310" s="1"/>
      <c r="G310" s="1">
        <v>0.877</v>
      </c>
      <c r="H310" s="1">
        <v>0.877</v>
      </c>
      <c r="I310" s="184"/>
      <c r="J310" s="8"/>
      <c r="K310" s="8"/>
      <c r="L310" s="8"/>
      <c r="M310" s="8"/>
      <c r="O310" s="15"/>
    </row>
    <row r="311" spans="1:9" ht="38.25" customHeight="1">
      <c r="A311" s="203" t="s">
        <v>476</v>
      </c>
      <c r="B311" s="200" t="s">
        <v>478</v>
      </c>
      <c r="C311" s="39" t="s">
        <v>217</v>
      </c>
      <c r="D311" s="1">
        <v>8969.88</v>
      </c>
      <c r="E311" s="17">
        <f t="shared" si="12"/>
        <v>4.6343031344900965</v>
      </c>
      <c r="F311" s="1">
        <f>D311-(60.3528+37.0812+318.25743)</f>
        <v>8554.188569999998</v>
      </c>
      <c r="G311" s="1">
        <f>25.426+10</f>
        <v>35.426</v>
      </c>
      <c r="H311" s="1">
        <v>30.4963</v>
      </c>
      <c r="I311" s="184" t="s">
        <v>354</v>
      </c>
    </row>
    <row r="312" spans="1:9" ht="43.5" customHeight="1">
      <c r="A312" s="203"/>
      <c r="B312" s="200"/>
      <c r="C312" s="39" t="s">
        <v>7</v>
      </c>
      <c r="D312" s="1"/>
      <c r="E312" s="17"/>
      <c r="F312" s="1"/>
      <c r="G312" s="1">
        <v>25.426</v>
      </c>
      <c r="H312" s="1">
        <v>25.426</v>
      </c>
      <c r="I312" s="184"/>
    </row>
    <row r="313" spans="1:9" ht="96.75" customHeight="1">
      <c r="A313" s="203" t="s">
        <v>476</v>
      </c>
      <c r="B313" s="200" t="s">
        <v>478</v>
      </c>
      <c r="C313" s="39" t="s">
        <v>432</v>
      </c>
      <c r="D313" s="1">
        <v>7534.352</v>
      </c>
      <c r="E313" s="17">
        <f t="shared" si="12"/>
        <v>3.8576097851547075</v>
      </c>
      <c r="F313" s="1">
        <f>D313-106.63782-184.00808</f>
        <v>7243.7061</v>
      </c>
      <c r="G313" s="1">
        <v>57.141</v>
      </c>
      <c r="H313" s="1">
        <v>7.23989</v>
      </c>
      <c r="I313" s="195" t="s">
        <v>249</v>
      </c>
    </row>
    <row r="314" spans="1:9" ht="37.5" customHeight="1">
      <c r="A314" s="203"/>
      <c r="B314" s="200"/>
      <c r="C314" s="39" t="s">
        <v>7</v>
      </c>
      <c r="D314" s="1"/>
      <c r="E314" s="17"/>
      <c r="F314" s="1"/>
      <c r="G314" s="1">
        <v>3.8</v>
      </c>
      <c r="H314" s="1">
        <v>3.8</v>
      </c>
      <c r="I314" s="195"/>
    </row>
    <row r="315" spans="1:9" ht="95.25" customHeight="1">
      <c r="A315" s="38" t="s">
        <v>476</v>
      </c>
      <c r="B315" s="39" t="s">
        <v>478</v>
      </c>
      <c r="C315" s="98" t="s">
        <v>301</v>
      </c>
      <c r="D315" s="1">
        <v>71.285</v>
      </c>
      <c r="E315" s="17">
        <f t="shared" si="12"/>
        <v>0</v>
      </c>
      <c r="F315" s="1">
        <f>SUM(D315)</f>
        <v>71.285</v>
      </c>
      <c r="G315" s="1">
        <v>71.285</v>
      </c>
      <c r="H315" s="1">
        <v>0</v>
      </c>
      <c r="I315" s="119" t="s">
        <v>233</v>
      </c>
    </row>
    <row r="316" spans="1:9" ht="60.75" customHeight="1">
      <c r="A316" s="38" t="s">
        <v>476</v>
      </c>
      <c r="B316" s="39" t="s">
        <v>478</v>
      </c>
      <c r="C316" s="39" t="s">
        <v>16</v>
      </c>
      <c r="D316" s="1">
        <v>2037.432</v>
      </c>
      <c r="E316" s="17">
        <f>100-(F316/D316)*100</f>
        <v>10.877863899261428</v>
      </c>
      <c r="F316" s="1">
        <f>D316-75.93782-145.69126</f>
        <v>1815.8029199999999</v>
      </c>
      <c r="G316" s="1">
        <v>31.788</v>
      </c>
      <c r="H316" s="1">
        <v>31.7879</v>
      </c>
      <c r="I316" s="119" t="s">
        <v>328</v>
      </c>
    </row>
    <row r="317" spans="1:9" ht="60" customHeight="1">
      <c r="A317" s="203" t="s">
        <v>476</v>
      </c>
      <c r="B317" s="199" t="s">
        <v>478</v>
      </c>
      <c r="C317" s="39" t="s">
        <v>41</v>
      </c>
      <c r="D317" s="1">
        <v>4500</v>
      </c>
      <c r="E317" s="17">
        <f>100-(F317/D317)*100</f>
        <v>6.00868088888889</v>
      </c>
      <c r="F317" s="1">
        <f>D317-169.644-100.74664</f>
        <v>4229.6093599999995</v>
      </c>
      <c r="G317" s="1">
        <v>65.675</v>
      </c>
      <c r="H317" s="1">
        <v>35.67428</v>
      </c>
      <c r="I317" s="195" t="s">
        <v>327</v>
      </c>
    </row>
    <row r="318" spans="1:15" s="16" customFormat="1" ht="37.5" customHeight="1">
      <c r="A318" s="203"/>
      <c r="B318" s="199"/>
      <c r="C318" s="39" t="s">
        <v>7</v>
      </c>
      <c r="D318" s="1"/>
      <c r="E318" s="17"/>
      <c r="F318" s="1"/>
      <c r="G318" s="1">
        <v>35.675</v>
      </c>
      <c r="H318" s="1">
        <v>35.675</v>
      </c>
      <c r="I318" s="195"/>
      <c r="J318" s="8"/>
      <c r="K318" s="8"/>
      <c r="L318" s="8"/>
      <c r="M318" s="8"/>
      <c r="O318" s="15"/>
    </row>
    <row r="319" spans="1:15" s="16" customFormat="1" ht="115.5" customHeight="1">
      <c r="A319" s="38" t="s">
        <v>476</v>
      </c>
      <c r="B319" s="39" t="s">
        <v>478</v>
      </c>
      <c r="C319" s="39" t="s">
        <v>313</v>
      </c>
      <c r="D319" s="1">
        <v>1701.166</v>
      </c>
      <c r="E319" s="17">
        <f>100-(F319/D319)*100</f>
        <v>0</v>
      </c>
      <c r="F319" s="1">
        <f>SUM(D319)</f>
        <v>1701.166</v>
      </c>
      <c r="G319" s="92">
        <v>1053.279</v>
      </c>
      <c r="H319" s="92">
        <v>38.64</v>
      </c>
      <c r="I319" s="119" t="s">
        <v>314</v>
      </c>
      <c r="J319" s="8"/>
      <c r="K319" s="8"/>
      <c r="L319" s="8"/>
      <c r="M319" s="8"/>
      <c r="O319" s="15"/>
    </row>
    <row r="320" spans="1:9" ht="56.25">
      <c r="A320" s="203" t="s">
        <v>476</v>
      </c>
      <c r="B320" s="200" t="s">
        <v>478</v>
      </c>
      <c r="C320" s="39" t="s">
        <v>204</v>
      </c>
      <c r="D320" s="1">
        <v>12340.582</v>
      </c>
      <c r="E320" s="17">
        <f>100-(F320/D320)*100</f>
        <v>1.53930171202623</v>
      </c>
      <c r="F320" s="1">
        <f>D320-83.80703-106.15176</f>
        <v>12150.62321</v>
      </c>
      <c r="G320" s="1">
        <v>35.727</v>
      </c>
      <c r="H320" s="1">
        <v>11.81917</v>
      </c>
      <c r="I320" s="195" t="s">
        <v>250</v>
      </c>
    </row>
    <row r="321" spans="1:9" ht="39.75" customHeight="1">
      <c r="A321" s="203"/>
      <c r="B321" s="200"/>
      <c r="C321" s="39" t="s">
        <v>7</v>
      </c>
      <c r="D321" s="1"/>
      <c r="E321" s="17"/>
      <c r="F321" s="1"/>
      <c r="G321" s="1">
        <v>9.117</v>
      </c>
      <c r="H321" s="1">
        <v>9.117</v>
      </c>
      <c r="I321" s="195"/>
    </row>
    <row r="322" spans="1:9" ht="52.5" customHeight="1">
      <c r="A322" s="203" t="s">
        <v>476</v>
      </c>
      <c r="B322" s="200" t="s">
        <v>478</v>
      </c>
      <c r="C322" s="39" t="s">
        <v>202</v>
      </c>
      <c r="D322" s="1">
        <v>344.158</v>
      </c>
      <c r="E322" s="17">
        <f>100-(F322/D322)*100</f>
        <v>77.95700811836423</v>
      </c>
      <c r="F322" s="1">
        <f>D322-268.29528</f>
        <v>75.86272000000002</v>
      </c>
      <c r="G322" s="1">
        <f>0.539+75.324</f>
        <v>75.863</v>
      </c>
      <c r="H322" s="1">
        <v>0.53825</v>
      </c>
      <c r="I322" s="195" t="s">
        <v>327</v>
      </c>
    </row>
    <row r="323" spans="1:9" ht="36.75" customHeight="1">
      <c r="A323" s="203"/>
      <c r="B323" s="200"/>
      <c r="C323" s="39" t="s">
        <v>7</v>
      </c>
      <c r="D323" s="1"/>
      <c r="E323" s="17"/>
      <c r="F323" s="1"/>
      <c r="G323" s="1">
        <v>0.539</v>
      </c>
      <c r="H323" s="1">
        <v>0.539</v>
      </c>
      <c r="I323" s="195"/>
    </row>
    <row r="324" spans="1:9" ht="55.5" customHeight="1">
      <c r="A324" s="38" t="s">
        <v>476</v>
      </c>
      <c r="B324" s="39" t="s">
        <v>478</v>
      </c>
      <c r="C324" s="28" t="s">
        <v>211</v>
      </c>
      <c r="D324" s="1">
        <v>20146.297</v>
      </c>
      <c r="E324" s="17">
        <f>100-(F324/D324)*100</f>
        <v>1.9964686314313695</v>
      </c>
      <c r="F324" s="1">
        <f>SUM(D324-33.078-159.93627-23.72454-185.47569)</f>
        <v>19744.0825</v>
      </c>
      <c r="G324" s="1">
        <v>44.668</v>
      </c>
      <c r="H324" s="1">
        <v>0</v>
      </c>
      <c r="I324" s="119" t="s">
        <v>233</v>
      </c>
    </row>
    <row r="325" spans="1:9" ht="39.75" customHeight="1">
      <c r="A325" s="38" t="s">
        <v>476</v>
      </c>
      <c r="B325" s="39" t="s">
        <v>478</v>
      </c>
      <c r="C325" s="28" t="s">
        <v>203</v>
      </c>
      <c r="D325" s="1">
        <v>389.279</v>
      </c>
      <c r="E325" s="17">
        <f>100-(F325/D325)*100</f>
        <v>82.4145330213035</v>
      </c>
      <c r="F325" s="1">
        <f>SUM(D325-60-1.5211-259.30137)</f>
        <v>68.45652999999999</v>
      </c>
      <c r="G325" s="1">
        <f>68.457-60</f>
        <v>8.456999999999994</v>
      </c>
      <c r="H325" s="1">
        <v>0</v>
      </c>
      <c r="I325" s="119" t="s">
        <v>233</v>
      </c>
    </row>
    <row r="326" spans="1:9" ht="109.5" customHeight="1">
      <c r="A326" s="38" t="s">
        <v>476</v>
      </c>
      <c r="B326" s="39" t="s">
        <v>478</v>
      </c>
      <c r="C326" s="39" t="s">
        <v>17</v>
      </c>
      <c r="D326" s="1">
        <v>26444.077</v>
      </c>
      <c r="E326" s="19">
        <v>0</v>
      </c>
      <c r="F326" s="1">
        <f>SUM(D326-2968.98013-13451.95099-271.10955)</f>
        <v>9752.036330000003</v>
      </c>
      <c r="G326" s="1">
        <v>32.901</v>
      </c>
      <c r="H326" s="1">
        <v>32.90092</v>
      </c>
      <c r="I326" s="119" t="s">
        <v>329</v>
      </c>
    </row>
    <row r="327" spans="1:9" ht="72" customHeight="1">
      <c r="A327" s="38" t="s">
        <v>476</v>
      </c>
      <c r="B327" s="39" t="s">
        <v>478</v>
      </c>
      <c r="C327" s="39" t="s">
        <v>18</v>
      </c>
      <c r="D327" s="1">
        <v>999.986</v>
      </c>
      <c r="E327" s="17">
        <f aca="true" t="shared" si="13" ref="E327:E338">100-(F327/D327)*100</f>
        <v>4.585515197212757</v>
      </c>
      <c r="F327" s="1">
        <f>SUM(D327-45.85451)</f>
        <v>954.13149</v>
      </c>
      <c r="G327" s="1">
        <v>1.507</v>
      </c>
      <c r="H327" s="1">
        <v>1.50664</v>
      </c>
      <c r="I327" s="119" t="s">
        <v>327</v>
      </c>
    </row>
    <row r="328" spans="1:9" ht="76.5" customHeight="1">
      <c r="A328" s="38" t="s">
        <v>476</v>
      </c>
      <c r="B328" s="39" t="s">
        <v>478</v>
      </c>
      <c r="C328" s="39" t="s">
        <v>19</v>
      </c>
      <c r="D328" s="1">
        <v>987.421</v>
      </c>
      <c r="E328" s="17">
        <f t="shared" si="13"/>
        <v>4.226234807645369</v>
      </c>
      <c r="F328" s="1">
        <f>SUM(D328-41.73073)</f>
        <v>945.69027</v>
      </c>
      <c r="G328" s="1">
        <v>1.506</v>
      </c>
      <c r="H328" s="1">
        <v>1.50532</v>
      </c>
      <c r="I328" s="119" t="s">
        <v>327</v>
      </c>
    </row>
    <row r="329" spans="1:9" ht="73.5" customHeight="1">
      <c r="A329" s="38" t="s">
        <v>476</v>
      </c>
      <c r="B329" s="39" t="s">
        <v>478</v>
      </c>
      <c r="C329" s="39" t="s">
        <v>20</v>
      </c>
      <c r="D329" s="1">
        <v>882.103</v>
      </c>
      <c r="E329" s="17">
        <f t="shared" si="13"/>
        <v>4.2919817753709</v>
      </c>
      <c r="F329" s="1">
        <f>SUM(D329-37.8597)</f>
        <v>844.2433</v>
      </c>
      <c r="G329" s="1">
        <v>1.394</v>
      </c>
      <c r="H329" s="1">
        <v>1.39372</v>
      </c>
      <c r="I329" s="119" t="s">
        <v>327</v>
      </c>
    </row>
    <row r="330" spans="1:9" ht="61.5" customHeight="1">
      <c r="A330" s="38" t="s">
        <v>476</v>
      </c>
      <c r="B330" s="39" t="s">
        <v>478</v>
      </c>
      <c r="C330" s="39" t="s">
        <v>21</v>
      </c>
      <c r="D330" s="1">
        <v>999.994</v>
      </c>
      <c r="E330" s="17">
        <f t="shared" si="13"/>
        <v>4.3136898821393</v>
      </c>
      <c r="F330" s="1">
        <f>SUM(D330-43.13664)</f>
        <v>956.85736</v>
      </c>
      <c r="G330" s="1">
        <v>1.519</v>
      </c>
      <c r="H330" s="1">
        <v>1.51816</v>
      </c>
      <c r="I330" s="119" t="s">
        <v>327</v>
      </c>
    </row>
    <row r="331" spans="1:9" ht="80.25" customHeight="1">
      <c r="A331" s="38" t="s">
        <v>476</v>
      </c>
      <c r="B331" s="39" t="s">
        <v>478</v>
      </c>
      <c r="C331" s="39" t="s">
        <v>302</v>
      </c>
      <c r="D331" s="1">
        <v>999.998</v>
      </c>
      <c r="E331" s="17">
        <f t="shared" si="13"/>
        <v>3.881165762331534</v>
      </c>
      <c r="F331" s="1">
        <f>SUM(D331-38.81158)</f>
        <v>961.18642</v>
      </c>
      <c r="G331" s="1">
        <v>1.521</v>
      </c>
      <c r="H331" s="1">
        <v>1.52036</v>
      </c>
      <c r="I331" s="119" t="s">
        <v>327</v>
      </c>
    </row>
    <row r="332" spans="1:9" ht="60" customHeight="1">
      <c r="A332" s="203" t="s">
        <v>476</v>
      </c>
      <c r="B332" s="199" t="s">
        <v>478</v>
      </c>
      <c r="C332" s="39" t="s">
        <v>136</v>
      </c>
      <c r="D332" s="1">
        <v>1000</v>
      </c>
      <c r="E332" s="17">
        <f t="shared" si="13"/>
        <v>0</v>
      </c>
      <c r="F332" s="1">
        <v>1000</v>
      </c>
      <c r="G332" s="1">
        <v>57.607</v>
      </c>
      <c r="H332" s="1">
        <v>57.6066</v>
      </c>
      <c r="I332" s="195" t="s">
        <v>251</v>
      </c>
    </row>
    <row r="333" spans="1:15" s="16" customFormat="1" ht="46.5" customHeight="1">
      <c r="A333" s="203"/>
      <c r="B333" s="199"/>
      <c r="C333" s="39" t="s">
        <v>7</v>
      </c>
      <c r="D333" s="1"/>
      <c r="E333" s="17"/>
      <c r="F333" s="1"/>
      <c r="G333" s="1">
        <v>24</v>
      </c>
      <c r="H333" s="1">
        <v>24</v>
      </c>
      <c r="I333" s="195"/>
      <c r="J333" s="8"/>
      <c r="K333" s="8"/>
      <c r="L333" s="8"/>
      <c r="M333" s="8"/>
      <c r="O333" s="15"/>
    </row>
    <row r="334" spans="1:15" s="16" customFormat="1" ht="60" customHeight="1">
      <c r="A334" s="38" t="s">
        <v>476</v>
      </c>
      <c r="B334" s="39" t="s">
        <v>478</v>
      </c>
      <c r="C334" s="39" t="s">
        <v>441</v>
      </c>
      <c r="D334" s="1">
        <v>220</v>
      </c>
      <c r="E334" s="17">
        <v>0</v>
      </c>
      <c r="F334" s="1">
        <v>220</v>
      </c>
      <c r="G334" s="1">
        <v>220</v>
      </c>
      <c r="H334" s="1">
        <v>148.21968</v>
      </c>
      <c r="I334" s="119" t="s">
        <v>242</v>
      </c>
      <c r="J334" s="8"/>
      <c r="K334" s="8"/>
      <c r="L334" s="8"/>
      <c r="M334" s="8"/>
      <c r="O334" s="15"/>
    </row>
    <row r="335" spans="1:15" s="16" customFormat="1" ht="96.75" customHeight="1">
      <c r="A335" s="38" t="s">
        <v>476</v>
      </c>
      <c r="B335" s="39" t="s">
        <v>478</v>
      </c>
      <c r="C335" s="39" t="s">
        <v>452</v>
      </c>
      <c r="D335" s="1">
        <v>85</v>
      </c>
      <c r="E335" s="17">
        <v>0</v>
      </c>
      <c r="F335" s="1">
        <v>85</v>
      </c>
      <c r="G335" s="1">
        <v>85</v>
      </c>
      <c r="H335" s="1">
        <v>0</v>
      </c>
      <c r="I335" s="119" t="s">
        <v>233</v>
      </c>
      <c r="J335" s="8"/>
      <c r="K335" s="8"/>
      <c r="L335" s="8"/>
      <c r="M335" s="8"/>
      <c r="O335" s="15"/>
    </row>
    <row r="336" spans="1:9" ht="116.25" customHeight="1">
      <c r="A336" s="38" t="s">
        <v>476</v>
      </c>
      <c r="B336" s="39" t="s">
        <v>478</v>
      </c>
      <c r="C336" s="39" t="s">
        <v>22</v>
      </c>
      <c r="D336" s="1">
        <v>820.137</v>
      </c>
      <c r="E336" s="17">
        <f t="shared" si="13"/>
        <v>22.53925868482949</v>
      </c>
      <c r="F336" s="1">
        <f>SUM(D336-184.8528)</f>
        <v>635.2841999999999</v>
      </c>
      <c r="G336" s="1">
        <v>322.874</v>
      </c>
      <c r="H336" s="1">
        <v>322.87393</v>
      </c>
      <c r="I336" s="119" t="s">
        <v>330</v>
      </c>
    </row>
    <row r="337" spans="1:9" ht="100.5" customHeight="1">
      <c r="A337" s="38" t="s">
        <v>476</v>
      </c>
      <c r="B337" s="39" t="s">
        <v>478</v>
      </c>
      <c r="C337" s="39" t="s">
        <v>137</v>
      </c>
      <c r="D337" s="1">
        <v>811.974</v>
      </c>
      <c r="E337" s="17">
        <f>100-(F337/D337)*100</f>
        <v>0</v>
      </c>
      <c r="F337" s="1">
        <f>SUM(D337)</f>
        <v>811.974</v>
      </c>
      <c r="G337" s="1">
        <v>703.049</v>
      </c>
      <c r="H337" s="1">
        <v>703.04807</v>
      </c>
      <c r="I337" s="119" t="s">
        <v>355</v>
      </c>
    </row>
    <row r="338" spans="1:9" ht="39.75" customHeight="1">
      <c r="A338" s="203" t="s">
        <v>476</v>
      </c>
      <c r="B338" s="199" t="s">
        <v>478</v>
      </c>
      <c r="C338" s="39" t="s">
        <v>252</v>
      </c>
      <c r="D338" s="1">
        <v>4035.534</v>
      </c>
      <c r="E338" s="17">
        <f t="shared" si="13"/>
        <v>51.40472586775381</v>
      </c>
      <c r="F338" s="1">
        <f>D338-3.48524-2070.96995</f>
        <v>1961.07881</v>
      </c>
      <c r="G338" s="92">
        <v>1306.551</v>
      </c>
      <c r="H338" s="92">
        <v>427.07555</v>
      </c>
      <c r="I338" s="195" t="s">
        <v>356</v>
      </c>
    </row>
    <row r="339" spans="1:15" s="16" customFormat="1" ht="38.25" customHeight="1">
      <c r="A339" s="203"/>
      <c r="B339" s="199"/>
      <c r="C339" s="39" t="s">
        <v>7</v>
      </c>
      <c r="D339" s="1"/>
      <c r="E339" s="17"/>
      <c r="F339" s="1"/>
      <c r="G339" s="1">
        <v>141.689</v>
      </c>
      <c r="H339" s="1">
        <v>141.689</v>
      </c>
      <c r="I339" s="195"/>
      <c r="J339" s="8"/>
      <c r="K339" s="8"/>
      <c r="L339" s="8"/>
      <c r="M339" s="8"/>
      <c r="O339" s="15"/>
    </row>
    <row r="340" spans="1:9" ht="78.75" customHeight="1">
      <c r="A340" s="38" t="s">
        <v>476</v>
      </c>
      <c r="B340" s="2" t="s">
        <v>478</v>
      </c>
      <c r="C340" s="2" t="s">
        <v>189</v>
      </c>
      <c r="D340" s="1">
        <v>4483.6</v>
      </c>
      <c r="E340" s="17">
        <f>100-(F340/D340)*100</f>
        <v>1.994890712820066</v>
      </c>
      <c r="F340" s="1">
        <f>D340-89.44292</f>
        <v>4394.15708</v>
      </c>
      <c r="G340" s="1">
        <v>0.123</v>
      </c>
      <c r="H340" s="1">
        <v>0.12212</v>
      </c>
      <c r="I340" s="119" t="s">
        <v>327</v>
      </c>
    </row>
    <row r="341" spans="1:9" ht="55.5" customHeight="1">
      <c r="A341" s="203" t="s">
        <v>476</v>
      </c>
      <c r="B341" s="199" t="s">
        <v>478</v>
      </c>
      <c r="C341" s="39" t="s">
        <v>253</v>
      </c>
      <c r="D341" s="1">
        <v>560</v>
      </c>
      <c r="E341" s="17">
        <f>100-(F341/D341)*100</f>
        <v>0</v>
      </c>
      <c r="F341" s="1">
        <f>D341</f>
        <v>560</v>
      </c>
      <c r="G341" s="1">
        <v>60</v>
      </c>
      <c r="H341" s="1">
        <v>50</v>
      </c>
      <c r="I341" s="195" t="s">
        <v>327</v>
      </c>
    </row>
    <row r="342" spans="1:15" s="16" customFormat="1" ht="38.25" customHeight="1">
      <c r="A342" s="203"/>
      <c r="B342" s="199"/>
      <c r="C342" s="39" t="s">
        <v>7</v>
      </c>
      <c r="D342" s="1"/>
      <c r="E342" s="17"/>
      <c r="F342" s="1"/>
      <c r="G342" s="1">
        <v>50</v>
      </c>
      <c r="H342" s="1">
        <v>50</v>
      </c>
      <c r="I342" s="195"/>
      <c r="J342" s="8"/>
      <c r="K342" s="8"/>
      <c r="L342" s="8"/>
      <c r="M342" s="8"/>
      <c r="O342" s="15"/>
    </row>
    <row r="343" spans="1:9" ht="61.5" customHeight="1">
      <c r="A343" s="203" t="s">
        <v>476</v>
      </c>
      <c r="B343" s="199" t="s">
        <v>478</v>
      </c>
      <c r="C343" s="39" t="s">
        <v>570</v>
      </c>
      <c r="D343" s="1">
        <v>1802.026</v>
      </c>
      <c r="E343" s="17">
        <f>100-(F343/D343)*100</f>
        <v>2.662203542013259</v>
      </c>
      <c r="F343" s="1">
        <f>SUM(D343-47.9736)</f>
        <v>1754.0524</v>
      </c>
      <c r="G343" s="1">
        <v>55.998</v>
      </c>
      <c r="H343" s="1">
        <v>28.99732</v>
      </c>
      <c r="I343" s="195" t="s">
        <v>327</v>
      </c>
    </row>
    <row r="344" spans="1:15" s="16" customFormat="1" ht="38.25" customHeight="1">
      <c r="A344" s="203"/>
      <c r="B344" s="199"/>
      <c r="C344" s="39" t="s">
        <v>7</v>
      </c>
      <c r="D344" s="1"/>
      <c r="E344" s="17"/>
      <c r="F344" s="1"/>
      <c r="G344" s="1">
        <v>28.998</v>
      </c>
      <c r="H344" s="1">
        <v>28.998</v>
      </c>
      <c r="I344" s="195"/>
      <c r="J344" s="8"/>
      <c r="K344" s="8"/>
      <c r="L344" s="8"/>
      <c r="M344" s="8"/>
      <c r="O344" s="15"/>
    </row>
    <row r="345" spans="1:9" ht="57.75" customHeight="1">
      <c r="A345" s="38" t="s">
        <v>476</v>
      </c>
      <c r="B345" s="39" t="s">
        <v>478</v>
      </c>
      <c r="C345" s="28" t="s">
        <v>254</v>
      </c>
      <c r="D345" s="29">
        <v>19003</v>
      </c>
      <c r="E345" s="17">
        <f>100-(F345/D345)*100</f>
        <v>0</v>
      </c>
      <c r="F345" s="29">
        <f>SUM(D345)</f>
        <v>19003</v>
      </c>
      <c r="G345" s="29">
        <f>400-100.423</f>
        <v>299.577</v>
      </c>
      <c r="H345" s="29">
        <v>136.90536</v>
      </c>
      <c r="I345" s="195" t="s">
        <v>357</v>
      </c>
    </row>
    <row r="346" spans="1:9" ht="41.25" customHeight="1">
      <c r="A346" s="38" t="s">
        <v>476</v>
      </c>
      <c r="B346" s="28" t="s">
        <v>478</v>
      </c>
      <c r="C346" s="20" t="s">
        <v>496</v>
      </c>
      <c r="D346" s="29">
        <v>1200</v>
      </c>
      <c r="E346" s="17">
        <f>100-(F346/D346)*100</f>
        <v>0</v>
      </c>
      <c r="F346" s="29">
        <v>1200</v>
      </c>
      <c r="G346" s="29">
        <f>200-19.505-60</f>
        <v>120.495</v>
      </c>
      <c r="H346" s="29">
        <v>38.81773</v>
      </c>
      <c r="I346" s="195"/>
    </row>
    <row r="347" spans="1:9" ht="94.5" customHeight="1">
      <c r="A347" s="38" t="s">
        <v>476</v>
      </c>
      <c r="B347" s="28" t="s">
        <v>478</v>
      </c>
      <c r="C347" s="39" t="s">
        <v>210</v>
      </c>
      <c r="D347" s="29">
        <v>509</v>
      </c>
      <c r="E347" s="17">
        <f>100-(F347/D347)*100</f>
        <v>64.63654223968567</v>
      </c>
      <c r="F347" s="29">
        <v>180</v>
      </c>
      <c r="G347" s="29">
        <v>5</v>
      </c>
      <c r="H347" s="29">
        <v>0</v>
      </c>
      <c r="I347" s="119" t="s">
        <v>233</v>
      </c>
    </row>
    <row r="348" spans="1:9" ht="44.25" customHeight="1">
      <c r="A348" s="203" t="s">
        <v>476</v>
      </c>
      <c r="B348" s="199" t="s">
        <v>478</v>
      </c>
      <c r="C348" s="28" t="s">
        <v>491</v>
      </c>
      <c r="D348" s="29">
        <v>224.328</v>
      </c>
      <c r="E348" s="17">
        <f>100-(F348/D348)*100</f>
        <v>0</v>
      </c>
      <c r="F348" s="29">
        <v>224.328</v>
      </c>
      <c r="G348" s="29">
        <f>224.328-195.587</f>
        <v>28.741000000000014</v>
      </c>
      <c r="H348" s="29">
        <v>27.8161</v>
      </c>
      <c r="I348" s="195" t="s">
        <v>390</v>
      </c>
    </row>
    <row r="349" spans="1:15" s="16" customFormat="1" ht="37.5" customHeight="1">
      <c r="A349" s="203"/>
      <c r="B349" s="199"/>
      <c r="C349" s="39" t="s">
        <v>7</v>
      </c>
      <c r="D349" s="1"/>
      <c r="E349" s="17"/>
      <c r="F349" s="1"/>
      <c r="G349" s="1">
        <v>27.421</v>
      </c>
      <c r="H349" s="1">
        <v>27.421</v>
      </c>
      <c r="I349" s="178"/>
      <c r="J349" s="8"/>
      <c r="K349" s="8"/>
      <c r="L349" s="8"/>
      <c r="M349" s="8"/>
      <c r="O349" s="15"/>
    </row>
    <row r="350" spans="1:15" s="16" customFormat="1" ht="47.25" customHeight="1">
      <c r="A350" s="38" t="s">
        <v>476</v>
      </c>
      <c r="B350" s="39" t="s">
        <v>478</v>
      </c>
      <c r="C350" s="127" t="s">
        <v>451</v>
      </c>
      <c r="D350" s="1">
        <v>199.007</v>
      </c>
      <c r="E350" s="17">
        <v>0</v>
      </c>
      <c r="F350" s="1">
        <v>199.007</v>
      </c>
      <c r="G350" s="1">
        <v>24.306</v>
      </c>
      <c r="H350" s="1">
        <v>0</v>
      </c>
      <c r="I350" s="119" t="s">
        <v>233</v>
      </c>
      <c r="J350" s="8"/>
      <c r="K350" s="8"/>
      <c r="L350" s="8"/>
      <c r="M350" s="8"/>
      <c r="O350" s="15"/>
    </row>
    <row r="351" spans="1:15" s="16" customFormat="1" ht="57" customHeight="1">
      <c r="A351" s="38" t="s">
        <v>476</v>
      </c>
      <c r="B351" s="39" t="s">
        <v>478</v>
      </c>
      <c r="C351" s="39" t="s">
        <v>450</v>
      </c>
      <c r="D351" s="1">
        <v>170.506</v>
      </c>
      <c r="E351" s="17">
        <v>0</v>
      </c>
      <c r="F351" s="29">
        <v>170.506</v>
      </c>
      <c r="G351" s="1">
        <v>24.306</v>
      </c>
      <c r="H351" s="1">
        <v>0</v>
      </c>
      <c r="I351" s="119" t="s">
        <v>361</v>
      </c>
      <c r="J351" s="8"/>
      <c r="K351" s="8"/>
      <c r="L351" s="8"/>
      <c r="M351" s="8"/>
      <c r="O351" s="15"/>
    </row>
    <row r="352" spans="1:9" ht="48.75" customHeight="1">
      <c r="A352" s="203" t="s">
        <v>476</v>
      </c>
      <c r="B352" s="199" t="s">
        <v>478</v>
      </c>
      <c r="C352" s="28" t="s">
        <v>492</v>
      </c>
      <c r="D352" s="29">
        <v>206.191</v>
      </c>
      <c r="E352" s="17">
        <f>100-(F352/D352)*100</f>
        <v>0</v>
      </c>
      <c r="F352" s="29">
        <v>206.191</v>
      </c>
      <c r="G352" s="29">
        <f>206.191-180.412</f>
        <v>25.778999999999996</v>
      </c>
      <c r="H352" s="29">
        <v>24.8546</v>
      </c>
      <c r="I352" s="195" t="s">
        <v>390</v>
      </c>
    </row>
    <row r="353" spans="1:15" s="16" customFormat="1" ht="39.75" customHeight="1">
      <c r="A353" s="203"/>
      <c r="B353" s="199"/>
      <c r="C353" s="39" t="s">
        <v>7</v>
      </c>
      <c r="D353" s="1"/>
      <c r="E353" s="17"/>
      <c r="F353" s="1"/>
      <c r="G353" s="1">
        <v>24.459</v>
      </c>
      <c r="H353" s="1">
        <v>24.459</v>
      </c>
      <c r="I353" s="178"/>
      <c r="J353" s="8"/>
      <c r="K353" s="8"/>
      <c r="L353" s="8"/>
      <c r="M353" s="8"/>
      <c r="O353" s="15"/>
    </row>
    <row r="354" spans="1:9" ht="44.25" customHeight="1">
      <c r="A354" s="203" t="s">
        <v>476</v>
      </c>
      <c r="B354" s="199" t="s">
        <v>478</v>
      </c>
      <c r="C354" s="28" t="s">
        <v>498</v>
      </c>
      <c r="D354" s="29">
        <v>173.866</v>
      </c>
      <c r="E354" s="17">
        <f>100-(F354/D354)*100</f>
        <v>0</v>
      </c>
      <c r="F354" s="29">
        <v>173.866</v>
      </c>
      <c r="G354" s="29">
        <f>173.866-148.087</f>
        <v>25.779000000000025</v>
      </c>
      <c r="H354" s="29">
        <v>24.8546</v>
      </c>
      <c r="I354" s="195" t="s">
        <v>390</v>
      </c>
    </row>
    <row r="355" spans="1:15" s="16" customFormat="1" ht="39" customHeight="1">
      <c r="A355" s="203"/>
      <c r="B355" s="199"/>
      <c r="C355" s="39" t="s">
        <v>7</v>
      </c>
      <c r="D355" s="1"/>
      <c r="E355" s="17"/>
      <c r="F355" s="1"/>
      <c r="G355" s="1">
        <v>24.459</v>
      </c>
      <c r="H355" s="1">
        <v>24.459</v>
      </c>
      <c r="I355" s="178"/>
      <c r="J355" s="8"/>
      <c r="K355" s="8"/>
      <c r="L355" s="8"/>
      <c r="M355" s="8"/>
      <c r="O355" s="15"/>
    </row>
    <row r="356" spans="1:9" ht="99" customHeight="1">
      <c r="A356" s="38" t="s">
        <v>476</v>
      </c>
      <c r="B356" s="39" t="s">
        <v>478</v>
      </c>
      <c r="C356" s="20" t="s">
        <v>255</v>
      </c>
      <c r="D356" s="29">
        <v>1864.696</v>
      </c>
      <c r="E356" s="17">
        <f>100-(F356/D356)*100</f>
        <v>0</v>
      </c>
      <c r="F356" s="29">
        <f>SUM(D356)</f>
        <v>1864.696</v>
      </c>
      <c r="G356" s="29">
        <v>222.588</v>
      </c>
      <c r="H356" s="29">
        <v>222.588</v>
      </c>
      <c r="I356" s="119" t="s">
        <v>390</v>
      </c>
    </row>
    <row r="357" spans="1:15" s="16" customFormat="1" ht="77.25" customHeight="1">
      <c r="A357" s="38" t="s">
        <v>476</v>
      </c>
      <c r="B357" s="39" t="s">
        <v>478</v>
      </c>
      <c r="C357" s="20" t="s">
        <v>256</v>
      </c>
      <c r="D357" s="1">
        <v>999.767</v>
      </c>
      <c r="E357" s="17">
        <f>100-(F357/D357)*100</f>
        <v>0</v>
      </c>
      <c r="F357" s="1">
        <f aca="true" t="shared" si="14" ref="F357:F362">SUM(D357)</f>
        <v>999.767</v>
      </c>
      <c r="G357" s="1">
        <f>399.767-300</f>
        <v>99.767</v>
      </c>
      <c r="H357" s="1">
        <v>0</v>
      </c>
      <c r="I357" s="119" t="s">
        <v>233</v>
      </c>
      <c r="J357" s="8"/>
      <c r="K357" s="8"/>
      <c r="L357" s="8"/>
      <c r="M357" s="8"/>
      <c r="O357" s="15"/>
    </row>
    <row r="358" spans="1:9" ht="60.75" customHeight="1">
      <c r="A358" s="38" t="s">
        <v>476</v>
      </c>
      <c r="B358" s="39" t="s">
        <v>478</v>
      </c>
      <c r="C358" s="39" t="s">
        <v>573</v>
      </c>
      <c r="D358" s="29">
        <v>160.4</v>
      </c>
      <c r="E358" s="17">
        <f aca="true" t="shared" si="15" ref="E358:E368">100-(F358/D358)*100</f>
        <v>0</v>
      </c>
      <c r="F358" s="29">
        <f t="shared" si="14"/>
        <v>160.4</v>
      </c>
      <c r="G358" s="29">
        <v>149.25</v>
      </c>
      <c r="H358" s="29">
        <v>71.25206</v>
      </c>
      <c r="I358" s="119" t="s">
        <v>242</v>
      </c>
    </row>
    <row r="359" spans="1:9" ht="59.25" customHeight="1">
      <c r="A359" s="38" t="s">
        <v>476</v>
      </c>
      <c r="B359" s="39" t="s">
        <v>478</v>
      </c>
      <c r="C359" s="39" t="s">
        <v>257</v>
      </c>
      <c r="D359" s="29">
        <v>999.431</v>
      </c>
      <c r="E359" s="17">
        <f t="shared" si="15"/>
        <v>0</v>
      </c>
      <c r="F359" s="29">
        <f t="shared" si="14"/>
        <v>999.431</v>
      </c>
      <c r="G359" s="29">
        <f>61.251-60</f>
        <v>1.2509999999999977</v>
      </c>
      <c r="H359" s="29">
        <v>0</v>
      </c>
      <c r="I359" s="119" t="s">
        <v>233</v>
      </c>
    </row>
    <row r="360" spans="1:9" ht="49.5" customHeight="1">
      <c r="A360" s="203" t="s">
        <v>476</v>
      </c>
      <c r="B360" s="200" t="s">
        <v>478</v>
      </c>
      <c r="C360" s="2" t="s">
        <v>200</v>
      </c>
      <c r="D360" s="23">
        <v>200</v>
      </c>
      <c r="E360" s="26">
        <f t="shared" si="15"/>
        <v>0</v>
      </c>
      <c r="F360" s="23">
        <f t="shared" si="14"/>
        <v>200</v>
      </c>
      <c r="G360" s="1">
        <v>71.915</v>
      </c>
      <c r="H360" s="1">
        <v>0.49496</v>
      </c>
      <c r="I360" s="195" t="s">
        <v>391</v>
      </c>
    </row>
    <row r="361" spans="1:9" ht="42.75" customHeight="1">
      <c r="A361" s="203"/>
      <c r="B361" s="200"/>
      <c r="C361" s="39" t="s">
        <v>7</v>
      </c>
      <c r="D361" s="23"/>
      <c r="E361" s="26"/>
      <c r="F361" s="23"/>
      <c r="G361" s="1">
        <v>0.495</v>
      </c>
      <c r="H361" s="1">
        <v>0.495</v>
      </c>
      <c r="I361" s="195"/>
    </row>
    <row r="362" spans="1:9" ht="83.25" customHeight="1">
      <c r="A362" s="38" t="s">
        <v>476</v>
      </c>
      <c r="B362" s="39" t="s">
        <v>478</v>
      </c>
      <c r="C362" s="39" t="s">
        <v>315</v>
      </c>
      <c r="D362" s="41">
        <v>376.904</v>
      </c>
      <c r="E362" s="17">
        <f>100-(F362/D362)*100</f>
        <v>0</v>
      </c>
      <c r="F362" s="30">
        <f t="shared" si="14"/>
        <v>376.904</v>
      </c>
      <c r="G362" s="94">
        <v>29.247</v>
      </c>
      <c r="H362" s="30">
        <v>10.86189</v>
      </c>
      <c r="I362" s="119" t="s">
        <v>242</v>
      </c>
    </row>
    <row r="363" spans="1:9" ht="59.25" customHeight="1">
      <c r="A363" s="38" t="s">
        <v>476</v>
      </c>
      <c r="B363" s="39" t="s">
        <v>478</v>
      </c>
      <c r="C363" s="39" t="s">
        <v>192</v>
      </c>
      <c r="D363" s="1">
        <v>6008</v>
      </c>
      <c r="E363" s="17">
        <f>100-(F363/D363)*100</f>
        <v>0</v>
      </c>
      <c r="F363" s="1">
        <f>SUM(D363)</f>
        <v>6008</v>
      </c>
      <c r="G363" s="1">
        <f>347.657-20</f>
        <v>327.657</v>
      </c>
      <c r="H363" s="1">
        <v>197.67332</v>
      </c>
      <c r="I363" s="119" t="s">
        <v>268</v>
      </c>
    </row>
    <row r="364" spans="1:9" ht="38.25" customHeight="1">
      <c r="A364" s="38" t="s">
        <v>476</v>
      </c>
      <c r="B364" s="39" t="s">
        <v>478</v>
      </c>
      <c r="C364" s="37" t="s">
        <v>258</v>
      </c>
      <c r="D364" s="1">
        <v>100</v>
      </c>
      <c r="E364" s="17">
        <f>100-(F364/D364)*100</f>
        <v>0</v>
      </c>
      <c r="F364" s="1">
        <f>SUM(D364)</f>
        <v>100</v>
      </c>
      <c r="G364" s="1">
        <v>100</v>
      </c>
      <c r="H364" s="1">
        <v>0</v>
      </c>
      <c r="I364" s="119" t="s">
        <v>233</v>
      </c>
    </row>
    <row r="365" spans="1:9" ht="63" customHeight="1">
      <c r="A365" s="203" t="s">
        <v>476</v>
      </c>
      <c r="B365" s="200" t="s">
        <v>478</v>
      </c>
      <c r="C365" s="39" t="s">
        <v>212</v>
      </c>
      <c r="D365" s="1">
        <v>612.917</v>
      </c>
      <c r="E365" s="17">
        <f t="shared" si="15"/>
        <v>0</v>
      </c>
      <c r="F365" s="1">
        <f>D365-0</f>
        <v>612.917</v>
      </c>
      <c r="G365" s="1">
        <v>72.349</v>
      </c>
      <c r="H365" s="1">
        <v>72.34734</v>
      </c>
      <c r="I365" s="195" t="s">
        <v>269</v>
      </c>
    </row>
    <row r="366" spans="1:9" ht="39.75" customHeight="1">
      <c r="A366" s="203"/>
      <c r="B366" s="200"/>
      <c r="C366" s="39" t="s">
        <v>7</v>
      </c>
      <c r="D366" s="1"/>
      <c r="E366" s="17"/>
      <c r="F366" s="1"/>
      <c r="G366" s="1">
        <v>71.323</v>
      </c>
      <c r="H366" s="1">
        <v>71.323</v>
      </c>
      <c r="I366" s="195"/>
    </row>
    <row r="367" spans="1:9" ht="76.5" customHeight="1">
      <c r="A367" s="38" t="s">
        <v>476</v>
      </c>
      <c r="B367" s="39" t="s">
        <v>478</v>
      </c>
      <c r="C367" s="39" t="s">
        <v>190</v>
      </c>
      <c r="D367" s="1">
        <v>353.037</v>
      </c>
      <c r="E367" s="17">
        <f t="shared" si="15"/>
        <v>0</v>
      </c>
      <c r="F367" s="1">
        <f>SUM(D367)</f>
        <v>353.037</v>
      </c>
      <c r="G367" s="1">
        <f>153.037-50</f>
        <v>103.037</v>
      </c>
      <c r="H367" s="1">
        <v>0</v>
      </c>
      <c r="I367" s="119" t="s">
        <v>233</v>
      </c>
    </row>
    <row r="368" spans="1:9" ht="74.25" customHeight="1">
      <c r="A368" s="38" t="s">
        <v>476</v>
      </c>
      <c r="B368" s="39" t="s">
        <v>478</v>
      </c>
      <c r="C368" s="39" t="s">
        <v>23</v>
      </c>
      <c r="D368" s="1">
        <v>1600.549</v>
      </c>
      <c r="E368" s="17">
        <f t="shared" si="15"/>
        <v>61.343151006310954</v>
      </c>
      <c r="F368" s="1">
        <f>1590.766-972.04419</f>
        <v>618.7218100000001</v>
      </c>
      <c r="G368" s="1">
        <v>482.465</v>
      </c>
      <c r="H368" s="1">
        <v>482.46484</v>
      </c>
      <c r="I368" s="119" t="s">
        <v>331</v>
      </c>
    </row>
    <row r="369" spans="1:9" ht="36" customHeight="1">
      <c r="A369" s="38" t="s">
        <v>476</v>
      </c>
      <c r="B369" s="39" t="s">
        <v>478</v>
      </c>
      <c r="C369" s="39" t="s">
        <v>438</v>
      </c>
      <c r="D369" s="1">
        <v>386.782</v>
      </c>
      <c r="E369" s="17">
        <f>100-(F369/D369)*100</f>
        <v>0</v>
      </c>
      <c r="F369" s="1">
        <f>SUM(D369)</f>
        <v>386.782</v>
      </c>
      <c r="G369" s="1">
        <f>386.782-100</f>
        <v>286.782</v>
      </c>
      <c r="H369" s="1">
        <v>0</v>
      </c>
      <c r="I369" s="119" t="s">
        <v>233</v>
      </c>
    </row>
    <row r="370" spans="1:9" ht="57" customHeight="1">
      <c r="A370" s="38" t="s">
        <v>476</v>
      </c>
      <c r="B370" s="39" t="s">
        <v>478</v>
      </c>
      <c r="C370" s="39" t="s">
        <v>48</v>
      </c>
      <c r="D370" s="1">
        <v>500</v>
      </c>
      <c r="E370" s="17">
        <f>100-(F370/D370)*100</f>
        <v>0</v>
      </c>
      <c r="F370" s="1">
        <v>500</v>
      </c>
      <c r="G370" s="1">
        <v>83.079</v>
      </c>
      <c r="H370" s="1">
        <v>1.54756</v>
      </c>
      <c r="I370" s="120" t="s">
        <v>242</v>
      </c>
    </row>
    <row r="371" spans="1:9" ht="42" customHeight="1">
      <c r="A371" s="204" t="s">
        <v>495</v>
      </c>
      <c r="B371" s="216" t="s">
        <v>581</v>
      </c>
      <c r="C371" s="28" t="s">
        <v>470</v>
      </c>
      <c r="D371" s="1"/>
      <c r="E371" s="17"/>
      <c r="F371" s="1"/>
      <c r="G371" s="92">
        <f>SUM(G373:G379)</f>
        <v>9764.832999999999</v>
      </c>
      <c r="H371" s="92">
        <f>SUM(H373:H379)</f>
        <v>850</v>
      </c>
      <c r="I371" s="195"/>
    </row>
    <row r="372" spans="1:9" s="33" customFormat="1" ht="18.75">
      <c r="A372" s="206"/>
      <c r="B372" s="217"/>
      <c r="C372" s="24" t="s">
        <v>467</v>
      </c>
      <c r="D372" s="31"/>
      <c r="E372" s="32"/>
      <c r="F372" s="31"/>
      <c r="G372" s="31"/>
      <c r="H372" s="31"/>
      <c r="I372" s="195"/>
    </row>
    <row r="373" spans="1:9" s="33" customFormat="1" ht="56.25">
      <c r="A373" s="206"/>
      <c r="B373" s="217"/>
      <c r="C373" s="24" t="s">
        <v>259</v>
      </c>
      <c r="D373" s="31"/>
      <c r="E373" s="32"/>
      <c r="F373" s="31"/>
      <c r="G373" s="1">
        <v>1532.52</v>
      </c>
      <c r="H373" s="1">
        <v>0</v>
      </c>
      <c r="I373" s="119" t="s">
        <v>233</v>
      </c>
    </row>
    <row r="374" spans="1:9" s="33" customFormat="1" ht="96.75" customHeight="1">
      <c r="A374" s="206"/>
      <c r="B374" s="217"/>
      <c r="C374" s="3" t="s">
        <v>231</v>
      </c>
      <c r="D374" s="31"/>
      <c r="E374" s="32"/>
      <c r="F374" s="31"/>
      <c r="G374" s="1">
        <v>225.373</v>
      </c>
      <c r="H374" s="1">
        <v>0</v>
      </c>
      <c r="I374" s="119" t="s">
        <v>233</v>
      </c>
    </row>
    <row r="375" spans="1:9" s="33" customFormat="1" ht="131.25" customHeight="1">
      <c r="A375" s="206"/>
      <c r="B375" s="217"/>
      <c r="C375" s="24" t="s">
        <v>446</v>
      </c>
      <c r="D375" s="31"/>
      <c r="E375" s="32"/>
      <c r="F375" s="31"/>
      <c r="G375" s="1">
        <f>3500-1140</f>
        <v>2360</v>
      </c>
      <c r="H375" s="1">
        <v>850</v>
      </c>
      <c r="I375" s="119" t="s">
        <v>318</v>
      </c>
    </row>
    <row r="376" spans="1:9" s="33" customFormat="1" ht="57.75" customHeight="1">
      <c r="A376" s="206"/>
      <c r="B376" s="217"/>
      <c r="C376" s="39" t="s">
        <v>439</v>
      </c>
      <c r="D376" s="31"/>
      <c r="E376" s="32"/>
      <c r="F376" s="31"/>
      <c r="G376" s="1">
        <v>174.5</v>
      </c>
      <c r="H376" s="1">
        <v>0</v>
      </c>
      <c r="I376" s="119" t="s">
        <v>233</v>
      </c>
    </row>
    <row r="377" spans="1:9" s="33" customFormat="1" ht="281.25" customHeight="1">
      <c r="A377" s="205"/>
      <c r="B377" s="218"/>
      <c r="C377" s="2" t="s">
        <v>232</v>
      </c>
      <c r="D377" s="31"/>
      <c r="E377" s="32"/>
      <c r="F377" s="31"/>
      <c r="G377" s="1">
        <v>2277.72</v>
      </c>
      <c r="H377" s="1">
        <v>0</v>
      </c>
      <c r="I377" s="119" t="s">
        <v>233</v>
      </c>
    </row>
    <row r="378" spans="1:9" s="33" customFormat="1" ht="71.25" customHeight="1">
      <c r="A378" s="204" t="s">
        <v>495</v>
      </c>
      <c r="B378" s="216" t="s">
        <v>581</v>
      </c>
      <c r="C378" s="24" t="s">
        <v>191</v>
      </c>
      <c r="D378" s="31"/>
      <c r="E378" s="32"/>
      <c r="F378" s="31"/>
      <c r="G378" s="1">
        <v>506.62</v>
      </c>
      <c r="H378" s="1">
        <v>0</v>
      </c>
      <c r="I378" s="119" t="s">
        <v>233</v>
      </c>
    </row>
    <row r="379" spans="1:9" s="33" customFormat="1" ht="56.25" customHeight="1">
      <c r="A379" s="205"/>
      <c r="B379" s="218"/>
      <c r="C379" s="39" t="s">
        <v>303</v>
      </c>
      <c r="D379" s="31"/>
      <c r="E379" s="32"/>
      <c r="F379" s="31"/>
      <c r="G379" s="1">
        <v>2688.1</v>
      </c>
      <c r="H379" s="1">
        <v>0</v>
      </c>
      <c r="I379" s="119" t="s">
        <v>233</v>
      </c>
    </row>
    <row r="380" spans="1:9" s="27" customFormat="1" ht="37.5" customHeight="1">
      <c r="A380" s="215">
        <v>180409</v>
      </c>
      <c r="B380" s="199" t="s">
        <v>581</v>
      </c>
      <c r="C380" s="39" t="s">
        <v>469</v>
      </c>
      <c r="D380" s="25"/>
      <c r="E380" s="26"/>
      <c r="F380" s="25"/>
      <c r="G380" s="1">
        <f>SUM(G382+G383)</f>
        <v>5132.897999999999</v>
      </c>
      <c r="H380" s="1">
        <v>5132.89755</v>
      </c>
      <c r="I380" s="119"/>
    </row>
    <row r="381" spans="1:9" s="33" customFormat="1" ht="18.75">
      <c r="A381" s="215"/>
      <c r="B381" s="199"/>
      <c r="C381" s="24" t="s">
        <v>467</v>
      </c>
      <c r="D381" s="31"/>
      <c r="E381" s="32"/>
      <c r="F381" s="31"/>
      <c r="G381" s="31"/>
      <c r="H381" s="31"/>
      <c r="I381" s="123"/>
    </row>
    <row r="382" spans="1:9" s="33" customFormat="1" ht="94.5" customHeight="1">
      <c r="A382" s="215"/>
      <c r="B382" s="199"/>
      <c r="C382" s="24" t="s">
        <v>468</v>
      </c>
      <c r="D382" s="31"/>
      <c r="E382" s="32"/>
      <c r="F382" s="31"/>
      <c r="G382" s="1">
        <v>2199.604</v>
      </c>
      <c r="H382" s="1">
        <v>2199.604</v>
      </c>
      <c r="I382" s="161" t="s">
        <v>392</v>
      </c>
    </row>
    <row r="383" spans="1:9" s="33" customFormat="1" ht="186.75" customHeight="1">
      <c r="A383" s="215"/>
      <c r="B383" s="199"/>
      <c r="C383" s="39" t="s">
        <v>396</v>
      </c>
      <c r="D383" s="31"/>
      <c r="E383" s="32"/>
      <c r="F383" s="31"/>
      <c r="G383" s="1">
        <v>2933.294</v>
      </c>
      <c r="H383" s="1">
        <v>2933.29355</v>
      </c>
      <c r="I383" s="122" t="s">
        <v>393</v>
      </c>
    </row>
    <row r="384" spans="1:15" s="16" customFormat="1" ht="93.75" customHeight="1">
      <c r="A384" s="84" t="s">
        <v>565</v>
      </c>
      <c r="B384" s="85" t="s">
        <v>436</v>
      </c>
      <c r="C384" s="85"/>
      <c r="D384" s="86">
        <f>SUM(D385:D386)</f>
        <v>98</v>
      </c>
      <c r="E384" s="86"/>
      <c r="F384" s="86">
        <f>SUM(F385:F386)</f>
        <v>98</v>
      </c>
      <c r="G384" s="86">
        <f>SUM(G385:G386)</f>
        <v>2256.885</v>
      </c>
      <c r="H384" s="86">
        <f>SUM(H385:H386)</f>
        <v>316.16661</v>
      </c>
      <c r="I384" s="125"/>
      <c r="J384" s="13"/>
      <c r="K384" s="13"/>
      <c r="L384" s="13"/>
      <c r="M384" s="13"/>
      <c r="N384" s="8"/>
      <c r="O384" s="15"/>
    </row>
    <row r="385" spans="1:15" s="16" customFormat="1" ht="59.25" customHeight="1">
      <c r="A385" s="14" t="s">
        <v>476</v>
      </c>
      <c r="B385" s="39" t="s">
        <v>478</v>
      </c>
      <c r="C385" s="39" t="s">
        <v>437</v>
      </c>
      <c r="D385" s="1">
        <v>98</v>
      </c>
      <c r="E385" s="17">
        <f>100-(F385/D385)*100</f>
        <v>0</v>
      </c>
      <c r="F385" s="1">
        <f>SUM(D385)</f>
        <v>98</v>
      </c>
      <c r="G385" s="1">
        <v>98</v>
      </c>
      <c r="H385" s="1">
        <v>0</v>
      </c>
      <c r="I385" s="120" t="s">
        <v>233</v>
      </c>
      <c r="J385" s="13"/>
      <c r="K385" s="13"/>
      <c r="L385" s="13"/>
      <c r="M385" s="13"/>
      <c r="N385" s="8"/>
      <c r="O385" s="15"/>
    </row>
    <row r="386" spans="1:15" s="16" customFormat="1" ht="37.5" customHeight="1">
      <c r="A386" s="214">
        <v>180409</v>
      </c>
      <c r="B386" s="216" t="s">
        <v>581</v>
      </c>
      <c r="C386" s="28" t="s">
        <v>397</v>
      </c>
      <c r="D386" s="1"/>
      <c r="E386" s="17"/>
      <c r="F386" s="1"/>
      <c r="G386" s="1">
        <f>SUM(G388:G389)</f>
        <v>2158.885</v>
      </c>
      <c r="H386" s="1">
        <f>SUM(H388:H389)</f>
        <v>316.16661</v>
      </c>
      <c r="I386" s="160"/>
      <c r="J386" s="8"/>
      <c r="K386" s="8"/>
      <c r="L386" s="8"/>
      <c r="M386" s="8"/>
      <c r="O386" s="15"/>
    </row>
    <row r="387" spans="1:9" s="33" customFormat="1" ht="17.25" customHeight="1" hidden="1">
      <c r="A387" s="214"/>
      <c r="B387" s="217"/>
      <c r="C387" s="24" t="s">
        <v>467</v>
      </c>
      <c r="D387" s="31"/>
      <c r="E387" s="31"/>
      <c r="F387" s="31"/>
      <c r="G387" s="31"/>
      <c r="H387" s="31"/>
      <c r="I387" s="128"/>
    </row>
    <row r="388" spans="1:9" s="33" customFormat="1" ht="93.75" customHeight="1">
      <c r="A388" s="214"/>
      <c r="B388" s="217"/>
      <c r="C388" s="39" t="s">
        <v>197</v>
      </c>
      <c r="D388" s="25"/>
      <c r="E388" s="25"/>
      <c r="F388" s="25"/>
      <c r="G388" s="1">
        <f>454.813-10.87</f>
        <v>443.943</v>
      </c>
      <c r="H388" s="1">
        <v>282.32241</v>
      </c>
      <c r="I388" s="160" t="s">
        <v>394</v>
      </c>
    </row>
    <row r="389" spans="1:9" s="33" customFormat="1" ht="74.25" customHeight="1">
      <c r="A389" s="214"/>
      <c r="B389" s="218"/>
      <c r="C389" s="39" t="s">
        <v>223</v>
      </c>
      <c r="D389" s="25"/>
      <c r="E389" s="25"/>
      <c r="F389" s="25"/>
      <c r="G389" s="1">
        <f>2329.512-614.57</f>
        <v>1714.942</v>
      </c>
      <c r="H389" s="1">
        <v>33.8442</v>
      </c>
      <c r="I389" s="159" t="s">
        <v>379</v>
      </c>
    </row>
    <row r="390" spans="1:9" ht="76.5" customHeight="1">
      <c r="A390" s="90">
        <v>73</v>
      </c>
      <c r="B390" s="85" t="s">
        <v>482</v>
      </c>
      <c r="C390" s="85"/>
      <c r="D390" s="86">
        <f>SUM(D391:D405)</f>
        <v>118483.678</v>
      </c>
      <c r="E390" s="86"/>
      <c r="F390" s="86">
        <f>SUM(F391:F405)</f>
        <v>106742.66422</v>
      </c>
      <c r="G390" s="86">
        <f>SUM(G391:G405)-G403-G401-G395-G397-G399</f>
        <v>4279.447999999999</v>
      </c>
      <c r="H390" s="86">
        <f>SUM(H391:H405)-H403-H401-H395-H397-H399</f>
        <v>2755.3273999999997</v>
      </c>
      <c r="I390" s="126"/>
    </row>
    <row r="391" spans="1:9" ht="49.5" customHeight="1">
      <c r="A391" s="38" t="s">
        <v>476</v>
      </c>
      <c r="B391" s="39" t="s">
        <v>478</v>
      </c>
      <c r="C391" s="39" t="s">
        <v>503</v>
      </c>
      <c r="D391" s="1">
        <v>13415.939</v>
      </c>
      <c r="E391" s="17">
        <f>100-(F391/D391)*100</f>
        <v>39.61472596141052</v>
      </c>
      <c r="F391" s="1">
        <f>SUM(D391-(2.65228+224.04934+1231.39282+3025.28968+831.30335))</f>
        <v>8101.2515300000005</v>
      </c>
      <c r="G391" s="1">
        <v>1244.405</v>
      </c>
      <c r="H391" s="1">
        <v>1041.19882</v>
      </c>
      <c r="I391" s="119" t="s">
        <v>246</v>
      </c>
    </row>
    <row r="392" spans="1:9" ht="58.5" customHeight="1">
      <c r="A392" s="38" t="s">
        <v>476</v>
      </c>
      <c r="B392" s="39" t="s">
        <v>478</v>
      </c>
      <c r="C392" s="39" t="s">
        <v>260</v>
      </c>
      <c r="D392" s="1">
        <f>2952.107</f>
        <v>2952.107</v>
      </c>
      <c r="E392" s="17">
        <f>100-(F392/D392)*100</f>
        <v>62.850767265549656</v>
      </c>
      <c r="F392" s="1">
        <f>SUM(D392)-(300+1551.5749+3.847)</f>
        <v>1096.6851</v>
      </c>
      <c r="G392" s="1">
        <v>96.685</v>
      </c>
      <c r="H392" s="1">
        <v>0</v>
      </c>
      <c r="I392" s="119" t="s">
        <v>233</v>
      </c>
    </row>
    <row r="393" spans="1:9" ht="75" customHeight="1">
      <c r="A393" s="38" t="s">
        <v>476</v>
      </c>
      <c r="B393" s="39" t="s">
        <v>478</v>
      </c>
      <c r="C393" s="39" t="s">
        <v>24</v>
      </c>
      <c r="D393" s="34">
        <v>3836.2</v>
      </c>
      <c r="E393" s="17">
        <f>100-(F393/D393)*100</f>
        <v>4.809598039726808</v>
      </c>
      <c r="F393" s="34">
        <f>D393-(28.537+155.9688)</f>
        <v>3651.6942</v>
      </c>
      <c r="G393" s="1">
        <v>31.223</v>
      </c>
      <c r="H393" s="1">
        <v>31.2228</v>
      </c>
      <c r="I393" s="119" t="s">
        <v>327</v>
      </c>
    </row>
    <row r="394" spans="1:9" ht="60" customHeight="1">
      <c r="A394" s="203" t="s">
        <v>476</v>
      </c>
      <c r="B394" s="200" t="s">
        <v>478</v>
      </c>
      <c r="C394" s="20" t="s">
        <v>198</v>
      </c>
      <c r="D394" s="1">
        <v>40486.207</v>
      </c>
      <c r="E394" s="17">
        <f>100-(F394/D394)*100</f>
        <v>1.1220549507144426</v>
      </c>
      <c r="F394" s="1">
        <f>D394-(160+149.35361+138.64421+6.27967)</f>
        <v>40031.92951</v>
      </c>
      <c r="G394" s="1">
        <f>18.061</f>
        <v>18.061</v>
      </c>
      <c r="H394" s="1">
        <v>18.06056</v>
      </c>
      <c r="I394" s="195" t="s">
        <v>395</v>
      </c>
    </row>
    <row r="395" spans="1:15" s="16" customFormat="1" ht="34.5" customHeight="1">
      <c r="A395" s="203"/>
      <c r="B395" s="200"/>
      <c r="C395" s="39" t="s">
        <v>7</v>
      </c>
      <c r="D395" s="1"/>
      <c r="E395" s="17"/>
      <c r="F395" s="1"/>
      <c r="G395" s="1">
        <v>3.408</v>
      </c>
      <c r="H395" s="1">
        <v>3.408</v>
      </c>
      <c r="I395" s="195"/>
      <c r="J395" s="8"/>
      <c r="K395" s="8"/>
      <c r="L395" s="8"/>
      <c r="M395" s="8"/>
      <c r="O395" s="15"/>
    </row>
    <row r="396" spans="1:9" ht="57.75" customHeight="1">
      <c r="A396" s="203" t="s">
        <v>476</v>
      </c>
      <c r="B396" s="200" t="s">
        <v>478</v>
      </c>
      <c r="C396" s="20" t="s">
        <v>199</v>
      </c>
      <c r="D396" s="1">
        <v>41973.922</v>
      </c>
      <c r="E396" s="17">
        <f>100-(F396/D396)*100</f>
        <v>1.560880038801244</v>
      </c>
      <c r="F396" s="1">
        <f>SUM(D396-249.768-46.62-7.44519-351.32938)</f>
        <v>41318.75943</v>
      </c>
      <c r="G396" s="1">
        <v>16.831</v>
      </c>
      <c r="H396" s="1">
        <v>10.03181</v>
      </c>
      <c r="I396" s="195" t="s">
        <v>358</v>
      </c>
    </row>
    <row r="397" spans="1:15" s="16" customFormat="1" ht="34.5" customHeight="1">
      <c r="A397" s="203"/>
      <c r="B397" s="200"/>
      <c r="C397" s="39" t="s">
        <v>7</v>
      </c>
      <c r="D397" s="1"/>
      <c r="E397" s="17"/>
      <c r="F397" s="1"/>
      <c r="G397" s="1">
        <v>7.119</v>
      </c>
      <c r="H397" s="1">
        <v>7.119</v>
      </c>
      <c r="I397" s="195"/>
      <c r="J397" s="8"/>
      <c r="K397" s="8"/>
      <c r="L397" s="8"/>
      <c r="M397" s="8"/>
      <c r="O397" s="15"/>
    </row>
    <row r="398" spans="1:9" ht="40.5" customHeight="1">
      <c r="A398" s="203" t="s">
        <v>476</v>
      </c>
      <c r="B398" s="200" t="s">
        <v>478</v>
      </c>
      <c r="C398" s="20" t="s">
        <v>266</v>
      </c>
      <c r="D398" s="1">
        <v>1222.082</v>
      </c>
      <c r="E398" s="17">
        <f>100-(F398/D398)*100</f>
        <v>11.666511739801436</v>
      </c>
      <c r="F398" s="1">
        <f>D398-99.21296-43.36138</f>
        <v>1079.50766</v>
      </c>
      <c r="G398" s="1">
        <f>3.907+0.751</f>
        <v>4.658</v>
      </c>
      <c r="H398" s="1">
        <v>4.65715</v>
      </c>
      <c r="I398" s="195" t="s">
        <v>357</v>
      </c>
    </row>
    <row r="399" spans="1:15" s="16" customFormat="1" ht="34.5" customHeight="1">
      <c r="A399" s="203"/>
      <c r="B399" s="200"/>
      <c r="C399" s="39" t="s">
        <v>7</v>
      </c>
      <c r="D399" s="1"/>
      <c r="E399" s="17"/>
      <c r="F399" s="1"/>
      <c r="G399" s="1">
        <v>3.907</v>
      </c>
      <c r="H399" s="1">
        <v>3.907</v>
      </c>
      <c r="I399" s="195"/>
      <c r="J399" s="8"/>
      <c r="K399" s="8"/>
      <c r="L399" s="8"/>
      <c r="M399" s="8"/>
      <c r="O399" s="15"/>
    </row>
    <row r="400" spans="1:9" ht="37.5" customHeight="1">
      <c r="A400" s="203" t="s">
        <v>476</v>
      </c>
      <c r="B400" s="199" t="s">
        <v>478</v>
      </c>
      <c r="C400" s="39" t="s">
        <v>261</v>
      </c>
      <c r="D400" s="1">
        <f>137.164</f>
        <v>137.164</v>
      </c>
      <c r="E400" s="35">
        <f>100-(F400/D400)*100</f>
        <v>25.13895045347175</v>
      </c>
      <c r="F400" s="1">
        <f>SUM(D400-34.48159)</f>
        <v>102.68240999999999</v>
      </c>
      <c r="G400" s="1">
        <v>102.682</v>
      </c>
      <c r="H400" s="1">
        <v>8.1492</v>
      </c>
      <c r="I400" s="195" t="s">
        <v>332</v>
      </c>
    </row>
    <row r="401" spans="1:15" s="16" customFormat="1" ht="37.5" customHeight="1">
      <c r="A401" s="203"/>
      <c r="B401" s="199"/>
      <c r="C401" s="39" t="s">
        <v>7</v>
      </c>
      <c r="D401" s="1"/>
      <c r="E401" s="17"/>
      <c r="F401" s="1"/>
      <c r="G401" s="1">
        <v>8.15</v>
      </c>
      <c r="H401" s="1">
        <v>8.15</v>
      </c>
      <c r="I401" s="195"/>
      <c r="J401" s="8"/>
      <c r="K401" s="8"/>
      <c r="L401" s="8"/>
      <c r="M401" s="8"/>
      <c r="O401" s="15"/>
    </row>
    <row r="402" spans="1:9" ht="64.5" customHeight="1">
      <c r="A402" s="203" t="s">
        <v>480</v>
      </c>
      <c r="B402" s="209" t="s">
        <v>481</v>
      </c>
      <c r="C402" s="39" t="s">
        <v>479</v>
      </c>
      <c r="D402" s="1">
        <v>14110.057</v>
      </c>
      <c r="E402" s="17">
        <f>100-(F402/D402)*100</f>
        <v>21.969454978105347</v>
      </c>
      <c r="F402" s="1">
        <f>SUM(D402)-(56.35656+570.604+1000+338.9424+271.5277+862.47196)</f>
        <v>11010.15438</v>
      </c>
      <c r="G402" s="1">
        <v>2654.903</v>
      </c>
      <c r="H402" s="1">
        <v>1642.00706</v>
      </c>
      <c r="I402" s="195" t="s">
        <v>359</v>
      </c>
    </row>
    <row r="403" spans="1:15" s="16" customFormat="1" ht="34.5" customHeight="1">
      <c r="A403" s="203"/>
      <c r="B403" s="209"/>
      <c r="C403" s="39" t="s">
        <v>7</v>
      </c>
      <c r="D403" s="1"/>
      <c r="E403" s="17"/>
      <c r="F403" s="1"/>
      <c r="G403" s="1">
        <v>10.944</v>
      </c>
      <c r="H403" s="1">
        <v>10.944</v>
      </c>
      <c r="I403" s="195"/>
      <c r="J403" s="8"/>
      <c r="K403" s="8"/>
      <c r="L403" s="8"/>
      <c r="M403" s="8"/>
      <c r="O403" s="15"/>
    </row>
    <row r="404" spans="1:9" ht="57.75" customHeight="1">
      <c r="A404" s="38" t="s">
        <v>476</v>
      </c>
      <c r="B404" s="39" t="s">
        <v>478</v>
      </c>
      <c r="C404" s="39" t="s">
        <v>262</v>
      </c>
      <c r="D404" s="1">
        <v>200</v>
      </c>
      <c r="E404" s="17">
        <f>100-(F404/D404)*100</f>
        <v>0</v>
      </c>
      <c r="F404" s="1">
        <v>200</v>
      </c>
      <c r="G404" s="1">
        <f>200-130</f>
        <v>70</v>
      </c>
      <c r="H404" s="1">
        <v>0</v>
      </c>
      <c r="I404" s="119" t="s">
        <v>233</v>
      </c>
    </row>
    <row r="405" spans="1:9" ht="54" customHeight="1">
      <c r="A405" s="38" t="s">
        <v>476</v>
      </c>
      <c r="B405" s="39" t="s">
        <v>478</v>
      </c>
      <c r="C405" s="39" t="s">
        <v>267</v>
      </c>
      <c r="D405" s="1">
        <v>150</v>
      </c>
      <c r="E405" s="17">
        <f>100-(F405/D405)*100</f>
        <v>0</v>
      </c>
      <c r="F405" s="1">
        <v>150</v>
      </c>
      <c r="G405" s="1">
        <f>150-110</f>
        <v>40</v>
      </c>
      <c r="H405" s="1">
        <v>0</v>
      </c>
      <c r="I405" s="119" t="s">
        <v>233</v>
      </c>
    </row>
    <row r="406" spans="1:9" ht="96" customHeight="1">
      <c r="A406" s="90">
        <v>92</v>
      </c>
      <c r="B406" s="85" t="s">
        <v>486</v>
      </c>
      <c r="C406" s="85"/>
      <c r="D406" s="86">
        <f>SUM(D407:D417)</f>
        <v>14068.349</v>
      </c>
      <c r="E406" s="91"/>
      <c r="F406" s="86">
        <f>SUM(F407:F417)</f>
        <v>13077.91676</v>
      </c>
      <c r="G406" s="86">
        <f>SUM(G407:G417)-G412-G415</f>
        <v>2140.2380000000003</v>
      </c>
      <c r="H406" s="86">
        <f>SUM(H407:H417)-H412-H415</f>
        <v>1249.13873</v>
      </c>
      <c r="I406" s="126"/>
    </row>
    <row r="407" spans="1:9" ht="62.25" customHeight="1">
      <c r="A407" s="38" t="s">
        <v>476</v>
      </c>
      <c r="B407" s="39" t="s">
        <v>478</v>
      </c>
      <c r="C407" s="39" t="s">
        <v>487</v>
      </c>
      <c r="D407" s="1">
        <v>10000</v>
      </c>
      <c r="E407" s="17">
        <f>100-(F407/D407)*100</f>
        <v>0</v>
      </c>
      <c r="F407" s="1">
        <v>10000</v>
      </c>
      <c r="G407" s="1">
        <f>916.704-570</f>
        <v>346.70399999999995</v>
      </c>
      <c r="H407" s="1">
        <v>0.85027</v>
      </c>
      <c r="I407" s="119" t="s">
        <v>263</v>
      </c>
    </row>
    <row r="408" spans="1:9" ht="97.5" customHeight="1">
      <c r="A408" s="38" t="s">
        <v>476</v>
      </c>
      <c r="B408" s="39" t="s">
        <v>478</v>
      </c>
      <c r="C408" s="39" t="s">
        <v>25</v>
      </c>
      <c r="D408" s="34">
        <v>336.698</v>
      </c>
      <c r="E408" s="17">
        <f>100-(F408/D408)*100</f>
        <v>75.316123053894</v>
      </c>
      <c r="F408" s="1">
        <f>D408-253.58788</f>
        <v>83.11011999999997</v>
      </c>
      <c r="G408" s="1">
        <v>43.783</v>
      </c>
      <c r="H408" s="1">
        <v>43.78245</v>
      </c>
      <c r="I408" s="119" t="s">
        <v>333</v>
      </c>
    </row>
    <row r="409" spans="1:9" ht="78.75" customHeight="1">
      <c r="A409" s="38" t="s">
        <v>476</v>
      </c>
      <c r="B409" s="39" t="s">
        <v>478</v>
      </c>
      <c r="C409" s="39" t="s">
        <v>26</v>
      </c>
      <c r="D409" s="34">
        <v>929.782</v>
      </c>
      <c r="E409" s="17">
        <f>100-(F409/D409)*100</f>
        <v>0.06635533920854186</v>
      </c>
      <c r="F409" s="1">
        <f>D409-0.61696</f>
        <v>929.1650400000001</v>
      </c>
      <c r="G409" s="1">
        <f>291.294</f>
        <v>291.294</v>
      </c>
      <c r="H409" s="1">
        <v>291.29335</v>
      </c>
      <c r="I409" s="119" t="s">
        <v>334</v>
      </c>
    </row>
    <row r="410" spans="1:9" ht="72.75" customHeight="1">
      <c r="A410" s="38" t="s">
        <v>476</v>
      </c>
      <c r="B410" s="39" t="s">
        <v>478</v>
      </c>
      <c r="C410" s="39" t="s">
        <v>489</v>
      </c>
      <c r="D410" s="1">
        <v>146.946</v>
      </c>
      <c r="E410" s="17">
        <f>100-(F410/D410)*100</f>
        <v>0</v>
      </c>
      <c r="F410" s="1">
        <f>SUM(D410)</f>
        <v>146.946</v>
      </c>
      <c r="G410" s="1">
        <v>146.946</v>
      </c>
      <c r="H410" s="1">
        <v>0</v>
      </c>
      <c r="I410" s="119" t="s">
        <v>233</v>
      </c>
    </row>
    <row r="411" spans="1:9" ht="58.5" customHeight="1">
      <c r="A411" s="203" t="s">
        <v>476</v>
      </c>
      <c r="B411" s="199" t="s">
        <v>478</v>
      </c>
      <c r="C411" s="39" t="s">
        <v>472</v>
      </c>
      <c r="D411" s="34">
        <f>1000-124.05</f>
        <v>875.95</v>
      </c>
      <c r="E411" s="17">
        <f>100-(F411/D411)*100</f>
        <v>53.85677264684057</v>
      </c>
      <c r="F411" s="1">
        <f>SUM(D411-471.7584)</f>
        <v>404.19160000000005</v>
      </c>
      <c r="G411" s="48">
        <v>304.192</v>
      </c>
      <c r="H411" s="48">
        <v>107.65274</v>
      </c>
      <c r="I411" s="195" t="s">
        <v>360</v>
      </c>
    </row>
    <row r="412" spans="1:9" ht="36" customHeight="1">
      <c r="A412" s="203"/>
      <c r="B412" s="199"/>
      <c r="C412" s="39" t="s">
        <v>7</v>
      </c>
      <c r="D412" s="34"/>
      <c r="E412" s="17"/>
      <c r="F412" s="1"/>
      <c r="G412" s="1">
        <v>43.256</v>
      </c>
      <c r="H412" s="1">
        <v>43.256</v>
      </c>
      <c r="I412" s="195"/>
    </row>
    <row r="413" spans="1:9" ht="76.5" customHeight="1">
      <c r="A413" s="38" t="s">
        <v>476</v>
      </c>
      <c r="B413" s="39" t="s">
        <v>478</v>
      </c>
      <c r="C413" s="51" t="s">
        <v>463</v>
      </c>
      <c r="D413" s="34">
        <v>100</v>
      </c>
      <c r="E413" s="17">
        <v>0</v>
      </c>
      <c r="F413" s="1">
        <v>100</v>
      </c>
      <c r="G413" s="1">
        <v>100</v>
      </c>
      <c r="H413" s="1">
        <v>0</v>
      </c>
      <c r="I413" s="119" t="s">
        <v>233</v>
      </c>
    </row>
    <row r="414" spans="1:9" ht="55.5" customHeight="1">
      <c r="A414" s="203" t="s">
        <v>476</v>
      </c>
      <c r="B414" s="199" t="s">
        <v>478</v>
      </c>
      <c r="C414" s="39" t="s">
        <v>471</v>
      </c>
      <c r="D414" s="34">
        <f>1000-0.264</f>
        <v>999.736</v>
      </c>
      <c r="E414" s="17">
        <f>100-(F414/D414)*100</f>
        <v>26.38562780574071</v>
      </c>
      <c r="F414" s="1">
        <f>SUM(D414-263.78662)</f>
        <v>735.94938</v>
      </c>
      <c r="G414" s="1">
        <v>582.588</v>
      </c>
      <c r="H414" s="1">
        <v>550.82898</v>
      </c>
      <c r="I414" s="195" t="s">
        <v>247</v>
      </c>
    </row>
    <row r="415" spans="1:9" ht="39.75" customHeight="1">
      <c r="A415" s="203"/>
      <c r="B415" s="199"/>
      <c r="C415" s="39" t="s">
        <v>7</v>
      </c>
      <c r="D415" s="34"/>
      <c r="E415" s="17"/>
      <c r="F415" s="1"/>
      <c r="G415" s="1">
        <v>444.096</v>
      </c>
      <c r="H415" s="1">
        <v>444.096</v>
      </c>
      <c r="I415" s="195"/>
    </row>
    <row r="416" spans="1:9" ht="75" customHeight="1">
      <c r="A416" s="38" t="s">
        <v>476</v>
      </c>
      <c r="B416" s="39" t="s">
        <v>478</v>
      </c>
      <c r="C416" s="39" t="s">
        <v>264</v>
      </c>
      <c r="D416" s="34">
        <v>609.237</v>
      </c>
      <c r="E416" s="17">
        <f>100-(F416/D416)*100</f>
        <v>0.11200567266924111</v>
      </c>
      <c r="F416" s="1">
        <f>D416-0.68238</f>
        <v>608.55462</v>
      </c>
      <c r="G416" s="1">
        <v>254.731</v>
      </c>
      <c r="H416" s="1">
        <v>254.73094</v>
      </c>
      <c r="I416" s="119" t="s">
        <v>335</v>
      </c>
    </row>
    <row r="417" spans="1:9" ht="58.5" customHeight="1">
      <c r="A417" s="38" t="s">
        <v>476</v>
      </c>
      <c r="B417" s="39" t="s">
        <v>478</v>
      </c>
      <c r="C417" s="39" t="s">
        <v>490</v>
      </c>
      <c r="D417" s="1">
        <v>70</v>
      </c>
      <c r="E417" s="17">
        <f>100-(F417/D417)*100</f>
        <v>0</v>
      </c>
      <c r="F417" s="1">
        <v>70</v>
      </c>
      <c r="G417" s="1">
        <f>70</f>
        <v>70</v>
      </c>
      <c r="H417" s="1">
        <v>0</v>
      </c>
      <c r="I417" s="119" t="s">
        <v>233</v>
      </c>
    </row>
    <row r="418" spans="1:9" ht="87.75" customHeight="1">
      <c r="A418" s="90">
        <v>93</v>
      </c>
      <c r="B418" s="85" t="s">
        <v>575</v>
      </c>
      <c r="C418" s="85"/>
      <c r="D418" s="86">
        <f>SUM(D419:D421)</f>
        <v>4329.606</v>
      </c>
      <c r="E418" s="86"/>
      <c r="F418" s="86">
        <f>SUM(F419:F421)</f>
        <v>4134.48064</v>
      </c>
      <c r="G418" s="86">
        <f>SUM(G419:G421)-G420</f>
        <v>46.88699999999999</v>
      </c>
      <c r="H418" s="86">
        <f>SUM(H419:H421)-H420</f>
        <v>19.191119999999998</v>
      </c>
      <c r="I418" s="126"/>
    </row>
    <row r="419" spans="1:9" ht="36" customHeight="1">
      <c r="A419" s="203" t="s">
        <v>476</v>
      </c>
      <c r="B419" s="200" t="s">
        <v>478</v>
      </c>
      <c r="C419" s="39" t="s">
        <v>265</v>
      </c>
      <c r="D419" s="34">
        <v>3333.606</v>
      </c>
      <c r="E419" s="17">
        <f>100-(F419/D419)*100</f>
        <v>5.853282001532278</v>
      </c>
      <c r="F419" s="1">
        <f>D419-195.12536</f>
        <v>3138.48064</v>
      </c>
      <c r="G419" s="41">
        <v>4.228</v>
      </c>
      <c r="H419" s="41">
        <v>2.69112</v>
      </c>
      <c r="I419" s="195" t="s">
        <v>320</v>
      </c>
    </row>
    <row r="420" spans="1:9" ht="34.5" customHeight="1">
      <c r="A420" s="203"/>
      <c r="B420" s="200"/>
      <c r="C420" s="39" t="s">
        <v>7</v>
      </c>
      <c r="D420" s="34"/>
      <c r="E420" s="17"/>
      <c r="F420" s="1"/>
      <c r="G420" s="41">
        <v>2.692</v>
      </c>
      <c r="H420" s="41">
        <v>2.692</v>
      </c>
      <c r="I420" s="195"/>
    </row>
    <row r="421" spans="1:9" ht="45.75" customHeight="1">
      <c r="A421" s="38" t="s">
        <v>476</v>
      </c>
      <c r="B421" s="39" t="s">
        <v>478</v>
      </c>
      <c r="C421" s="39" t="s">
        <v>304</v>
      </c>
      <c r="D421" s="34">
        <v>996</v>
      </c>
      <c r="E421" s="17">
        <f>100-(F421/D421)*100</f>
        <v>0</v>
      </c>
      <c r="F421" s="1">
        <f>D421</f>
        <v>996</v>
      </c>
      <c r="G421" s="30">
        <f>942.659-815-85</f>
        <v>42.65899999999999</v>
      </c>
      <c r="H421" s="30">
        <v>16.5</v>
      </c>
      <c r="I421" s="119" t="s">
        <v>242</v>
      </c>
    </row>
    <row r="422" spans="1:9" ht="84" customHeight="1">
      <c r="A422" s="95" t="s">
        <v>574</v>
      </c>
      <c r="B422" s="85" t="s">
        <v>500</v>
      </c>
      <c r="C422" s="85"/>
      <c r="D422" s="86">
        <f>SUM(D423)</f>
        <v>1145.573</v>
      </c>
      <c r="E422" s="91"/>
      <c r="F422" s="86">
        <f>SUM(F423)</f>
        <v>1145.573</v>
      </c>
      <c r="G422" s="86">
        <f>SUM(G423:G424)-G424</f>
        <v>1042.845</v>
      </c>
      <c r="H422" s="86">
        <f>SUM(H423:H424)-H424</f>
        <v>983.36484</v>
      </c>
      <c r="I422" s="119"/>
    </row>
    <row r="423" spans="1:9" ht="61.5" customHeight="1">
      <c r="A423" s="203" t="s">
        <v>476</v>
      </c>
      <c r="B423" s="199" t="s">
        <v>478</v>
      </c>
      <c r="C423" s="39" t="s">
        <v>501</v>
      </c>
      <c r="D423" s="1">
        <v>1145.573</v>
      </c>
      <c r="E423" s="17">
        <f>100-(F423/D423)*100</f>
        <v>0</v>
      </c>
      <c r="F423" s="1">
        <f>SUM(D423)</f>
        <v>1145.573</v>
      </c>
      <c r="G423" s="1">
        <f>1139.704-96.859</f>
        <v>1042.845</v>
      </c>
      <c r="H423" s="1">
        <v>983.36484</v>
      </c>
      <c r="I423" s="182" t="s">
        <v>248</v>
      </c>
    </row>
    <row r="424" spans="1:15" s="16" customFormat="1" ht="43.5" customHeight="1" thickBot="1">
      <c r="A424" s="208"/>
      <c r="B424" s="207"/>
      <c r="C424" s="99" t="s">
        <v>7</v>
      </c>
      <c r="D424" s="110"/>
      <c r="E424" s="111"/>
      <c r="F424" s="110"/>
      <c r="G424" s="110">
        <v>21.734</v>
      </c>
      <c r="H424" s="110">
        <v>21.734</v>
      </c>
      <c r="I424" s="183"/>
      <c r="J424" s="8"/>
      <c r="K424" s="8"/>
      <c r="L424" s="8"/>
      <c r="M424" s="8"/>
      <c r="O424" s="15"/>
    </row>
    <row r="428" spans="1:8" ht="20.25">
      <c r="A428" s="36"/>
      <c r="B428" s="36"/>
      <c r="C428" s="36"/>
      <c r="D428" s="4"/>
      <c r="E428" s="4"/>
      <c r="F428" s="45"/>
      <c r="G428" s="4"/>
      <c r="H428" s="4"/>
    </row>
    <row r="429" spans="1:8" ht="20.25">
      <c r="A429" s="36"/>
      <c r="B429" s="36"/>
      <c r="C429" s="36"/>
      <c r="D429" s="4"/>
      <c r="E429" s="4"/>
      <c r="F429" s="219"/>
      <c r="G429" s="219"/>
      <c r="H429" s="45"/>
    </row>
    <row r="430" spans="1:8" ht="20.25">
      <c r="A430" s="36"/>
      <c r="B430" s="36"/>
      <c r="C430" s="36"/>
      <c r="D430" s="4"/>
      <c r="E430" s="4"/>
      <c r="F430" s="45"/>
      <c r="G430" s="4"/>
      <c r="H430" s="4"/>
    </row>
  </sheetData>
  <sheetProtection/>
  <mergeCells count="244">
    <mergeCell ref="I317:I318"/>
    <mergeCell ref="I320:I321"/>
    <mergeCell ref="I338:I339"/>
    <mergeCell ref="I341:I342"/>
    <mergeCell ref="I322:I323"/>
    <mergeCell ref="I332:I333"/>
    <mergeCell ref="I352:I353"/>
    <mergeCell ref="I354:I355"/>
    <mergeCell ref="I394:I395"/>
    <mergeCell ref="I360:I361"/>
    <mergeCell ref="I365:I366"/>
    <mergeCell ref="I343:I344"/>
    <mergeCell ref="I402:I403"/>
    <mergeCell ref="I268:I269"/>
    <mergeCell ref="I270:I271"/>
    <mergeCell ref="I276:I277"/>
    <mergeCell ref="I278:I279"/>
    <mergeCell ref="I311:I312"/>
    <mergeCell ref="I272:I273"/>
    <mergeCell ref="I371:I372"/>
    <mergeCell ref="I282:I283"/>
    <mergeCell ref="I97:I98"/>
    <mergeCell ref="I58:I62"/>
    <mergeCell ref="I63:I64"/>
    <mergeCell ref="I65:I69"/>
    <mergeCell ref="I70:I71"/>
    <mergeCell ref="I74:I75"/>
    <mergeCell ref="I78:I81"/>
    <mergeCell ref="I42:I43"/>
    <mergeCell ref="I39:I40"/>
    <mergeCell ref="I423:I424"/>
    <mergeCell ref="I411:I412"/>
    <mergeCell ref="I414:I415"/>
    <mergeCell ref="I45:I46"/>
    <mergeCell ref="I48:I49"/>
    <mergeCell ref="I51:I55"/>
    <mergeCell ref="I56:I57"/>
    <mergeCell ref="I95:I96"/>
    <mergeCell ref="I19:I20"/>
    <mergeCell ref="I26:I27"/>
    <mergeCell ref="I28:I29"/>
    <mergeCell ref="I31:I32"/>
    <mergeCell ref="I34:I38"/>
    <mergeCell ref="I21:I22"/>
    <mergeCell ref="I23:I24"/>
    <mergeCell ref="A285:A286"/>
    <mergeCell ref="B56:B57"/>
    <mergeCell ref="B282:B283"/>
    <mergeCell ref="B131:B132"/>
    <mergeCell ref="A268:A269"/>
    <mergeCell ref="A133:A134"/>
    <mergeCell ref="B268:B269"/>
    <mergeCell ref="I419:I420"/>
    <mergeCell ref="B123:B124"/>
    <mergeCell ref="B307:B308"/>
    <mergeCell ref="B288:B289"/>
    <mergeCell ref="B276:B277"/>
    <mergeCell ref="I396:I397"/>
    <mergeCell ref="I398:I399"/>
    <mergeCell ref="I400:I401"/>
    <mergeCell ref="I345:I346"/>
    <mergeCell ref="I348:I349"/>
    <mergeCell ref="B8:C8"/>
    <mergeCell ref="B28:B29"/>
    <mergeCell ref="B119:B120"/>
    <mergeCell ref="A125:A126"/>
    <mergeCell ref="A115:A116"/>
    <mergeCell ref="A113:A114"/>
    <mergeCell ref="B115:B116"/>
    <mergeCell ref="B117:B118"/>
    <mergeCell ref="A119:A120"/>
    <mergeCell ref="A123:A124"/>
    <mergeCell ref="F429:G429"/>
    <mergeCell ref="B365:B366"/>
    <mergeCell ref="A309:A310"/>
    <mergeCell ref="A313:A314"/>
    <mergeCell ref="A352:A353"/>
    <mergeCell ref="B311:B312"/>
    <mergeCell ref="B348:B349"/>
    <mergeCell ref="B317:B318"/>
    <mergeCell ref="A311:A312"/>
    <mergeCell ref="B313:B314"/>
    <mergeCell ref="A317:A318"/>
    <mergeCell ref="B278:B279"/>
    <mergeCell ref="A270:A271"/>
    <mergeCell ref="B263:B264"/>
    <mergeCell ref="A282:A283"/>
    <mergeCell ref="A307:A308"/>
    <mergeCell ref="A288:A289"/>
    <mergeCell ref="B270:B271"/>
    <mergeCell ref="B398:B399"/>
    <mergeCell ref="B394:B395"/>
    <mergeCell ref="B396:B397"/>
    <mergeCell ref="B280:B281"/>
    <mergeCell ref="B386:B389"/>
    <mergeCell ref="B378:B379"/>
    <mergeCell ref="B371:B377"/>
    <mergeCell ref="B320:B321"/>
    <mergeCell ref="B272:B273"/>
    <mergeCell ref="B360:B361"/>
    <mergeCell ref="B338:B339"/>
    <mergeCell ref="B285:B286"/>
    <mergeCell ref="B309:B310"/>
    <mergeCell ref="B341:B342"/>
    <mergeCell ref="B343:B344"/>
    <mergeCell ref="B352:B353"/>
    <mergeCell ref="B354:B355"/>
    <mergeCell ref="A272:A273"/>
    <mergeCell ref="A276:A277"/>
    <mergeCell ref="A144:A145"/>
    <mergeCell ref="A219:A220"/>
    <mergeCell ref="A263:A264"/>
    <mergeCell ref="A280:A281"/>
    <mergeCell ref="A386:A389"/>
    <mergeCell ref="A332:A333"/>
    <mergeCell ref="A278:A279"/>
    <mergeCell ref="A380:A383"/>
    <mergeCell ref="A341:A342"/>
    <mergeCell ref="A348:A349"/>
    <mergeCell ref="A338:A339"/>
    <mergeCell ref="A343:A344"/>
    <mergeCell ref="A354:A355"/>
    <mergeCell ref="A121:A122"/>
    <mergeCell ref="B127:B128"/>
    <mergeCell ref="B125:B126"/>
    <mergeCell ref="B133:B134"/>
    <mergeCell ref="A127:A128"/>
    <mergeCell ref="A131:A132"/>
    <mergeCell ref="A106:A107"/>
    <mergeCell ref="B106:B107"/>
    <mergeCell ref="A108:A109"/>
    <mergeCell ref="B113:B114"/>
    <mergeCell ref="A28:A29"/>
    <mergeCell ref="A104:A105"/>
    <mergeCell ref="A56:A57"/>
    <mergeCell ref="A58:A62"/>
    <mergeCell ref="A102:A103"/>
    <mergeCell ref="A78:A81"/>
    <mergeCell ref="A63:A64"/>
    <mergeCell ref="A74:A75"/>
    <mergeCell ref="A95:A96"/>
    <mergeCell ref="A97:A98"/>
    <mergeCell ref="B26:B27"/>
    <mergeCell ref="B31:B32"/>
    <mergeCell ref="A15:A16"/>
    <mergeCell ref="B19:B20"/>
    <mergeCell ref="A23:A24"/>
    <mergeCell ref="A26:A27"/>
    <mergeCell ref="B21:B22"/>
    <mergeCell ref="A19:A20"/>
    <mergeCell ref="A31:A32"/>
    <mergeCell ref="A21:A22"/>
    <mergeCell ref="A419:A420"/>
    <mergeCell ref="B419:B420"/>
    <mergeCell ref="A400:A401"/>
    <mergeCell ref="H9:H10"/>
    <mergeCell ref="C9:C10"/>
    <mergeCell ref="D9:D10"/>
    <mergeCell ref="E9:E10"/>
    <mergeCell ref="F9:F10"/>
    <mergeCell ref="B219:B220"/>
    <mergeCell ref="B332:B333"/>
    <mergeCell ref="A378:A379"/>
    <mergeCell ref="A371:A377"/>
    <mergeCell ref="B423:B424"/>
    <mergeCell ref="A423:A424"/>
    <mergeCell ref="A402:A403"/>
    <mergeCell ref="A414:A415"/>
    <mergeCell ref="B414:B415"/>
    <mergeCell ref="B411:B412"/>
    <mergeCell ref="A411:A412"/>
    <mergeCell ref="B402:B403"/>
    <mergeCell ref="B400:B401"/>
    <mergeCell ref="B380:B383"/>
    <mergeCell ref="A396:A397"/>
    <mergeCell ref="A84:A87"/>
    <mergeCell ref="B322:B323"/>
    <mergeCell ref="A360:A361"/>
    <mergeCell ref="A322:A323"/>
    <mergeCell ref="A398:A399"/>
    <mergeCell ref="A365:A366"/>
    <mergeCell ref="A394:A395"/>
    <mergeCell ref="A70:A71"/>
    <mergeCell ref="B99:B100"/>
    <mergeCell ref="A99:A100"/>
    <mergeCell ref="A320:A321"/>
    <mergeCell ref="B104:B105"/>
    <mergeCell ref="B102:B103"/>
    <mergeCell ref="B78:B81"/>
    <mergeCell ref="B95:B96"/>
    <mergeCell ref="A117:A118"/>
    <mergeCell ref="B144:B145"/>
    <mergeCell ref="A65:A69"/>
    <mergeCell ref="B34:B38"/>
    <mergeCell ref="A34:A38"/>
    <mergeCell ref="B51:B55"/>
    <mergeCell ref="A51:A55"/>
    <mergeCell ref="A48:A49"/>
    <mergeCell ref="B65:B69"/>
    <mergeCell ref="A45:A46"/>
    <mergeCell ref="A42:A43"/>
    <mergeCell ref="A39:A40"/>
    <mergeCell ref="B108:B109"/>
    <mergeCell ref="B74:B75"/>
    <mergeCell ref="B70:B71"/>
    <mergeCell ref="B39:B40"/>
    <mergeCell ref="B63:B64"/>
    <mergeCell ref="B42:B43"/>
    <mergeCell ref="B58:B62"/>
    <mergeCell ref="I123:I124"/>
    <mergeCell ref="I125:I126"/>
    <mergeCell ref="G9:G10"/>
    <mergeCell ref="B121:B122"/>
    <mergeCell ref="B97:B98"/>
    <mergeCell ref="B84:B87"/>
    <mergeCell ref="B45:B46"/>
    <mergeCell ref="B48:B49"/>
    <mergeCell ref="I9:I10"/>
    <mergeCell ref="B23:B24"/>
    <mergeCell ref="I113:I114"/>
    <mergeCell ref="I115:I116"/>
    <mergeCell ref="I119:I120"/>
    <mergeCell ref="I121:I122"/>
    <mergeCell ref="I117:I118"/>
    <mergeCell ref="I127:I128"/>
    <mergeCell ref="I131:I132"/>
    <mergeCell ref="I263:I264"/>
    <mergeCell ref="I313:I314"/>
    <mergeCell ref="I280:I281"/>
    <mergeCell ref="I133:I134"/>
    <mergeCell ref="I309:I310"/>
    <mergeCell ref="I285:I286"/>
    <mergeCell ref="I288:I289"/>
    <mergeCell ref="I307:I308"/>
    <mergeCell ref="A5:I5"/>
    <mergeCell ref="A7:I7"/>
    <mergeCell ref="I15:I16"/>
    <mergeCell ref="I108:I109"/>
    <mergeCell ref="I102:I103"/>
    <mergeCell ref="I104:I105"/>
    <mergeCell ref="I84:I87"/>
    <mergeCell ref="I99:I100"/>
    <mergeCell ref="I106:I107"/>
    <mergeCell ref="B15:B16"/>
  </mergeCells>
  <printOptions/>
  <pageMargins left="0.2362204724409449" right="0.2362204724409449" top="0.7480314960629921" bottom="0.1968503937007874" header="0.5118110236220472" footer="0.31496062992125984"/>
  <pageSetup firstPageNumber="50" useFirstPageNumber="1" fitToHeight="25" horizontalDpi="600" verticalDpi="600" orientation="landscape" paperSize="9" scale="6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R104"/>
  <sheetViews>
    <sheetView tabSelected="1" view="pageBreakPreview" zoomScale="75" zoomScaleSheetLayoutView="75" zoomScalePageLayoutView="0" workbookViewId="0" topLeftCell="A1">
      <selection activeCell="A2" sqref="A2:F2"/>
    </sheetView>
  </sheetViews>
  <sheetFormatPr defaultColWidth="9.140625" defaultRowHeight="15"/>
  <cols>
    <col min="1" max="1" width="13.28125" style="66" customWidth="1"/>
    <col min="2" max="2" width="30.28125" style="66" customWidth="1"/>
    <col min="3" max="3" width="14.421875" style="77" customWidth="1"/>
    <col min="4" max="4" width="15.8515625" style="163" customWidth="1"/>
    <col min="5" max="5" width="17.140625" style="163" customWidth="1"/>
    <col min="6" max="6" width="44.7109375" style="165" customWidth="1"/>
    <col min="7" max="7" width="16.140625" style="62" bestFit="1" customWidth="1"/>
    <col min="8" max="8" width="29.8515625" style="64" customWidth="1"/>
    <col min="9" max="9" width="36.7109375" style="64" customWidth="1"/>
    <col min="10" max="11" width="9.140625" style="64" customWidth="1"/>
    <col min="12" max="16384" width="9.140625" style="66" customWidth="1"/>
  </cols>
  <sheetData>
    <row r="1" spans="1:8" s="57" customFormat="1" ht="22.5" customHeight="1">
      <c r="A1" s="54"/>
      <c r="B1" s="54"/>
      <c r="C1" s="54"/>
      <c r="D1" s="60"/>
      <c r="E1" s="60"/>
      <c r="F1" s="164" t="s">
        <v>311</v>
      </c>
      <c r="G1" s="55"/>
      <c r="H1" s="56"/>
    </row>
    <row r="2" spans="1:7" s="57" customFormat="1" ht="40.5" customHeight="1">
      <c r="A2" s="220" t="s">
        <v>381</v>
      </c>
      <c r="B2" s="220"/>
      <c r="C2" s="220"/>
      <c r="D2" s="220"/>
      <c r="E2" s="220"/>
      <c r="F2" s="220"/>
      <c r="G2" s="55"/>
    </row>
    <row r="3" spans="1:7" s="57" customFormat="1" ht="22.5" customHeight="1">
      <c r="A3" s="54"/>
      <c r="B3" s="54"/>
      <c r="C3" s="58"/>
      <c r="D3" s="60"/>
      <c r="E3" s="60"/>
      <c r="F3" s="164" t="s">
        <v>504</v>
      </c>
      <c r="G3" s="55"/>
    </row>
    <row r="4" spans="1:7" s="57" customFormat="1" ht="46.5" customHeight="1">
      <c r="A4" s="129" t="s">
        <v>505</v>
      </c>
      <c r="B4" s="94" t="s">
        <v>475</v>
      </c>
      <c r="C4" s="222" t="s">
        <v>506</v>
      </c>
      <c r="D4" s="221" t="s">
        <v>229</v>
      </c>
      <c r="E4" s="221" t="s">
        <v>230</v>
      </c>
      <c r="F4" s="170" t="s">
        <v>228</v>
      </c>
      <c r="G4" s="55"/>
    </row>
    <row r="5" spans="1:7" s="57" customFormat="1" ht="76.5" customHeight="1">
      <c r="A5" s="129" t="s">
        <v>509</v>
      </c>
      <c r="B5" s="94" t="s">
        <v>510</v>
      </c>
      <c r="C5" s="222"/>
      <c r="D5" s="221"/>
      <c r="E5" s="221"/>
      <c r="F5" s="170"/>
      <c r="G5" s="55"/>
    </row>
    <row r="6" spans="1:7" s="57" customFormat="1" ht="18" customHeight="1">
      <c r="A6" s="94">
        <v>1</v>
      </c>
      <c r="B6" s="94">
        <v>2</v>
      </c>
      <c r="C6" s="94">
        <v>3</v>
      </c>
      <c r="D6" s="166">
        <v>4</v>
      </c>
      <c r="E6" s="166">
        <v>5</v>
      </c>
      <c r="F6" s="94">
        <v>6</v>
      </c>
      <c r="G6" s="60"/>
    </row>
    <row r="7" spans="1:9" s="57" customFormat="1" ht="20.25" customHeight="1">
      <c r="A7" s="94"/>
      <c r="B7" s="133" t="s">
        <v>511</v>
      </c>
      <c r="C7" s="94"/>
      <c r="D7" s="132">
        <f>SUM(D8+D12+D21+D30+D40+D50+D52+D55+D64+D69+D71+D74+D77+D79+D81+D83+D86+D90+D92+D94+D99+D67)</f>
        <v>90030.36000000003</v>
      </c>
      <c r="E7" s="132">
        <f>SUM(E8+E12+E21+E30+E40+E50+E52+E55+E64+E69+E71+E74+E77+E79+E81+E83+E86+E90+E92+E94+E99+E67)</f>
        <v>39786.496380000004</v>
      </c>
      <c r="F7" s="51"/>
      <c r="G7" s="55"/>
      <c r="H7" s="60"/>
      <c r="I7" s="60"/>
    </row>
    <row r="8" spans="1:7" s="135" customFormat="1" ht="36" customHeight="1">
      <c r="A8" s="130" t="s">
        <v>515</v>
      </c>
      <c r="B8" s="131" t="s">
        <v>1</v>
      </c>
      <c r="C8" s="133"/>
      <c r="D8" s="132">
        <f>SUM(D9:D11)-D10</f>
        <v>670.196</v>
      </c>
      <c r="E8" s="132">
        <f>SUM(E9:E11)-E10</f>
        <v>426.92898</v>
      </c>
      <c r="F8" s="131"/>
      <c r="G8" s="134"/>
    </row>
    <row r="9" spans="1:7" s="57" customFormat="1" ht="110.25" customHeight="1">
      <c r="A9" s="188" t="s">
        <v>517</v>
      </c>
      <c r="B9" s="51" t="s">
        <v>518</v>
      </c>
      <c r="C9" s="170" t="s">
        <v>519</v>
      </c>
      <c r="D9" s="92">
        <v>608.346</v>
      </c>
      <c r="E9" s="92">
        <v>406.50298</v>
      </c>
      <c r="F9" s="51" t="s">
        <v>398</v>
      </c>
      <c r="G9" s="55"/>
    </row>
    <row r="10" spans="1:17" ht="137.25" customHeight="1">
      <c r="A10" s="188"/>
      <c r="B10" s="61" t="s">
        <v>7</v>
      </c>
      <c r="C10" s="170"/>
      <c r="D10" s="137">
        <v>231.245</v>
      </c>
      <c r="E10" s="92">
        <v>231.245</v>
      </c>
      <c r="F10" s="67" t="s">
        <v>366</v>
      </c>
      <c r="H10" s="63"/>
      <c r="J10" s="60"/>
      <c r="K10" s="60"/>
      <c r="L10" s="60"/>
      <c r="M10" s="60"/>
      <c r="N10" s="60"/>
      <c r="O10" s="60"/>
      <c r="P10" s="57"/>
      <c r="Q10" s="65"/>
    </row>
    <row r="11" spans="1:7" s="57" customFormat="1" ht="76.5" customHeight="1">
      <c r="A11" s="136" t="s">
        <v>44</v>
      </c>
      <c r="B11" s="51" t="s">
        <v>461</v>
      </c>
      <c r="C11" s="94" t="s">
        <v>519</v>
      </c>
      <c r="D11" s="92">
        <v>61.85</v>
      </c>
      <c r="E11" s="92">
        <v>20.426</v>
      </c>
      <c r="F11" s="67" t="s">
        <v>367</v>
      </c>
      <c r="G11" s="55"/>
    </row>
    <row r="12" spans="1:17" s="146" customFormat="1" ht="61.5" customHeight="1">
      <c r="A12" s="138">
        <v>10</v>
      </c>
      <c r="B12" s="139" t="s">
        <v>484</v>
      </c>
      <c r="C12" s="138"/>
      <c r="D12" s="140">
        <f>SUM(D13+D15+D17+D18+D19+D20)</f>
        <v>8861.844000000001</v>
      </c>
      <c r="E12" s="140">
        <f>SUM(E13+E15+E17+E18+E19+E20)</f>
        <v>3695.7654899999998</v>
      </c>
      <c r="F12" s="139"/>
      <c r="G12" s="141"/>
      <c r="H12" s="142"/>
      <c r="I12" s="143"/>
      <c r="J12" s="144"/>
      <c r="K12" s="144"/>
      <c r="L12" s="144"/>
      <c r="M12" s="144"/>
      <c r="N12" s="144"/>
      <c r="O12" s="144"/>
      <c r="P12" s="135"/>
      <c r="Q12" s="145"/>
    </row>
    <row r="13" spans="1:17" ht="117.75" customHeight="1">
      <c r="A13" s="187" t="s">
        <v>521</v>
      </c>
      <c r="B13" s="61" t="s">
        <v>522</v>
      </c>
      <c r="C13" s="186" t="s">
        <v>519</v>
      </c>
      <c r="D13" s="137">
        <v>2768.246</v>
      </c>
      <c r="E13" s="137">
        <v>1197.45477</v>
      </c>
      <c r="F13" s="185" t="s">
        <v>399</v>
      </c>
      <c r="H13" s="63"/>
      <c r="J13" s="60"/>
      <c r="K13" s="60"/>
      <c r="L13" s="60"/>
      <c r="M13" s="60"/>
      <c r="N13" s="60"/>
      <c r="O13" s="60"/>
      <c r="P13" s="57"/>
      <c r="Q13" s="65"/>
    </row>
    <row r="14" spans="1:17" ht="182.25" customHeight="1">
      <c r="A14" s="187"/>
      <c r="B14" s="61" t="s">
        <v>7</v>
      </c>
      <c r="C14" s="186"/>
      <c r="D14" s="137">
        <v>170.836</v>
      </c>
      <c r="E14" s="137">
        <v>170.836</v>
      </c>
      <c r="F14" s="185"/>
      <c r="H14" s="63"/>
      <c r="J14" s="60"/>
      <c r="K14" s="60"/>
      <c r="L14" s="60"/>
      <c r="M14" s="60"/>
      <c r="N14" s="60"/>
      <c r="O14" s="60"/>
      <c r="P14" s="57"/>
      <c r="Q14" s="65"/>
    </row>
    <row r="15" spans="1:17" ht="120" customHeight="1">
      <c r="A15" s="187" t="s">
        <v>523</v>
      </c>
      <c r="B15" s="51" t="s">
        <v>524</v>
      </c>
      <c r="C15" s="186" t="s">
        <v>519</v>
      </c>
      <c r="D15" s="137">
        <v>5748.979</v>
      </c>
      <c r="E15" s="137">
        <v>2428.14936</v>
      </c>
      <c r="F15" s="185" t="s">
        <v>400</v>
      </c>
      <c r="H15" s="63"/>
      <c r="J15" s="60"/>
      <c r="K15" s="60"/>
      <c r="L15" s="60"/>
      <c r="M15" s="60"/>
      <c r="N15" s="60"/>
      <c r="O15" s="60"/>
      <c r="P15" s="57"/>
      <c r="Q15" s="65"/>
    </row>
    <row r="16" spans="1:17" ht="110.25" customHeight="1">
      <c r="A16" s="187"/>
      <c r="B16" s="61" t="s">
        <v>7</v>
      </c>
      <c r="C16" s="186"/>
      <c r="D16" s="137">
        <v>596.572</v>
      </c>
      <c r="E16" s="137">
        <v>596.572</v>
      </c>
      <c r="F16" s="185"/>
      <c r="H16" s="63"/>
      <c r="J16" s="60"/>
      <c r="K16" s="60"/>
      <c r="L16" s="60"/>
      <c r="M16" s="60"/>
      <c r="N16" s="60"/>
      <c r="O16" s="60"/>
      <c r="P16" s="57"/>
      <c r="Q16" s="65"/>
    </row>
    <row r="17" spans="1:17" ht="54.75" customHeight="1">
      <c r="A17" s="148" t="s">
        <v>52</v>
      </c>
      <c r="B17" s="67" t="s">
        <v>53</v>
      </c>
      <c r="C17" s="53" t="s">
        <v>519</v>
      </c>
      <c r="D17" s="137">
        <v>18</v>
      </c>
      <c r="E17" s="137">
        <v>3.158</v>
      </c>
      <c r="F17" s="51" t="s">
        <v>427</v>
      </c>
      <c r="H17" s="63"/>
      <c r="J17" s="60"/>
      <c r="K17" s="60"/>
      <c r="L17" s="60"/>
      <c r="M17" s="60"/>
      <c r="N17" s="60"/>
      <c r="O17" s="60"/>
      <c r="P17" s="57"/>
      <c r="Q17" s="65"/>
    </row>
    <row r="18" spans="1:18" ht="75.75" customHeight="1">
      <c r="A18" s="147" t="s">
        <v>525</v>
      </c>
      <c r="B18" s="51" t="s">
        <v>526</v>
      </c>
      <c r="C18" s="53" t="s">
        <v>519</v>
      </c>
      <c r="D18" s="137">
        <v>249.619</v>
      </c>
      <c r="E18" s="137">
        <v>47.00336</v>
      </c>
      <c r="F18" s="67" t="s">
        <v>401</v>
      </c>
      <c r="H18" s="63"/>
      <c r="J18" s="60"/>
      <c r="K18" s="60"/>
      <c r="L18" s="60"/>
      <c r="M18" s="60"/>
      <c r="N18" s="60"/>
      <c r="O18" s="60"/>
      <c r="P18" s="57"/>
      <c r="Q18" s="65"/>
      <c r="R18" s="57"/>
    </row>
    <row r="19" spans="1:18" ht="60" customHeight="1">
      <c r="A19" s="147" t="s">
        <v>206</v>
      </c>
      <c r="B19" s="51" t="s">
        <v>207</v>
      </c>
      <c r="C19" s="53" t="s">
        <v>519</v>
      </c>
      <c r="D19" s="137">
        <v>17.5</v>
      </c>
      <c r="E19" s="137">
        <v>0</v>
      </c>
      <c r="F19" s="67" t="s">
        <v>233</v>
      </c>
      <c r="H19" s="63"/>
      <c r="J19" s="60"/>
      <c r="K19" s="60"/>
      <c r="L19" s="60"/>
      <c r="M19" s="60"/>
      <c r="N19" s="60"/>
      <c r="O19" s="60"/>
      <c r="P19" s="57"/>
      <c r="Q19" s="65"/>
      <c r="R19" s="57"/>
    </row>
    <row r="20" spans="1:17" ht="81" customHeight="1">
      <c r="A20" s="148" t="s">
        <v>54</v>
      </c>
      <c r="B20" s="67" t="s">
        <v>55</v>
      </c>
      <c r="C20" s="53" t="s">
        <v>519</v>
      </c>
      <c r="D20" s="137">
        <v>59.5</v>
      </c>
      <c r="E20" s="137">
        <v>20</v>
      </c>
      <c r="F20" s="51" t="s">
        <v>426</v>
      </c>
      <c r="H20" s="63"/>
      <c r="J20" s="60"/>
      <c r="K20" s="60"/>
      <c r="L20" s="60"/>
      <c r="M20" s="60"/>
      <c r="N20" s="60"/>
      <c r="O20" s="60"/>
      <c r="P20" s="57"/>
      <c r="Q20" s="65"/>
    </row>
    <row r="21" spans="1:18" s="146" customFormat="1" ht="59.25" customHeight="1">
      <c r="A21" s="138">
        <v>14</v>
      </c>
      <c r="B21" s="139" t="s">
        <v>529</v>
      </c>
      <c r="C21" s="138"/>
      <c r="D21" s="140">
        <f>SUM(D22:D29)-D23-D25-D27</f>
        <v>11135.123000000001</v>
      </c>
      <c r="E21" s="140">
        <f>SUM(E22:E29)-E23-E25-E27</f>
        <v>4962.2831300000025</v>
      </c>
      <c r="F21" s="139"/>
      <c r="G21" s="141"/>
      <c r="H21" s="142"/>
      <c r="I21" s="143"/>
      <c r="J21" s="144"/>
      <c r="K21" s="144"/>
      <c r="L21" s="144"/>
      <c r="M21" s="144"/>
      <c r="N21" s="144"/>
      <c r="O21" s="144"/>
      <c r="P21" s="135"/>
      <c r="Q21" s="145"/>
      <c r="R21" s="135"/>
    </row>
    <row r="22" spans="1:18" ht="129.75" customHeight="1">
      <c r="A22" s="187" t="s">
        <v>530</v>
      </c>
      <c r="B22" s="61" t="s">
        <v>531</v>
      </c>
      <c r="C22" s="186" t="s">
        <v>519</v>
      </c>
      <c r="D22" s="137">
        <v>8239.626</v>
      </c>
      <c r="E22" s="137">
        <v>4358.89462</v>
      </c>
      <c r="F22" s="185" t="s">
        <v>402</v>
      </c>
      <c r="H22" s="63"/>
      <c r="J22" s="60"/>
      <c r="K22" s="60"/>
      <c r="L22" s="60"/>
      <c r="M22" s="60"/>
      <c r="N22" s="60"/>
      <c r="O22" s="60"/>
      <c r="P22" s="57"/>
      <c r="Q22" s="65"/>
      <c r="R22" s="57"/>
    </row>
    <row r="23" spans="1:17" ht="154.5" customHeight="1">
      <c r="A23" s="187"/>
      <c r="B23" s="61" t="s">
        <v>7</v>
      </c>
      <c r="C23" s="186"/>
      <c r="D23" s="137">
        <v>3320.311</v>
      </c>
      <c r="E23" s="137">
        <v>3320.311</v>
      </c>
      <c r="F23" s="185"/>
      <c r="H23" s="63"/>
      <c r="J23" s="60"/>
      <c r="K23" s="60"/>
      <c r="L23" s="60"/>
      <c r="M23" s="60"/>
      <c r="N23" s="60"/>
      <c r="O23" s="60"/>
      <c r="P23" s="57"/>
      <c r="Q23" s="65"/>
    </row>
    <row r="24" spans="1:18" ht="79.5" customHeight="1">
      <c r="A24" s="187" t="s">
        <v>532</v>
      </c>
      <c r="B24" s="51" t="s">
        <v>533</v>
      </c>
      <c r="C24" s="186" t="s">
        <v>519</v>
      </c>
      <c r="D24" s="137">
        <f>943.464-55.856</f>
        <v>887.6080000000001</v>
      </c>
      <c r="E24" s="137">
        <v>282.44541</v>
      </c>
      <c r="F24" s="185" t="s">
        <v>403</v>
      </c>
      <c r="H24" s="63"/>
      <c r="J24" s="60"/>
      <c r="K24" s="60"/>
      <c r="L24" s="60"/>
      <c r="M24" s="60"/>
      <c r="N24" s="60"/>
      <c r="O24" s="60"/>
      <c r="P24" s="57"/>
      <c r="Q24" s="65"/>
      <c r="R24" s="57"/>
    </row>
    <row r="25" spans="1:17" ht="58.5" customHeight="1">
      <c r="A25" s="187"/>
      <c r="B25" s="61" t="s">
        <v>7</v>
      </c>
      <c r="C25" s="186"/>
      <c r="D25" s="137">
        <v>11.4</v>
      </c>
      <c r="E25" s="137">
        <v>11.4</v>
      </c>
      <c r="F25" s="185"/>
      <c r="H25" s="63"/>
      <c r="J25" s="60"/>
      <c r="K25" s="60"/>
      <c r="L25" s="60"/>
      <c r="M25" s="60"/>
      <c r="N25" s="60"/>
      <c r="O25" s="60"/>
      <c r="P25" s="57"/>
      <c r="Q25" s="65"/>
    </row>
    <row r="26" spans="1:18" ht="111" customHeight="1">
      <c r="A26" s="187" t="s">
        <v>534</v>
      </c>
      <c r="B26" s="51" t="s">
        <v>535</v>
      </c>
      <c r="C26" s="53" t="s">
        <v>519</v>
      </c>
      <c r="D26" s="137">
        <v>1039.665</v>
      </c>
      <c r="E26" s="137">
        <v>315.9431</v>
      </c>
      <c r="F26" s="185" t="s">
        <v>404</v>
      </c>
      <c r="H26" s="63"/>
      <c r="J26" s="60"/>
      <c r="K26" s="60"/>
      <c r="L26" s="60"/>
      <c r="M26" s="60"/>
      <c r="N26" s="60"/>
      <c r="O26" s="60"/>
      <c r="P26" s="57"/>
      <c r="Q26" s="65"/>
      <c r="R26" s="57"/>
    </row>
    <row r="27" spans="1:17" ht="54" customHeight="1">
      <c r="A27" s="187"/>
      <c r="B27" s="61" t="s">
        <v>7</v>
      </c>
      <c r="C27" s="53"/>
      <c r="D27" s="137">
        <v>56.19</v>
      </c>
      <c r="E27" s="137">
        <v>56.19</v>
      </c>
      <c r="F27" s="185"/>
      <c r="H27" s="63"/>
      <c r="J27" s="60"/>
      <c r="K27" s="60"/>
      <c r="L27" s="60"/>
      <c r="M27" s="60"/>
      <c r="N27" s="60"/>
      <c r="O27" s="60"/>
      <c r="P27" s="57"/>
      <c r="Q27" s="65"/>
    </row>
    <row r="28" spans="1:17" ht="56.25" customHeight="1">
      <c r="A28" s="147" t="s">
        <v>45</v>
      </c>
      <c r="B28" s="61" t="s">
        <v>46</v>
      </c>
      <c r="C28" s="53" t="s">
        <v>519</v>
      </c>
      <c r="D28" s="137">
        <v>11</v>
      </c>
      <c r="E28" s="137">
        <v>5</v>
      </c>
      <c r="F28" s="67" t="s">
        <v>372</v>
      </c>
      <c r="H28" s="63"/>
      <c r="J28" s="60"/>
      <c r="K28" s="60"/>
      <c r="L28" s="60"/>
      <c r="M28" s="60"/>
      <c r="N28" s="60"/>
      <c r="O28" s="60"/>
      <c r="P28" s="57"/>
      <c r="Q28" s="65"/>
    </row>
    <row r="29" spans="1:17" ht="61.5" customHeight="1">
      <c r="A29" s="147" t="s">
        <v>208</v>
      </c>
      <c r="B29" s="61" t="s">
        <v>209</v>
      </c>
      <c r="C29" s="53" t="s">
        <v>519</v>
      </c>
      <c r="D29" s="137">
        <v>957.224</v>
      </c>
      <c r="E29" s="137">
        <v>0</v>
      </c>
      <c r="F29" s="67" t="s">
        <v>233</v>
      </c>
      <c r="H29" s="63"/>
      <c r="J29" s="60"/>
      <c r="K29" s="60"/>
      <c r="L29" s="60"/>
      <c r="M29" s="60"/>
      <c r="N29" s="60"/>
      <c r="O29" s="60"/>
      <c r="P29" s="57"/>
      <c r="Q29" s="65"/>
    </row>
    <row r="30" spans="1:18" s="146" customFormat="1" ht="66" customHeight="1">
      <c r="A30" s="138">
        <v>15</v>
      </c>
      <c r="B30" s="139" t="s">
        <v>485</v>
      </c>
      <c r="C30" s="138"/>
      <c r="D30" s="140">
        <f>SUM(D33+D31+D35+D38+D37)</f>
        <v>1087.92</v>
      </c>
      <c r="E30" s="140">
        <f>SUM(E33+E31+E35+E38+E37)</f>
        <v>543.81457</v>
      </c>
      <c r="F30" s="139"/>
      <c r="G30" s="141"/>
      <c r="H30" s="142"/>
      <c r="I30" s="143"/>
      <c r="J30" s="144"/>
      <c r="K30" s="144"/>
      <c r="L30" s="144"/>
      <c r="M30" s="144"/>
      <c r="N30" s="144"/>
      <c r="O30" s="144"/>
      <c r="P30" s="135"/>
      <c r="Q30" s="145"/>
      <c r="R30" s="135"/>
    </row>
    <row r="31" spans="1:17" ht="39.75" customHeight="1">
      <c r="A31" s="187" t="s">
        <v>517</v>
      </c>
      <c r="B31" s="61" t="s">
        <v>518</v>
      </c>
      <c r="C31" s="186" t="s">
        <v>519</v>
      </c>
      <c r="D31" s="137">
        <f>1285.484-1000</f>
        <v>285.4839999999999</v>
      </c>
      <c r="E31" s="137">
        <v>92.79257</v>
      </c>
      <c r="F31" s="185" t="s">
        <v>407</v>
      </c>
      <c r="H31" s="63"/>
      <c r="J31" s="60"/>
      <c r="K31" s="60"/>
      <c r="L31" s="60"/>
      <c r="M31" s="60"/>
      <c r="N31" s="60"/>
      <c r="O31" s="60"/>
      <c r="P31" s="57"/>
      <c r="Q31" s="65"/>
    </row>
    <row r="32" spans="1:17" ht="54" customHeight="1">
      <c r="A32" s="187"/>
      <c r="B32" s="61" t="s">
        <v>7</v>
      </c>
      <c r="C32" s="186"/>
      <c r="D32" s="137">
        <v>77</v>
      </c>
      <c r="E32" s="137">
        <v>77</v>
      </c>
      <c r="F32" s="185"/>
      <c r="H32" s="63"/>
      <c r="J32" s="60"/>
      <c r="K32" s="60"/>
      <c r="L32" s="60"/>
      <c r="M32" s="60"/>
      <c r="N32" s="60"/>
      <c r="O32" s="60"/>
      <c r="P32" s="57"/>
      <c r="Q32" s="65"/>
    </row>
    <row r="33" spans="1:18" ht="313.5" customHeight="1">
      <c r="A33" s="147" t="s">
        <v>536</v>
      </c>
      <c r="B33" s="68" t="s">
        <v>576</v>
      </c>
      <c r="C33" s="53" t="s">
        <v>519</v>
      </c>
      <c r="D33" s="137">
        <v>36.413</v>
      </c>
      <c r="E33" s="137">
        <v>19.262</v>
      </c>
      <c r="F33" s="223" t="s">
        <v>408</v>
      </c>
      <c r="H33" s="63"/>
      <c r="J33" s="60"/>
      <c r="K33" s="60"/>
      <c r="L33" s="60"/>
      <c r="M33" s="60"/>
      <c r="N33" s="60"/>
      <c r="O33" s="60"/>
      <c r="P33" s="57"/>
      <c r="Q33" s="65"/>
      <c r="R33" s="57"/>
    </row>
    <row r="34" spans="1:18" ht="393.75" customHeight="1">
      <c r="A34" s="147"/>
      <c r="B34" s="69" t="s">
        <v>368</v>
      </c>
      <c r="C34" s="53"/>
      <c r="D34" s="137">
        <v>36.413</v>
      </c>
      <c r="E34" s="137">
        <v>19.262</v>
      </c>
      <c r="F34" s="223"/>
      <c r="H34" s="63"/>
      <c r="J34" s="60"/>
      <c r="K34" s="60"/>
      <c r="L34" s="60"/>
      <c r="M34" s="60"/>
      <c r="N34" s="60"/>
      <c r="O34" s="60"/>
      <c r="P34" s="57"/>
      <c r="Q34" s="65"/>
      <c r="R34" s="57"/>
    </row>
    <row r="35" spans="1:18" ht="86.25" customHeight="1">
      <c r="A35" s="187" t="s">
        <v>571</v>
      </c>
      <c r="B35" s="70" t="s">
        <v>572</v>
      </c>
      <c r="C35" s="186" t="s">
        <v>519</v>
      </c>
      <c r="D35" s="137">
        <v>477.023</v>
      </c>
      <c r="E35" s="137">
        <v>283.6228</v>
      </c>
      <c r="F35" s="185" t="s">
        <v>406</v>
      </c>
      <c r="H35" s="63"/>
      <c r="J35" s="60"/>
      <c r="K35" s="60"/>
      <c r="L35" s="60"/>
      <c r="M35" s="60"/>
      <c r="N35" s="60"/>
      <c r="O35" s="60"/>
      <c r="P35" s="57"/>
      <c r="Q35" s="65"/>
      <c r="R35" s="57"/>
    </row>
    <row r="36" spans="1:17" ht="83.25" customHeight="1">
      <c r="A36" s="187"/>
      <c r="B36" s="61" t="s">
        <v>7</v>
      </c>
      <c r="C36" s="186"/>
      <c r="D36" s="137">
        <v>143.919</v>
      </c>
      <c r="E36" s="137">
        <v>143.919</v>
      </c>
      <c r="F36" s="185"/>
      <c r="H36" s="63"/>
      <c r="J36" s="60"/>
      <c r="K36" s="60"/>
      <c r="L36" s="60"/>
      <c r="M36" s="60"/>
      <c r="N36" s="60"/>
      <c r="O36" s="60"/>
      <c r="P36" s="57"/>
      <c r="Q36" s="65"/>
    </row>
    <row r="37" spans="1:17" ht="54" customHeight="1">
      <c r="A37" s="147" t="s">
        <v>146</v>
      </c>
      <c r="B37" s="61" t="s">
        <v>147</v>
      </c>
      <c r="C37" s="53" t="s">
        <v>519</v>
      </c>
      <c r="D37" s="137">
        <v>44</v>
      </c>
      <c r="E37" s="137">
        <v>22.9872</v>
      </c>
      <c r="F37" s="162" t="s">
        <v>369</v>
      </c>
      <c r="H37" s="63"/>
      <c r="J37" s="60"/>
      <c r="K37" s="60"/>
      <c r="L37" s="60"/>
      <c r="M37" s="60"/>
      <c r="N37" s="60"/>
      <c r="O37" s="60"/>
      <c r="P37" s="57"/>
      <c r="Q37" s="65"/>
    </row>
    <row r="38" spans="1:17" ht="60" customHeight="1">
      <c r="A38" s="187" t="s">
        <v>527</v>
      </c>
      <c r="B38" s="51" t="s">
        <v>528</v>
      </c>
      <c r="C38" s="186" t="s">
        <v>519</v>
      </c>
      <c r="D38" s="137">
        <v>245</v>
      </c>
      <c r="E38" s="137">
        <v>125.15</v>
      </c>
      <c r="F38" s="185" t="s">
        <v>409</v>
      </c>
      <c r="H38" s="63"/>
      <c r="J38" s="60"/>
      <c r="K38" s="60"/>
      <c r="L38" s="60"/>
      <c r="M38" s="60"/>
      <c r="N38" s="60"/>
      <c r="O38" s="60"/>
      <c r="P38" s="57"/>
      <c r="Q38" s="65"/>
    </row>
    <row r="39" spans="1:17" ht="57" customHeight="1">
      <c r="A39" s="187"/>
      <c r="B39" s="51" t="s">
        <v>7</v>
      </c>
      <c r="C39" s="186"/>
      <c r="D39" s="137">
        <v>96.59</v>
      </c>
      <c r="E39" s="137">
        <v>96.59</v>
      </c>
      <c r="F39" s="185"/>
      <c r="H39" s="63"/>
      <c r="J39" s="60"/>
      <c r="K39" s="60"/>
      <c r="L39" s="60"/>
      <c r="M39" s="60"/>
      <c r="N39" s="60"/>
      <c r="O39" s="60"/>
      <c r="P39" s="57"/>
      <c r="Q39" s="65"/>
    </row>
    <row r="40" spans="1:18" s="146" customFormat="1" ht="63.75" customHeight="1">
      <c r="A40" s="138">
        <v>24</v>
      </c>
      <c r="B40" s="139" t="s">
        <v>537</v>
      </c>
      <c r="C40" s="138"/>
      <c r="D40" s="140">
        <f>SUM(D41:D49)-D42-D44-D46-D48</f>
        <v>3035.847</v>
      </c>
      <c r="E40" s="140">
        <f>SUM(E41:E49)-E42-E44-E46-E48</f>
        <v>1771.6217600000002</v>
      </c>
      <c r="F40" s="139"/>
      <c r="G40" s="141"/>
      <c r="H40" s="142"/>
      <c r="I40" s="143"/>
      <c r="J40" s="144"/>
      <c r="K40" s="144"/>
      <c r="L40" s="144"/>
      <c r="M40" s="144"/>
      <c r="N40" s="144"/>
      <c r="O40" s="144"/>
      <c r="P40" s="135"/>
      <c r="Q40" s="145"/>
      <c r="R40" s="135"/>
    </row>
    <row r="41" spans="1:17" ht="26.25" customHeight="1">
      <c r="A41" s="187" t="s">
        <v>538</v>
      </c>
      <c r="B41" s="61" t="s">
        <v>539</v>
      </c>
      <c r="C41" s="186" t="s">
        <v>519</v>
      </c>
      <c r="D41" s="137">
        <v>194.379</v>
      </c>
      <c r="E41" s="137">
        <v>190.25019</v>
      </c>
      <c r="F41" s="185" t="s">
        <v>410</v>
      </c>
      <c r="H41" s="63"/>
      <c r="J41" s="60"/>
      <c r="K41" s="60"/>
      <c r="L41" s="60"/>
      <c r="M41" s="60"/>
      <c r="N41" s="60"/>
      <c r="O41" s="60"/>
      <c r="P41" s="57"/>
      <c r="Q41" s="65"/>
    </row>
    <row r="42" spans="1:17" ht="57.75" customHeight="1">
      <c r="A42" s="187"/>
      <c r="B42" s="61" t="s">
        <v>7</v>
      </c>
      <c r="C42" s="186"/>
      <c r="D42" s="137">
        <v>64.407</v>
      </c>
      <c r="E42" s="137">
        <v>64.407</v>
      </c>
      <c r="F42" s="185"/>
      <c r="H42" s="63"/>
      <c r="J42" s="60"/>
      <c r="K42" s="60"/>
      <c r="L42" s="60"/>
      <c r="M42" s="60"/>
      <c r="N42" s="60"/>
      <c r="O42" s="60"/>
      <c r="P42" s="57"/>
      <c r="Q42" s="65"/>
    </row>
    <row r="43" spans="1:17" ht="91.5" customHeight="1">
      <c r="A43" s="187" t="s">
        <v>540</v>
      </c>
      <c r="B43" s="61" t="s">
        <v>541</v>
      </c>
      <c r="C43" s="186" t="s">
        <v>519</v>
      </c>
      <c r="D43" s="137">
        <v>1241.407</v>
      </c>
      <c r="E43" s="137">
        <v>1027.619</v>
      </c>
      <c r="F43" s="185" t="s">
        <v>411</v>
      </c>
      <c r="H43" s="63"/>
      <c r="J43" s="60"/>
      <c r="K43" s="60"/>
      <c r="L43" s="60"/>
      <c r="M43" s="60"/>
      <c r="N43" s="60"/>
      <c r="O43" s="60"/>
      <c r="P43" s="57"/>
      <c r="Q43" s="65"/>
    </row>
    <row r="44" spans="1:17" ht="96.75" customHeight="1">
      <c r="A44" s="187"/>
      <c r="B44" s="61" t="s">
        <v>7</v>
      </c>
      <c r="C44" s="186"/>
      <c r="D44" s="137">
        <v>1005.624</v>
      </c>
      <c r="E44" s="137">
        <v>1005.624</v>
      </c>
      <c r="F44" s="185"/>
      <c r="H44" s="63"/>
      <c r="J44" s="60"/>
      <c r="K44" s="60"/>
      <c r="L44" s="60"/>
      <c r="M44" s="60"/>
      <c r="N44" s="60"/>
      <c r="O44" s="60"/>
      <c r="P44" s="57"/>
      <c r="Q44" s="65"/>
    </row>
    <row r="45" spans="1:17" ht="90" customHeight="1">
      <c r="A45" s="187" t="s">
        <v>542</v>
      </c>
      <c r="B45" s="61" t="s">
        <v>543</v>
      </c>
      <c r="C45" s="186" t="s">
        <v>519</v>
      </c>
      <c r="D45" s="137">
        <v>201.556</v>
      </c>
      <c r="E45" s="137">
        <v>134.06933</v>
      </c>
      <c r="F45" s="185" t="s">
        <v>412</v>
      </c>
      <c r="H45" s="63"/>
      <c r="J45" s="60"/>
      <c r="K45" s="60"/>
      <c r="L45" s="60"/>
      <c r="M45" s="60"/>
      <c r="N45" s="60"/>
      <c r="O45" s="60"/>
      <c r="P45" s="57"/>
      <c r="Q45" s="65"/>
    </row>
    <row r="46" spans="1:17" ht="77.25" customHeight="1">
      <c r="A46" s="187"/>
      <c r="B46" s="61" t="s">
        <v>7</v>
      </c>
      <c r="C46" s="186"/>
      <c r="D46" s="137">
        <v>107.156</v>
      </c>
      <c r="E46" s="137">
        <v>107.156</v>
      </c>
      <c r="F46" s="185"/>
      <c r="H46" s="63"/>
      <c r="J46" s="60"/>
      <c r="K46" s="60"/>
      <c r="L46" s="60"/>
      <c r="M46" s="60"/>
      <c r="N46" s="60"/>
      <c r="O46" s="60"/>
      <c r="P46" s="57"/>
      <c r="Q46" s="65"/>
    </row>
    <row r="47" spans="1:17" ht="104.25" customHeight="1">
      <c r="A47" s="187" t="s">
        <v>544</v>
      </c>
      <c r="B47" s="67" t="s">
        <v>545</v>
      </c>
      <c r="C47" s="186" t="s">
        <v>519</v>
      </c>
      <c r="D47" s="137">
        <v>1216.429</v>
      </c>
      <c r="E47" s="137">
        <v>321.50464</v>
      </c>
      <c r="F47" s="185" t="s">
        <v>373</v>
      </c>
      <c r="H47" s="63"/>
      <c r="J47" s="60"/>
      <c r="K47" s="60"/>
      <c r="L47" s="60"/>
      <c r="M47" s="60"/>
      <c r="N47" s="60"/>
      <c r="O47" s="60"/>
      <c r="P47" s="57"/>
      <c r="Q47" s="65"/>
    </row>
    <row r="48" spans="1:17" ht="163.5" customHeight="1">
      <c r="A48" s="187"/>
      <c r="B48" s="61" t="s">
        <v>7</v>
      </c>
      <c r="C48" s="186"/>
      <c r="D48" s="137">
        <v>163.087</v>
      </c>
      <c r="E48" s="137">
        <v>163.087</v>
      </c>
      <c r="F48" s="185"/>
      <c r="H48" s="63"/>
      <c r="J48" s="60"/>
      <c r="K48" s="60"/>
      <c r="L48" s="60"/>
      <c r="M48" s="60"/>
      <c r="N48" s="60"/>
      <c r="O48" s="60"/>
      <c r="P48" s="57"/>
      <c r="Q48" s="65"/>
    </row>
    <row r="49" spans="1:17" ht="134.25" customHeight="1">
      <c r="A49" s="147" t="s">
        <v>546</v>
      </c>
      <c r="B49" s="67" t="s">
        <v>547</v>
      </c>
      <c r="C49" s="53" t="s">
        <v>519</v>
      </c>
      <c r="D49" s="137">
        <v>182.076</v>
      </c>
      <c r="E49" s="137">
        <v>98.1786</v>
      </c>
      <c r="F49" s="67" t="s">
        <v>413</v>
      </c>
      <c r="H49" s="63"/>
      <c r="J49" s="60"/>
      <c r="K49" s="60"/>
      <c r="L49" s="60"/>
      <c r="M49" s="60"/>
      <c r="N49" s="60"/>
      <c r="O49" s="60"/>
      <c r="P49" s="57"/>
      <c r="Q49" s="65"/>
    </row>
    <row r="50" spans="1:17" s="146" customFormat="1" ht="77.25" customHeight="1">
      <c r="A50" s="138">
        <v>32</v>
      </c>
      <c r="B50" s="139" t="s">
        <v>548</v>
      </c>
      <c r="C50" s="138"/>
      <c r="D50" s="140">
        <f>SUM(D51)</f>
        <v>37</v>
      </c>
      <c r="E50" s="140">
        <f>SUM(E51)</f>
        <v>30.4184</v>
      </c>
      <c r="F50" s="139"/>
      <c r="G50" s="141"/>
      <c r="H50" s="142"/>
      <c r="I50" s="143"/>
      <c r="J50" s="144"/>
      <c r="K50" s="144"/>
      <c r="L50" s="144"/>
      <c r="M50" s="144"/>
      <c r="N50" s="144"/>
      <c r="O50" s="144"/>
      <c r="P50" s="135"/>
      <c r="Q50" s="145"/>
    </row>
    <row r="51" spans="1:17" ht="79.5" customHeight="1">
      <c r="A51" s="147" t="s">
        <v>517</v>
      </c>
      <c r="B51" s="61" t="s">
        <v>518</v>
      </c>
      <c r="C51" s="53" t="s">
        <v>519</v>
      </c>
      <c r="D51" s="137">
        <v>37</v>
      </c>
      <c r="E51" s="137">
        <v>30.4184</v>
      </c>
      <c r="F51" s="51" t="s">
        <v>364</v>
      </c>
      <c r="H51" s="63"/>
      <c r="J51" s="60"/>
      <c r="K51" s="60"/>
      <c r="L51" s="60"/>
      <c r="M51" s="60"/>
      <c r="N51" s="60"/>
      <c r="O51" s="60"/>
      <c r="P51" s="57"/>
      <c r="Q51" s="65"/>
    </row>
    <row r="52" spans="1:17" s="146" customFormat="1" ht="75" customHeight="1">
      <c r="A52" s="149" t="s">
        <v>2</v>
      </c>
      <c r="B52" s="150" t="s">
        <v>3</v>
      </c>
      <c r="C52" s="138"/>
      <c r="D52" s="140">
        <f>SUM(D53:D54)-D54</f>
        <v>43.05</v>
      </c>
      <c r="E52" s="140">
        <f>SUM(E53:E54)-E54</f>
        <v>43.05</v>
      </c>
      <c r="F52" s="139"/>
      <c r="G52" s="141"/>
      <c r="H52" s="142"/>
      <c r="I52" s="143"/>
      <c r="J52" s="144"/>
      <c r="K52" s="144"/>
      <c r="L52" s="144"/>
      <c r="M52" s="144"/>
      <c r="N52" s="144"/>
      <c r="O52" s="144"/>
      <c r="P52" s="135"/>
      <c r="Q52" s="145"/>
    </row>
    <row r="53" spans="1:17" ht="41.25" customHeight="1">
      <c r="A53" s="187" t="s">
        <v>517</v>
      </c>
      <c r="B53" s="61" t="s">
        <v>518</v>
      </c>
      <c r="C53" s="186" t="s">
        <v>519</v>
      </c>
      <c r="D53" s="137">
        <v>43.05</v>
      </c>
      <c r="E53" s="137">
        <v>43.05</v>
      </c>
      <c r="F53" s="185" t="s">
        <v>370</v>
      </c>
      <c r="H53" s="63"/>
      <c r="J53" s="60"/>
      <c r="K53" s="60"/>
      <c r="L53" s="60"/>
      <c r="M53" s="60"/>
      <c r="N53" s="60"/>
      <c r="O53" s="60"/>
      <c r="P53" s="57"/>
      <c r="Q53" s="65"/>
    </row>
    <row r="54" spans="1:17" ht="57" customHeight="1">
      <c r="A54" s="187"/>
      <c r="B54" s="61" t="s">
        <v>7</v>
      </c>
      <c r="C54" s="186"/>
      <c r="D54" s="137">
        <v>43.05</v>
      </c>
      <c r="E54" s="137">
        <v>40.05</v>
      </c>
      <c r="F54" s="185"/>
      <c r="H54" s="63"/>
      <c r="J54" s="60"/>
      <c r="K54" s="60"/>
      <c r="L54" s="60"/>
      <c r="M54" s="60"/>
      <c r="N54" s="60"/>
      <c r="O54" s="60"/>
      <c r="P54" s="57"/>
      <c r="Q54" s="65"/>
    </row>
    <row r="55" spans="1:17" s="146" customFormat="1" ht="73.5" customHeight="1">
      <c r="A55" s="138">
        <v>40</v>
      </c>
      <c r="B55" s="139" t="s">
        <v>578</v>
      </c>
      <c r="C55" s="138"/>
      <c r="D55" s="140">
        <f>SUM(D56:D63)-D58-D61-D63</f>
        <v>54656.827</v>
      </c>
      <c r="E55" s="140">
        <f>SUM(E56:E63)-E58-E61-E63</f>
        <v>26996.948399999997</v>
      </c>
      <c r="F55" s="139"/>
      <c r="G55" s="141"/>
      <c r="H55" s="142"/>
      <c r="I55" s="143"/>
      <c r="J55" s="144"/>
      <c r="K55" s="144"/>
      <c r="L55" s="144"/>
      <c r="M55" s="144"/>
      <c r="N55" s="144"/>
      <c r="O55" s="144"/>
      <c r="P55" s="135"/>
      <c r="Q55" s="145"/>
    </row>
    <row r="56" spans="1:17" ht="37.5" customHeight="1">
      <c r="A56" s="147" t="s">
        <v>517</v>
      </c>
      <c r="B56" s="61" t="s">
        <v>518</v>
      </c>
      <c r="C56" s="53" t="s">
        <v>519</v>
      </c>
      <c r="D56" s="137">
        <v>90</v>
      </c>
      <c r="E56" s="137">
        <v>0</v>
      </c>
      <c r="F56" s="67" t="s">
        <v>233</v>
      </c>
      <c r="H56" s="63"/>
      <c r="J56" s="60"/>
      <c r="K56" s="60"/>
      <c r="L56" s="60"/>
      <c r="M56" s="60"/>
      <c r="N56" s="60"/>
      <c r="O56" s="60"/>
      <c r="P56" s="57"/>
      <c r="Q56" s="65"/>
    </row>
    <row r="57" spans="1:17" ht="99" customHeight="1">
      <c r="A57" s="187" t="s">
        <v>549</v>
      </c>
      <c r="B57" s="61" t="s">
        <v>550</v>
      </c>
      <c r="C57" s="186" t="s">
        <v>519</v>
      </c>
      <c r="D57" s="137">
        <v>48255.289</v>
      </c>
      <c r="E57" s="137">
        <v>24368.70253</v>
      </c>
      <c r="F57" s="185" t="s">
        <v>414</v>
      </c>
      <c r="H57" s="63"/>
      <c r="J57" s="60"/>
      <c r="K57" s="60"/>
      <c r="L57" s="60"/>
      <c r="M57" s="60"/>
      <c r="N57" s="60"/>
      <c r="O57" s="60"/>
      <c r="P57" s="57"/>
      <c r="Q57" s="65"/>
    </row>
    <row r="58" spans="1:17" ht="186.75" customHeight="1">
      <c r="A58" s="187"/>
      <c r="B58" s="61" t="s">
        <v>7</v>
      </c>
      <c r="C58" s="186"/>
      <c r="D58" s="137">
        <v>7409.833</v>
      </c>
      <c r="E58" s="137">
        <v>7409.833</v>
      </c>
      <c r="F58" s="185"/>
      <c r="H58" s="63"/>
      <c r="J58" s="60"/>
      <c r="K58" s="60"/>
      <c r="L58" s="60"/>
      <c r="M58" s="60"/>
      <c r="N58" s="60"/>
      <c r="O58" s="60"/>
      <c r="P58" s="57"/>
      <c r="Q58" s="65"/>
    </row>
    <row r="59" spans="1:17" ht="93" customHeight="1">
      <c r="A59" s="147" t="s">
        <v>142</v>
      </c>
      <c r="B59" s="61" t="s">
        <v>143</v>
      </c>
      <c r="C59" s="53" t="s">
        <v>519</v>
      </c>
      <c r="D59" s="137">
        <f>1050.217-148.406</f>
        <v>901.8110000000001</v>
      </c>
      <c r="E59" s="137">
        <v>255.81503</v>
      </c>
      <c r="F59" s="67" t="s">
        <v>374</v>
      </c>
      <c r="H59" s="63"/>
      <c r="J59" s="60"/>
      <c r="K59" s="60"/>
      <c r="L59" s="60"/>
      <c r="M59" s="60"/>
      <c r="N59" s="60"/>
      <c r="O59" s="60"/>
      <c r="P59" s="57"/>
      <c r="Q59" s="65"/>
    </row>
    <row r="60" spans="1:17" ht="47.25" customHeight="1">
      <c r="A60" s="187" t="s">
        <v>553</v>
      </c>
      <c r="B60" s="51" t="s">
        <v>579</v>
      </c>
      <c r="C60" s="186" t="s">
        <v>519</v>
      </c>
      <c r="D60" s="137">
        <v>2567.578</v>
      </c>
      <c r="E60" s="137">
        <v>799.99225</v>
      </c>
      <c r="F60" s="185" t="s">
        <v>415</v>
      </c>
      <c r="H60" s="63"/>
      <c r="J60" s="60"/>
      <c r="K60" s="60"/>
      <c r="L60" s="60"/>
      <c r="M60" s="60"/>
      <c r="N60" s="60"/>
      <c r="O60" s="60"/>
      <c r="P60" s="71"/>
      <c r="Q60" s="65"/>
    </row>
    <row r="61" spans="1:17" ht="58.5" customHeight="1">
      <c r="A61" s="187"/>
      <c r="B61" s="61" t="s">
        <v>7</v>
      </c>
      <c r="C61" s="186"/>
      <c r="D61" s="137">
        <v>319.273</v>
      </c>
      <c r="E61" s="137">
        <v>319.273</v>
      </c>
      <c r="F61" s="185"/>
      <c r="H61" s="63"/>
      <c r="J61" s="60"/>
      <c r="K61" s="60"/>
      <c r="L61" s="60"/>
      <c r="M61" s="60"/>
      <c r="N61" s="60"/>
      <c r="O61" s="60"/>
      <c r="P61" s="57"/>
      <c r="Q61" s="65"/>
    </row>
    <row r="62" spans="1:17" ht="45" customHeight="1">
      <c r="A62" s="187" t="s">
        <v>551</v>
      </c>
      <c r="B62" s="61" t="s">
        <v>520</v>
      </c>
      <c r="C62" s="186" t="s">
        <v>519</v>
      </c>
      <c r="D62" s="137">
        <v>2842.149</v>
      </c>
      <c r="E62" s="137">
        <v>1572.43859</v>
      </c>
      <c r="F62" s="185" t="s">
        <v>416</v>
      </c>
      <c r="H62" s="63"/>
      <c r="J62" s="60"/>
      <c r="K62" s="60"/>
      <c r="L62" s="60"/>
      <c r="M62" s="60"/>
      <c r="N62" s="60"/>
      <c r="O62" s="60"/>
      <c r="P62" s="57"/>
      <c r="Q62" s="65"/>
    </row>
    <row r="63" spans="1:17" ht="71.25" customHeight="1">
      <c r="A63" s="187"/>
      <c r="B63" s="61" t="s">
        <v>7</v>
      </c>
      <c r="C63" s="186"/>
      <c r="D63" s="137">
        <v>13.632</v>
      </c>
      <c r="E63" s="137">
        <v>13.632</v>
      </c>
      <c r="F63" s="185"/>
      <c r="H63" s="63"/>
      <c r="J63" s="60"/>
      <c r="K63" s="60"/>
      <c r="L63" s="60"/>
      <c r="M63" s="60"/>
      <c r="N63" s="60"/>
      <c r="O63" s="60"/>
      <c r="P63" s="57"/>
      <c r="Q63" s="65"/>
    </row>
    <row r="64" spans="1:17" s="146" customFormat="1" ht="86.25" customHeight="1">
      <c r="A64" s="138">
        <v>45</v>
      </c>
      <c r="B64" s="139" t="s">
        <v>554</v>
      </c>
      <c r="C64" s="138" t="s">
        <v>552</v>
      </c>
      <c r="D64" s="140">
        <f>SUM(D65)</f>
        <v>80.104</v>
      </c>
      <c r="E64" s="140">
        <f>SUM(E65)</f>
        <v>46.189</v>
      </c>
      <c r="F64" s="139"/>
      <c r="G64" s="141"/>
      <c r="H64" s="142"/>
      <c r="I64" s="143"/>
      <c r="J64" s="144"/>
      <c r="K64" s="144"/>
      <c r="L64" s="144"/>
      <c r="M64" s="144"/>
      <c r="N64" s="144"/>
      <c r="O64" s="144"/>
      <c r="P64" s="151"/>
      <c r="Q64" s="145"/>
    </row>
    <row r="65" spans="1:17" ht="39" customHeight="1">
      <c r="A65" s="187" t="s">
        <v>517</v>
      </c>
      <c r="B65" s="61" t="s">
        <v>518</v>
      </c>
      <c r="C65" s="186" t="s">
        <v>519</v>
      </c>
      <c r="D65" s="137">
        <v>80.104</v>
      </c>
      <c r="E65" s="137">
        <v>46.189</v>
      </c>
      <c r="F65" s="185" t="s">
        <v>417</v>
      </c>
      <c r="H65" s="63"/>
      <c r="J65" s="60"/>
      <c r="K65" s="60"/>
      <c r="L65" s="60"/>
      <c r="M65" s="60"/>
      <c r="N65" s="60"/>
      <c r="O65" s="60"/>
      <c r="P65" s="71"/>
      <c r="Q65" s="65"/>
    </row>
    <row r="66" spans="1:17" ht="56.25" customHeight="1">
      <c r="A66" s="187"/>
      <c r="B66" s="61" t="s">
        <v>7</v>
      </c>
      <c r="C66" s="186"/>
      <c r="D66" s="137">
        <v>10.423</v>
      </c>
      <c r="E66" s="137">
        <v>10.423</v>
      </c>
      <c r="F66" s="185"/>
      <c r="H66" s="63"/>
      <c r="J66" s="60"/>
      <c r="K66" s="60"/>
      <c r="L66" s="60"/>
      <c r="M66" s="60"/>
      <c r="N66" s="60"/>
      <c r="O66" s="60"/>
      <c r="P66" s="57"/>
      <c r="Q66" s="65"/>
    </row>
    <row r="67" spans="1:17" s="146" customFormat="1" ht="77.25" customHeight="1">
      <c r="A67" s="138">
        <v>48</v>
      </c>
      <c r="B67" s="139" t="s">
        <v>460</v>
      </c>
      <c r="C67" s="138" t="s">
        <v>552</v>
      </c>
      <c r="D67" s="140">
        <f>SUM(D68)</f>
        <v>98</v>
      </c>
      <c r="E67" s="140">
        <f>SUM(E68)</f>
        <v>0</v>
      </c>
      <c r="F67" s="139"/>
      <c r="G67" s="141"/>
      <c r="H67" s="142"/>
      <c r="I67" s="143"/>
      <c r="J67" s="144"/>
      <c r="K67" s="144"/>
      <c r="L67" s="144"/>
      <c r="M67" s="144"/>
      <c r="N67" s="144"/>
      <c r="O67" s="144"/>
      <c r="P67" s="135"/>
      <c r="Q67" s="145"/>
    </row>
    <row r="68" spans="1:17" ht="41.25" customHeight="1">
      <c r="A68" s="147" t="s">
        <v>517</v>
      </c>
      <c r="B68" s="61" t="s">
        <v>518</v>
      </c>
      <c r="C68" s="53" t="s">
        <v>519</v>
      </c>
      <c r="D68" s="137">
        <v>98</v>
      </c>
      <c r="E68" s="137">
        <v>0</v>
      </c>
      <c r="F68" s="67" t="s">
        <v>233</v>
      </c>
      <c r="H68" s="63"/>
      <c r="J68" s="60"/>
      <c r="K68" s="60"/>
      <c r="L68" s="60"/>
      <c r="M68" s="60"/>
      <c r="N68" s="60"/>
      <c r="O68" s="60"/>
      <c r="P68" s="57"/>
      <c r="Q68" s="65"/>
    </row>
    <row r="69" spans="1:17" s="146" customFormat="1" ht="62.25" customHeight="1">
      <c r="A69" s="138">
        <v>56</v>
      </c>
      <c r="B69" s="139" t="s">
        <v>564</v>
      </c>
      <c r="C69" s="138" t="s">
        <v>552</v>
      </c>
      <c r="D69" s="140">
        <f>SUM(D70)</f>
        <v>29</v>
      </c>
      <c r="E69" s="140">
        <f>SUM(E70)</f>
        <v>0</v>
      </c>
      <c r="F69" s="139"/>
      <c r="G69" s="141"/>
      <c r="H69" s="142"/>
      <c r="I69" s="143"/>
      <c r="J69" s="144"/>
      <c r="K69" s="144"/>
      <c r="L69" s="144"/>
      <c r="M69" s="144"/>
      <c r="N69" s="144"/>
      <c r="O69" s="144"/>
      <c r="P69" s="151"/>
      <c r="Q69" s="145"/>
    </row>
    <row r="70" spans="1:17" ht="39.75" customHeight="1">
      <c r="A70" s="147" t="s">
        <v>517</v>
      </c>
      <c r="B70" s="61" t="s">
        <v>518</v>
      </c>
      <c r="C70" s="53" t="s">
        <v>519</v>
      </c>
      <c r="D70" s="137">
        <v>29</v>
      </c>
      <c r="E70" s="137">
        <v>0</v>
      </c>
      <c r="F70" s="67" t="s">
        <v>233</v>
      </c>
      <c r="H70" s="63"/>
      <c r="J70" s="60"/>
      <c r="K70" s="60"/>
      <c r="L70" s="60"/>
      <c r="M70" s="60"/>
      <c r="N70" s="60"/>
      <c r="O70" s="60"/>
      <c r="P70" s="71"/>
      <c r="Q70" s="65"/>
    </row>
    <row r="71" spans="1:17" s="154" customFormat="1" ht="93.75" customHeight="1">
      <c r="A71" s="130" t="s">
        <v>565</v>
      </c>
      <c r="B71" s="131" t="s">
        <v>566</v>
      </c>
      <c r="C71" s="133"/>
      <c r="D71" s="132">
        <f>SUM(D72:D73)</f>
        <v>2353.16</v>
      </c>
      <c r="E71" s="132">
        <f>SUM(E72:E73)</f>
        <v>0</v>
      </c>
      <c r="F71" s="131"/>
      <c r="G71" s="134"/>
      <c r="H71" s="152"/>
      <c r="I71" s="153"/>
      <c r="J71" s="144"/>
      <c r="K71" s="144"/>
      <c r="L71" s="144"/>
      <c r="M71" s="144"/>
      <c r="N71" s="144"/>
      <c r="O71" s="144"/>
      <c r="P71" s="151"/>
      <c r="Q71" s="145"/>
    </row>
    <row r="72" spans="1:17" s="74" customFormat="1" ht="34.5" customHeight="1">
      <c r="A72" s="136" t="s">
        <v>551</v>
      </c>
      <c r="B72" s="51" t="s">
        <v>520</v>
      </c>
      <c r="C72" s="53" t="s">
        <v>519</v>
      </c>
      <c r="D72" s="92">
        <v>1469.66</v>
      </c>
      <c r="E72" s="137">
        <v>0</v>
      </c>
      <c r="F72" s="157" t="s">
        <v>233</v>
      </c>
      <c r="G72" s="55"/>
      <c r="H72" s="72"/>
      <c r="I72" s="73"/>
      <c r="J72" s="60"/>
      <c r="K72" s="60"/>
      <c r="L72" s="60"/>
      <c r="M72" s="60"/>
      <c r="N72" s="60"/>
      <c r="O72" s="60"/>
      <c r="P72" s="71"/>
      <c r="Q72" s="65"/>
    </row>
    <row r="73" spans="1:17" ht="57" customHeight="1">
      <c r="A73" s="147" t="s">
        <v>195</v>
      </c>
      <c r="B73" s="61" t="s">
        <v>196</v>
      </c>
      <c r="C73" s="53" t="s">
        <v>519</v>
      </c>
      <c r="D73" s="137">
        <f>1583.5-700</f>
        <v>883.5</v>
      </c>
      <c r="E73" s="137">
        <v>0</v>
      </c>
      <c r="F73" s="157" t="s">
        <v>233</v>
      </c>
      <c r="H73" s="63"/>
      <c r="J73" s="60"/>
      <c r="K73" s="60"/>
      <c r="L73" s="60"/>
      <c r="M73" s="60"/>
      <c r="N73" s="60"/>
      <c r="O73" s="60"/>
      <c r="P73" s="71"/>
      <c r="Q73" s="65"/>
    </row>
    <row r="74" spans="1:17" s="146" customFormat="1" ht="114.75" customHeight="1">
      <c r="A74" s="133">
        <v>67</v>
      </c>
      <c r="B74" s="131" t="s">
        <v>582</v>
      </c>
      <c r="C74" s="138"/>
      <c r="D74" s="140">
        <f>SUM(D75:D76)</f>
        <v>6758.5599999999995</v>
      </c>
      <c r="E74" s="140">
        <f>SUM(E75:E76)</f>
        <v>920.56597</v>
      </c>
      <c r="F74" s="139"/>
      <c r="G74" s="141"/>
      <c r="H74" s="142"/>
      <c r="J74" s="144"/>
      <c r="K74" s="144"/>
      <c r="L74" s="144"/>
      <c r="M74" s="144"/>
      <c r="N74" s="144"/>
      <c r="O74" s="144"/>
      <c r="P74" s="135"/>
      <c r="Q74" s="145"/>
    </row>
    <row r="75" spans="1:17" ht="75" customHeight="1">
      <c r="A75" s="136" t="s">
        <v>502</v>
      </c>
      <c r="B75" s="51" t="s">
        <v>512</v>
      </c>
      <c r="C75" s="53" t="s">
        <v>519</v>
      </c>
      <c r="D75" s="137">
        <v>6686.021</v>
      </c>
      <c r="E75" s="137">
        <v>849.15697</v>
      </c>
      <c r="F75" s="67" t="s">
        <v>365</v>
      </c>
      <c r="H75" s="63"/>
      <c r="I75" s="66"/>
      <c r="J75" s="60"/>
      <c r="K75" s="60"/>
      <c r="L75" s="60"/>
      <c r="M75" s="60"/>
      <c r="N75" s="60"/>
      <c r="O75" s="60"/>
      <c r="P75" s="57"/>
      <c r="Q75" s="65"/>
    </row>
    <row r="76" spans="1:17" ht="42" customHeight="1">
      <c r="A76" s="136" t="s">
        <v>567</v>
      </c>
      <c r="B76" s="51" t="s">
        <v>568</v>
      </c>
      <c r="C76" s="53" t="s">
        <v>519</v>
      </c>
      <c r="D76" s="137">
        <v>72.539</v>
      </c>
      <c r="E76" s="137">
        <v>71.409</v>
      </c>
      <c r="F76" s="67" t="s">
        <v>418</v>
      </c>
      <c r="H76" s="63"/>
      <c r="I76" s="66"/>
      <c r="J76" s="60"/>
      <c r="K76" s="60"/>
      <c r="L76" s="60"/>
      <c r="M76" s="60"/>
      <c r="N76" s="60"/>
      <c r="O76" s="60"/>
      <c r="P76" s="57"/>
      <c r="Q76" s="65"/>
    </row>
    <row r="77" spans="1:17" ht="75.75" customHeight="1">
      <c r="A77" s="149">
        <v>73</v>
      </c>
      <c r="B77" s="139" t="s">
        <v>482</v>
      </c>
      <c r="C77" s="138"/>
      <c r="D77" s="140">
        <f>SUM(D78:D78)</f>
        <v>30</v>
      </c>
      <c r="E77" s="140">
        <f>SUM(E78:E78)</f>
        <v>29.99868</v>
      </c>
      <c r="F77" s="67"/>
      <c r="H77" s="63"/>
      <c r="I77" s="66"/>
      <c r="J77" s="60"/>
      <c r="K77" s="60"/>
      <c r="L77" s="60"/>
      <c r="M77" s="60"/>
      <c r="N77" s="60"/>
      <c r="O77" s="60"/>
      <c r="P77" s="57"/>
      <c r="Q77" s="65"/>
    </row>
    <row r="78" spans="1:17" ht="50.25" customHeight="1">
      <c r="A78" s="147" t="s">
        <v>517</v>
      </c>
      <c r="B78" s="61" t="s">
        <v>518</v>
      </c>
      <c r="C78" s="53" t="s">
        <v>519</v>
      </c>
      <c r="D78" s="137">
        <v>30</v>
      </c>
      <c r="E78" s="137">
        <v>29.99868</v>
      </c>
      <c r="F78" s="67" t="s">
        <v>371</v>
      </c>
      <c r="H78" s="63"/>
      <c r="I78" s="66"/>
      <c r="J78" s="60"/>
      <c r="K78" s="60"/>
      <c r="L78" s="60"/>
      <c r="M78" s="60"/>
      <c r="N78" s="60"/>
      <c r="O78" s="60"/>
      <c r="P78" s="57"/>
      <c r="Q78" s="65"/>
    </row>
    <row r="79" spans="1:17" s="146" customFormat="1" ht="102" customHeight="1">
      <c r="A79" s="130" t="s">
        <v>213</v>
      </c>
      <c r="B79" s="131" t="s">
        <v>214</v>
      </c>
      <c r="C79" s="138"/>
      <c r="D79" s="140">
        <f>SUM(D80)</f>
        <v>760.407</v>
      </c>
      <c r="E79" s="140">
        <f>SUM(E80)</f>
        <v>47.821</v>
      </c>
      <c r="F79" s="139"/>
      <c r="G79" s="141"/>
      <c r="H79" s="142"/>
      <c r="J79" s="144"/>
      <c r="K79" s="144"/>
      <c r="L79" s="144"/>
      <c r="M79" s="144"/>
      <c r="N79" s="144"/>
      <c r="O79" s="144"/>
      <c r="P79" s="135"/>
      <c r="Q79" s="145"/>
    </row>
    <row r="80" spans="1:17" ht="197.25" customHeight="1">
      <c r="A80" s="136" t="s">
        <v>215</v>
      </c>
      <c r="B80" s="51" t="s">
        <v>216</v>
      </c>
      <c r="C80" s="53" t="s">
        <v>519</v>
      </c>
      <c r="D80" s="137">
        <v>760.407</v>
      </c>
      <c r="E80" s="137">
        <v>47.821</v>
      </c>
      <c r="F80" s="167" t="s">
        <v>419</v>
      </c>
      <c r="H80" s="63"/>
      <c r="I80" s="66"/>
      <c r="J80" s="60"/>
      <c r="K80" s="60"/>
      <c r="L80" s="60"/>
      <c r="M80" s="60"/>
      <c r="N80" s="60"/>
      <c r="O80" s="60"/>
      <c r="P80" s="57"/>
      <c r="Q80" s="65"/>
    </row>
    <row r="81" spans="1:17" s="146" customFormat="1" ht="77.25" customHeight="1">
      <c r="A81" s="130" t="s">
        <v>145</v>
      </c>
      <c r="B81" s="131" t="s">
        <v>144</v>
      </c>
      <c r="C81" s="138"/>
      <c r="D81" s="140">
        <f>SUM(D82)</f>
        <v>112.012</v>
      </c>
      <c r="E81" s="140">
        <f>SUM(E82)</f>
        <v>59.9</v>
      </c>
      <c r="G81" s="141"/>
      <c r="H81" s="142"/>
      <c r="J81" s="144"/>
      <c r="K81" s="144"/>
      <c r="L81" s="144"/>
      <c r="M81" s="144"/>
      <c r="N81" s="144"/>
      <c r="O81" s="144"/>
      <c r="P81" s="135"/>
      <c r="Q81" s="145"/>
    </row>
    <row r="82" spans="1:17" ht="95.25" customHeight="1">
      <c r="A82" s="147" t="s">
        <v>517</v>
      </c>
      <c r="B82" s="61" t="s">
        <v>518</v>
      </c>
      <c r="C82" s="53" t="s">
        <v>519</v>
      </c>
      <c r="D82" s="137">
        <f>105.037+6.975</f>
        <v>112.012</v>
      </c>
      <c r="E82" s="137">
        <v>59.9</v>
      </c>
      <c r="F82" s="158" t="s">
        <v>420</v>
      </c>
      <c r="H82" s="63"/>
      <c r="I82" s="66"/>
      <c r="J82" s="60"/>
      <c r="K82" s="60"/>
      <c r="L82" s="60"/>
      <c r="M82" s="60"/>
      <c r="N82" s="60"/>
      <c r="O82" s="60"/>
      <c r="P82" s="57"/>
      <c r="Q82" s="65"/>
    </row>
    <row r="83" spans="1:17" s="146" customFormat="1" ht="82.5" customHeight="1">
      <c r="A83" s="130" t="s">
        <v>148</v>
      </c>
      <c r="B83" s="131" t="s">
        <v>149</v>
      </c>
      <c r="C83" s="138"/>
      <c r="D83" s="140">
        <f>SUM(D84:D85)</f>
        <v>17.975</v>
      </c>
      <c r="E83" s="140">
        <f>SUM(E84:E85)</f>
        <v>3</v>
      </c>
      <c r="F83" s="139"/>
      <c r="G83" s="141"/>
      <c r="H83" s="142"/>
      <c r="J83" s="144"/>
      <c r="K83" s="144"/>
      <c r="L83" s="144"/>
      <c r="M83" s="144"/>
      <c r="N83" s="144"/>
      <c r="O83" s="144"/>
      <c r="P83" s="135"/>
      <c r="Q83" s="145"/>
    </row>
    <row r="84" spans="1:17" ht="46.5" customHeight="1">
      <c r="A84" s="147" t="s">
        <v>517</v>
      </c>
      <c r="B84" s="61" t="s">
        <v>518</v>
      </c>
      <c r="C84" s="53" t="s">
        <v>519</v>
      </c>
      <c r="D84" s="137">
        <v>6.975</v>
      </c>
      <c r="E84" s="137">
        <v>0</v>
      </c>
      <c r="F84" s="67" t="s">
        <v>233</v>
      </c>
      <c r="H84" s="63"/>
      <c r="I84" s="66"/>
      <c r="J84" s="60"/>
      <c r="K84" s="60"/>
      <c r="L84" s="60"/>
      <c r="M84" s="60"/>
      <c r="N84" s="60"/>
      <c r="O84" s="60"/>
      <c r="P84" s="57"/>
      <c r="Q84" s="65"/>
    </row>
    <row r="85" spans="1:17" ht="86.25" customHeight="1">
      <c r="A85" s="147" t="s">
        <v>553</v>
      </c>
      <c r="B85" s="51" t="s">
        <v>139</v>
      </c>
      <c r="C85" s="53" t="s">
        <v>519</v>
      </c>
      <c r="D85" s="137">
        <v>11</v>
      </c>
      <c r="E85" s="137">
        <v>3</v>
      </c>
      <c r="F85" s="67" t="s">
        <v>421</v>
      </c>
      <c r="H85" s="63"/>
      <c r="I85" s="66"/>
      <c r="J85" s="60"/>
      <c r="K85" s="60"/>
      <c r="L85" s="60"/>
      <c r="M85" s="60"/>
      <c r="N85" s="60"/>
      <c r="O85" s="60"/>
      <c r="P85" s="57"/>
      <c r="Q85" s="65"/>
    </row>
    <row r="86" spans="1:17" s="146" customFormat="1" ht="96" customHeight="1">
      <c r="A86" s="130" t="s">
        <v>4</v>
      </c>
      <c r="B86" s="131" t="s">
        <v>486</v>
      </c>
      <c r="C86" s="130"/>
      <c r="D86" s="132">
        <f>SUM(D88+D87)</f>
        <v>45.882</v>
      </c>
      <c r="E86" s="132">
        <f>SUM(E88+E87)</f>
        <v>38.907</v>
      </c>
      <c r="F86" s="139"/>
      <c r="G86" s="141"/>
      <c r="H86" s="142"/>
      <c r="J86" s="144"/>
      <c r="K86" s="144"/>
      <c r="L86" s="144"/>
      <c r="M86" s="144"/>
      <c r="N86" s="144"/>
      <c r="O86" s="144"/>
      <c r="P86" s="135"/>
      <c r="Q86" s="145"/>
    </row>
    <row r="87" spans="1:17" ht="48.75" customHeight="1">
      <c r="A87" s="136" t="s">
        <v>517</v>
      </c>
      <c r="B87" s="52" t="s">
        <v>140</v>
      </c>
      <c r="C87" s="136" t="s">
        <v>519</v>
      </c>
      <c r="D87" s="92">
        <v>6.975</v>
      </c>
      <c r="E87" s="92">
        <v>0</v>
      </c>
      <c r="F87" s="67" t="s">
        <v>233</v>
      </c>
      <c r="H87" s="63"/>
      <c r="I87" s="66"/>
      <c r="J87" s="60"/>
      <c r="K87" s="60"/>
      <c r="L87" s="60"/>
      <c r="M87" s="60"/>
      <c r="N87" s="60"/>
      <c r="O87" s="60"/>
      <c r="P87" s="57"/>
      <c r="Q87" s="65"/>
    </row>
    <row r="88" spans="1:17" ht="28.5" customHeight="1">
      <c r="A88" s="188" t="s">
        <v>553</v>
      </c>
      <c r="B88" s="52" t="s">
        <v>138</v>
      </c>
      <c r="C88" s="188" t="s">
        <v>519</v>
      </c>
      <c r="D88" s="92" t="s">
        <v>5</v>
      </c>
      <c r="E88" s="92">
        <v>38.907</v>
      </c>
      <c r="F88" s="173" t="s">
        <v>422</v>
      </c>
      <c r="H88" s="63"/>
      <c r="I88" s="66"/>
      <c r="J88" s="60"/>
      <c r="K88" s="60"/>
      <c r="L88" s="60"/>
      <c r="M88" s="60"/>
      <c r="N88" s="60"/>
      <c r="O88" s="60"/>
      <c r="P88" s="57"/>
      <c r="Q88" s="65"/>
    </row>
    <row r="89" spans="1:17" ht="54.75" customHeight="1">
      <c r="A89" s="188"/>
      <c r="B89" s="61" t="s">
        <v>7</v>
      </c>
      <c r="C89" s="188"/>
      <c r="D89" s="92" t="s">
        <v>5</v>
      </c>
      <c r="E89" s="92">
        <v>38.907</v>
      </c>
      <c r="F89" s="176"/>
      <c r="H89" s="63"/>
      <c r="I89" s="66"/>
      <c r="J89" s="60"/>
      <c r="K89" s="60"/>
      <c r="L89" s="60"/>
      <c r="M89" s="60"/>
      <c r="N89" s="60"/>
      <c r="O89" s="60"/>
      <c r="P89" s="57"/>
      <c r="Q89" s="65"/>
    </row>
    <row r="90" spans="1:17" s="146" customFormat="1" ht="75.75" customHeight="1">
      <c r="A90" s="130" t="s">
        <v>442</v>
      </c>
      <c r="B90" s="150" t="s">
        <v>444</v>
      </c>
      <c r="C90" s="130"/>
      <c r="D90" s="132" t="s">
        <v>443</v>
      </c>
      <c r="E90" s="132">
        <f>E91</f>
        <v>0</v>
      </c>
      <c r="F90" s="139"/>
      <c r="G90" s="141"/>
      <c r="H90" s="142"/>
      <c r="J90" s="144"/>
      <c r="K90" s="144"/>
      <c r="L90" s="144"/>
      <c r="M90" s="144"/>
      <c r="N90" s="144"/>
      <c r="O90" s="144"/>
      <c r="P90" s="135"/>
      <c r="Q90" s="145"/>
    </row>
    <row r="91" spans="1:17" ht="42.75" customHeight="1">
      <c r="A91" s="136" t="s">
        <v>517</v>
      </c>
      <c r="B91" s="52" t="s">
        <v>140</v>
      </c>
      <c r="C91" s="53" t="s">
        <v>519</v>
      </c>
      <c r="D91" s="92" t="s">
        <v>443</v>
      </c>
      <c r="E91" s="137">
        <v>0</v>
      </c>
      <c r="F91" s="67" t="s">
        <v>233</v>
      </c>
      <c r="H91" s="63"/>
      <c r="I91" s="66"/>
      <c r="J91" s="60"/>
      <c r="K91" s="60"/>
      <c r="L91" s="60"/>
      <c r="M91" s="60"/>
      <c r="N91" s="60"/>
      <c r="O91" s="60"/>
      <c r="P91" s="57"/>
      <c r="Q91" s="65"/>
    </row>
    <row r="92" spans="1:13" s="146" customFormat="1" ht="94.5" customHeight="1">
      <c r="A92" s="133">
        <v>94</v>
      </c>
      <c r="B92" s="131" t="s">
        <v>51</v>
      </c>
      <c r="C92" s="138"/>
      <c r="D92" s="140">
        <f>SUM(D93:D93)</f>
        <v>6.975</v>
      </c>
      <c r="E92" s="140">
        <f>SUM(E93:E93)</f>
        <v>0</v>
      </c>
      <c r="F92" s="139"/>
      <c r="G92" s="155"/>
      <c r="H92" s="156"/>
      <c r="I92" s="144"/>
      <c r="J92" s="156"/>
      <c r="K92" s="144"/>
      <c r="L92" s="156"/>
      <c r="M92" s="143"/>
    </row>
    <row r="93" spans="1:13" ht="44.25" customHeight="1">
      <c r="A93" s="136" t="s">
        <v>517</v>
      </c>
      <c r="B93" s="52" t="s">
        <v>140</v>
      </c>
      <c r="C93" s="53" t="s">
        <v>519</v>
      </c>
      <c r="D93" s="137">
        <v>6.975</v>
      </c>
      <c r="E93" s="137">
        <v>0</v>
      </c>
      <c r="F93" s="67" t="s">
        <v>233</v>
      </c>
      <c r="G93" s="75"/>
      <c r="H93" s="76"/>
      <c r="I93" s="60"/>
      <c r="J93" s="76"/>
      <c r="K93" s="60"/>
      <c r="L93" s="76"/>
      <c r="M93" s="64"/>
    </row>
    <row r="94" spans="1:17" s="146" customFormat="1" ht="81.75" customHeight="1">
      <c r="A94" s="130" t="s">
        <v>574</v>
      </c>
      <c r="B94" s="131" t="s">
        <v>500</v>
      </c>
      <c r="C94" s="130"/>
      <c r="D94" s="132">
        <f>SUM(D97+D95)</f>
        <v>35.74</v>
      </c>
      <c r="E94" s="132">
        <f>SUM(E97+E95)</f>
        <v>22.896</v>
      </c>
      <c r="F94" s="139"/>
      <c r="G94" s="141"/>
      <c r="H94" s="142"/>
      <c r="J94" s="144"/>
      <c r="K94" s="144"/>
      <c r="L94" s="144"/>
      <c r="M94" s="144"/>
      <c r="N94" s="144"/>
      <c r="O94" s="144"/>
      <c r="P94" s="135"/>
      <c r="Q94" s="145"/>
    </row>
    <row r="95" spans="1:17" ht="42" customHeight="1">
      <c r="A95" s="188" t="s">
        <v>517</v>
      </c>
      <c r="B95" s="52" t="s">
        <v>140</v>
      </c>
      <c r="C95" s="188" t="s">
        <v>519</v>
      </c>
      <c r="D95" s="92">
        <f>8.765+6.975</f>
        <v>15.74</v>
      </c>
      <c r="E95" s="92" t="s">
        <v>362</v>
      </c>
      <c r="F95" s="173" t="s">
        <v>423</v>
      </c>
      <c r="H95" s="63"/>
      <c r="I95" s="66"/>
      <c r="J95" s="60"/>
      <c r="K95" s="60"/>
      <c r="L95" s="60"/>
      <c r="M95" s="60"/>
      <c r="N95" s="60"/>
      <c r="O95" s="60"/>
      <c r="P95" s="57"/>
      <c r="Q95" s="65"/>
    </row>
    <row r="96" spans="1:17" ht="60.75" customHeight="1">
      <c r="A96" s="188"/>
      <c r="B96" s="61" t="s">
        <v>7</v>
      </c>
      <c r="C96" s="188"/>
      <c r="D96" s="92">
        <v>2.896</v>
      </c>
      <c r="E96" s="92">
        <v>2.896</v>
      </c>
      <c r="F96" s="174"/>
      <c r="H96" s="63"/>
      <c r="I96" s="66"/>
      <c r="J96" s="60"/>
      <c r="K96" s="60"/>
      <c r="L96" s="60"/>
      <c r="M96" s="60"/>
      <c r="N96" s="60"/>
      <c r="O96" s="60"/>
      <c r="P96" s="57"/>
      <c r="Q96" s="65"/>
    </row>
    <row r="97" spans="1:17" ht="30" customHeight="1">
      <c r="A97" s="188" t="s">
        <v>553</v>
      </c>
      <c r="B97" s="52" t="s">
        <v>138</v>
      </c>
      <c r="C97" s="188" t="s">
        <v>519</v>
      </c>
      <c r="D97" s="92" t="s">
        <v>42</v>
      </c>
      <c r="E97" s="92">
        <v>20</v>
      </c>
      <c r="F97" s="173" t="s">
        <v>424</v>
      </c>
      <c r="H97" s="63"/>
      <c r="I97" s="66"/>
      <c r="J97" s="60"/>
      <c r="K97" s="60"/>
      <c r="L97" s="60"/>
      <c r="M97" s="60"/>
      <c r="N97" s="60"/>
      <c r="O97" s="60"/>
      <c r="P97" s="57"/>
      <c r="Q97" s="65"/>
    </row>
    <row r="98" spans="1:17" ht="54.75" customHeight="1">
      <c r="A98" s="188"/>
      <c r="B98" s="61" t="s">
        <v>7</v>
      </c>
      <c r="C98" s="188"/>
      <c r="D98" s="92" t="s">
        <v>42</v>
      </c>
      <c r="E98" s="92">
        <v>20</v>
      </c>
      <c r="F98" s="176"/>
      <c r="H98" s="63"/>
      <c r="I98" s="66"/>
      <c r="J98" s="60"/>
      <c r="K98" s="60"/>
      <c r="L98" s="60"/>
      <c r="M98" s="60"/>
      <c r="N98" s="60"/>
      <c r="O98" s="60"/>
      <c r="P98" s="57"/>
      <c r="Q98" s="65"/>
    </row>
    <row r="99" spans="1:17" s="146" customFormat="1" ht="72.75" customHeight="1">
      <c r="A99" s="130" t="s">
        <v>6</v>
      </c>
      <c r="B99" s="131" t="s">
        <v>141</v>
      </c>
      <c r="C99" s="130"/>
      <c r="D99" s="132">
        <f>SUM(D100)</f>
        <v>153.363</v>
      </c>
      <c r="E99" s="132">
        <f>SUM(E100)</f>
        <v>146.388</v>
      </c>
      <c r="F99" s="139"/>
      <c r="G99" s="141"/>
      <c r="H99" s="142"/>
      <c r="J99" s="144"/>
      <c r="K99" s="144"/>
      <c r="L99" s="144"/>
      <c r="M99" s="144"/>
      <c r="N99" s="144"/>
      <c r="O99" s="144"/>
      <c r="P99" s="135"/>
      <c r="Q99" s="145"/>
    </row>
    <row r="100" spans="1:17" ht="36" customHeight="1">
      <c r="A100" s="187" t="s">
        <v>517</v>
      </c>
      <c r="B100" s="61" t="s">
        <v>140</v>
      </c>
      <c r="C100" s="186" t="s">
        <v>519</v>
      </c>
      <c r="D100" s="137">
        <f>146.388+6.975</f>
        <v>153.363</v>
      </c>
      <c r="E100" s="137">
        <v>146.388</v>
      </c>
      <c r="F100" s="185" t="s">
        <v>425</v>
      </c>
      <c r="H100" s="63"/>
      <c r="I100" s="66"/>
      <c r="J100" s="60"/>
      <c r="K100" s="60"/>
      <c r="L100" s="60"/>
      <c r="M100" s="60"/>
      <c r="N100" s="60"/>
      <c r="O100" s="60"/>
      <c r="P100" s="57"/>
      <c r="Q100" s="65"/>
    </row>
    <row r="101" spans="1:17" ht="72.75" customHeight="1">
      <c r="A101" s="187"/>
      <c r="B101" s="61" t="s">
        <v>7</v>
      </c>
      <c r="C101" s="186"/>
      <c r="D101" s="137">
        <v>146.388</v>
      </c>
      <c r="E101" s="137">
        <v>146.388</v>
      </c>
      <c r="F101" s="185"/>
      <c r="H101" s="63"/>
      <c r="I101" s="66"/>
      <c r="J101" s="60"/>
      <c r="K101" s="60"/>
      <c r="L101" s="60"/>
      <c r="M101" s="60"/>
      <c r="N101" s="60"/>
      <c r="O101" s="60"/>
      <c r="P101" s="57"/>
      <c r="Q101" s="65"/>
    </row>
    <row r="102" ht="13.5" customHeight="1"/>
    <row r="103" spans="1:6" ht="24" customHeight="1">
      <c r="A103" s="172"/>
      <c r="B103" s="172"/>
      <c r="C103" s="172"/>
      <c r="D103" s="172"/>
      <c r="E103" s="172"/>
      <c r="F103" s="172"/>
    </row>
    <row r="104" spans="1:11" s="80" customFormat="1" ht="31.5" customHeight="1">
      <c r="A104" s="171" t="s">
        <v>555</v>
      </c>
      <c r="B104" s="171"/>
      <c r="C104" s="175" t="s">
        <v>556</v>
      </c>
      <c r="D104" s="175"/>
      <c r="E104" s="175"/>
      <c r="F104" s="175"/>
      <c r="G104" s="78"/>
      <c r="H104" s="79"/>
      <c r="I104" s="79"/>
      <c r="J104" s="79"/>
      <c r="K104" s="79"/>
    </row>
    <row r="105" ht="18.75" hidden="1"/>
  </sheetData>
  <sheetProtection/>
  <mergeCells count="73">
    <mergeCell ref="F15:F16"/>
    <mergeCell ref="F47:F48"/>
    <mergeCell ref="F22:F23"/>
    <mergeCell ref="F24:F25"/>
    <mergeCell ref="F26:F27"/>
    <mergeCell ref="F31:F32"/>
    <mergeCell ref="F35:F36"/>
    <mergeCell ref="F38:F39"/>
    <mergeCell ref="A2:F2"/>
    <mergeCell ref="E4:E5"/>
    <mergeCell ref="F4:F5"/>
    <mergeCell ref="C38:C39"/>
    <mergeCell ref="A38:A39"/>
    <mergeCell ref="C4:C5"/>
    <mergeCell ref="D4:D5"/>
    <mergeCell ref="F13:F14"/>
    <mergeCell ref="F33:F34"/>
    <mergeCell ref="A13:A14"/>
    <mergeCell ref="C104:F104"/>
    <mergeCell ref="F41:F42"/>
    <mergeCell ref="F43:F44"/>
    <mergeCell ref="F45:F46"/>
    <mergeCell ref="C45:C46"/>
    <mergeCell ref="F97:F98"/>
    <mergeCell ref="F88:F89"/>
    <mergeCell ref="F60:F61"/>
    <mergeCell ref="C97:C98"/>
    <mergeCell ref="F62:F63"/>
    <mergeCell ref="F65:F66"/>
    <mergeCell ref="F100:F101"/>
    <mergeCell ref="A57:A58"/>
    <mergeCell ref="A88:A89"/>
    <mergeCell ref="C88:C89"/>
    <mergeCell ref="A95:A96"/>
    <mergeCell ref="C95:C96"/>
    <mergeCell ref="A60:A61"/>
    <mergeCell ref="C60:C61"/>
    <mergeCell ref="C57:C58"/>
    <mergeCell ref="A104:B104"/>
    <mergeCell ref="A62:A63"/>
    <mergeCell ref="C62:C63"/>
    <mergeCell ref="A65:A66"/>
    <mergeCell ref="C65:C66"/>
    <mergeCell ref="C100:C101"/>
    <mergeCell ref="A100:A101"/>
    <mergeCell ref="A97:A98"/>
    <mergeCell ref="A103:F103"/>
    <mergeCell ref="F95:F96"/>
    <mergeCell ref="A9:A10"/>
    <mergeCell ref="C9:C10"/>
    <mergeCell ref="A24:A25"/>
    <mergeCell ref="C24:C25"/>
    <mergeCell ref="A15:A16"/>
    <mergeCell ref="C15:C16"/>
    <mergeCell ref="A22:A23"/>
    <mergeCell ref="C22:C23"/>
    <mergeCell ref="C13:C14"/>
    <mergeCell ref="C41:C42"/>
    <mergeCell ref="A43:A44"/>
    <mergeCell ref="C43:C44"/>
    <mergeCell ref="A26:A27"/>
    <mergeCell ref="A41:A42"/>
    <mergeCell ref="A31:A32"/>
    <mergeCell ref="C31:C32"/>
    <mergeCell ref="A35:A36"/>
    <mergeCell ref="C35:C36"/>
    <mergeCell ref="F53:F54"/>
    <mergeCell ref="F57:F58"/>
    <mergeCell ref="C47:C48"/>
    <mergeCell ref="A45:A46"/>
    <mergeCell ref="C53:C54"/>
    <mergeCell ref="A47:A48"/>
    <mergeCell ref="A53:A54"/>
  </mergeCells>
  <printOptions/>
  <pageMargins left="1.1023622047244095" right="0.11811023622047245" top="0.7480314960629921" bottom="0.35433070866141736" header="0.31496062992125984" footer="0.31496062992125984"/>
  <pageSetup firstPageNumber="75" useFirstPageNumber="1" horizontalDpi="600" verticalDpi="600" orientation="portrait" paperSize="9" scale="6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2014-02-20T15:40:36Z</cp:lastPrinted>
  <dcterms:created xsi:type="dcterms:W3CDTF">2010-08-18T08:39:04Z</dcterms:created>
  <dcterms:modified xsi:type="dcterms:W3CDTF">2014-03-18T07:11:36Z</dcterms:modified>
  <cp:category/>
  <cp:version/>
  <cp:contentType/>
  <cp:contentStatus/>
</cp:coreProperties>
</file>