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1'!$A$1:$H$272</definedName>
    <definedName name="_xlnm.Print_Area" localSheetId="1">'додаток 2'!$A$1:$E$24</definedName>
    <definedName name="_xlnm.Print_Area" localSheetId="2">'Додаток 3'!$A$1:$G$291</definedName>
  </definedNames>
  <calcPr fullCalcOnLoad="1"/>
</workbook>
</file>

<file path=xl/sharedStrings.xml><?xml version="1.0" encoding="utf-8"?>
<sst xmlns="http://schemas.openxmlformats.org/spreadsheetml/2006/main" count="893" uniqueCount="258">
  <si>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</si>
  <si>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</si>
  <si>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</si>
  <si>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</si>
  <si>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</si>
  <si>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</si>
  <si>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</si>
  <si>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</si>
  <si>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</si>
  <si>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</si>
  <si>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</si>
  <si>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</si>
  <si>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</si>
  <si>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</si>
  <si>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</si>
  <si>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</si>
  <si>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</si>
  <si>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</si>
  <si>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</si>
  <si>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департамент житлово-комунального господарства Запорізької міської ради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</si>
  <si>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</si>
  <si>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</si>
  <si>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</si>
  <si>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</si>
  <si>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</si>
  <si>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</si>
  <si>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</si>
  <si>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прибирання газонів, парків, скверів (прибирання листя) </t>
  </si>
  <si>
    <t xml:space="preserve">утримання міських фонтанів </t>
  </si>
  <si>
    <t xml:space="preserve">утримання громадських вбиралень (туалетів) </t>
  </si>
  <si>
    <t>районна адміністрація Запорізької міської ради по Ленінському району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</si>
  <si>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</si>
  <si>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</si>
  <si>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</si>
  <si>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</si>
  <si>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</si>
  <si>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</si>
  <si>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</si>
  <si>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>утримання парків та скверів</t>
  </si>
  <si>
    <t>поточний ремонт малих архітектурних форм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</si>
  <si>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</si>
  <si>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</si>
  <si>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</si>
  <si>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</si>
  <si>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</si>
  <si>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</si>
  <si>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</si>
  <si>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</si>
  <si>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</si>
  <si>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</si>
  <si>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</si>
  <si>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Головний розпорядник бюджетних коштів - департамент житлово-комунального господарства Запорізької міської ради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</si>
  <si>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</si>
  <si>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</si>
  <si>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</si>
  <si>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</si>
  <si>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</si>
  <si>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</si>
  <si>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</si>
  <si>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</si>
  <si>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</t>
  </si>
  <si>
    <t>чол.</t>
  </si>
  <si>
    <t>Додаток 3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</si>
  <si>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</si>
  <si>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</si>
  <si>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Інші джерела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</si>
  <si>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</si>
  <si>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</si>
  <si>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</si>
  <si>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</si>
  <si>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</si>
  <si>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</si>
  <si>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</si>
  <si>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</si>
  <si>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</si>
  <si>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</si>
  <si>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</si>
  <si>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</si>
  <si>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</si>
  <si>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</si>
  <si>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</si>
  <si>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</si>
  <si>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</si>
  <si>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</si>
  <si>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</si>
  <si>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</si>
  <si>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</si>
  <si>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поточний ремонт та технічне обслуговування малих архітектурних форм парків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</si>
  <si>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</si>
  <si>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</si>
  <si>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</si>
  <si>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>Поховання померлих безрідних та невідомих громадян міста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</si>
  <si>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</si>
  <si>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</si>
  <si>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</si>
  <si>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</si>
  <si>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</si>
  <si>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</si>
  <si>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</si>
  <si>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Головний розпорядник бюджетних коштів - районна адміністрація Запорізької міської ради по Ленінському району</t>
  </si>
  <si>
    <t xml:space="preserve">Головний розпорядник бюджетних коштів - районна адміністрація Запорізької міської ради по Орджонікідзевському району </t>
  </si>
  <si>
    <t xml:space="preserve">Головний розпорядник бюджетних коштів - районна адміністрація Запорізької міської ради по Жовтневому району  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</si>
  <si>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</si>
  <si>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</si>
  <si>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</si>
  <si>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</si>
  <si>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Капітальний ремонт житлового фонду</t>
  </si>
  <si>
    <t>Прогнозні обсяги, тис.грн</t>
  </si>
  <si>
    <t>Забезпечення надійного та безперебійного функціонування житлово-експлуатаційного господарства</t>
  </si>
  <si>
    <t>Реалізація заходів  щодо інвестиційного розвитку території</t>
  </si>
  <si>
    <t>Районна адміністрація Запорізької міської ради по Орджонікідзевському  району</t>
  </si>
  <si>
    <t>Районна адміністрація Запорізької міської ради по Жовтневому  району</t>
  </si>
  <si>
    <t>Капітальний ремонт житлового фонду, в тому числі: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</si>
  <si>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</si>
  <si>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</si>
  <si>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</si>
  <si>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</si>
  <si>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Р.О. Таран</t>
  </si>
  <si>
    <t>будинок</t>
  </si>
  <si>
    <t>тис.кв.м.</t>
  </si>
  <si>
    <t>підприємство</t>
  </si>
  <si>
    <t>башт</t>
  </si>
  <si>
    <t>тис.грн.</t>
  </si>
  <si>
    <t>об'єктів</t>
  </si>
  <si>
    <t>Головний розпорядник бюджетних коштів - районна адміністрація Запорізької міської ради по Орджонікідзевському  району</t>
  </si>
  <si>
    <t>Головний розпорядник бюджетних коштів - районна адміністрація Запорізької міської ради по Жовтневому району</t>
  </si>
  <si>
    <t>в тому числі за рахунок надходжень до спеціального фонду бюджету міста</t>
  </si>
  <si>
    <t>в тому числі 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</si>
  <si>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</si>
  <si>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</si>
  <si>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</si>
  <si>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Погашення заборгованості минулих років, в тому числі</t>
  </si>
  <si>
    <t>поповнення обігових коштів комунального підприємства для оренди мобільних туалетних кабін та контейнерів для сміття</t>
  </si>
  <si>
    <t>Бюджет міста, всього</t>
  </si>
  <si>
    <t>в тому числі:</t>
  </si>
  <si>
    <t>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</si>
  <si>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власні надходження бюджетних установ</t>
  </si>
  <si>
    <t xml:space="preserve">освітлення пам’ятника </t>
  </si>
  <si>
    <t>поповнення обігових коштів комунального підприємства для виплати заробітної плати з нарахуваннями</t>
  </si>
  <si>
    <t>Погашення заборгованості минулих років, в тому числі:</t>
  </si>
  <si>
    <t>перевезення безпечних відходів</t>
  </si>
  <si>
    <t>збирання безпечних відходів (очищення території від сміття)</t>
  </si>
  <si>
    <t>перевезення безпечних відходів та захоронення твердих побутових відходів</t>
  </si>
  <si>
    <t>капітальний ремонт покрівель житлових будинків</t>
  </si>
  <si>
    <t>вибірковий капітальний ремонт житлових будинків</t>
  </si>
  <si>
    <t>заміна інженерних мереж водо-, теплопостачання</t>
  </si>
  <si>
    <t>модернізація електричних мереж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</si>
  <si>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</si>
  <si>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</si>
  <si>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</si>
  <si>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</si>
  <si>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капітальний ремонт будинків для передачі на баланс створеним ОСББ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</si>
  <si>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</si>
  <si>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</si>
  <si>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</si>
  <si>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</si>
  <si>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забезпечення  проектування, будівництва та реконструкції об'єктів</t>
  </si>
  <si>
    <t xml:space="preserve">забезпечення  проектування та реконструкції об'єктів </t>
  </si>
  <si>
    <t>тис.п.м.</t>
  </si>
  <si>
    <t>внески у статутні капітали комунальних  підприємств міста (придбання спеціальної техніки)</t>
  </si>
  <si>
    <t>проведення капітального ремонту житлового фонду ОСББ</t>
  </si>
  <si>
    <t>капітальний ремонт квартир</t>
  </si>
  <si>
    <t>догляд за зеленими насадженнями, в тому числі обрізка та ліквідація сухих, аварійно-небезпечних дерев</t>
  </si>
  <si>
    <t>Поховання померлих безрідних і невідомих та почесних громадян міста</t>
  </si>
  <si>
    <t>Газопостачання об'єктів благоустрою, в тому числі:</t>
  </si>
  <si>
    <t>технічне обслуговування газового обладнання і приладів</t>
  </si>
  <si>
    <t xml:space="preserve">газопостачання меморіального комплексу </t>
  </si>
  <si>
    <t>газопостачання меморіального комплексу</t>
  </si>
  <si>
    <t>до Програми розвитку та утримання житлово-комунального господарства м. Запоріжжя на 2014-2016 роки</t>
  </si>
  <si>
    <t>з виконання Програми розвитку та утримання житлово-комунального господарства м. Запоріжжя на 2014-2016 роки</t>
  </si>
  <si>
    <t>до Програми розвитку та утримання житлово-комунального господарства        м. Запоріжжя на 2014-2016 роки</t>
  </si>
  <si>
    <t>Програми розвитку та утримання житлово-комунального господарства м. Запоріжжя на 2014-2016 роки</t>
  </si>
  <si>
    <t>до Програми розвитку та утримання житлово-комунального господарства              м. Запоріжжя на 2014-2016 роки</t>
  </si>
  <si>
    <t>виконання Програми розвитку та утримання житлово-комунального господарства м. Запоріжжя на 2014-2016 роки</t>
  </si>
  <si>
    <t>оплата за виконані роботи з капітального ремонту житлового фонду у 2013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</si>
  <si>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2013 році</t>
  </si>
  <si>
    <t>оплата за виконані роботи з поточного ремонту внутрішньоквартальних доріг у 2013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</si>
  <si>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з проведення технічної інвентаризації гуртожитків комунальної власності міста у 2013 році</t>
  </si>
  <si>
    <t>Фінансова підтримка об'єктів житлово-комунального  господарства</t>
  </si>
  <si>
    <t>Фінансова підтримка об'єктів житлово-комунального  господарства, в тому числі:</t>
  </si>
  <si>
    <t>забезпечення підтримки міського комунального підприємства "Основаніє" для утримання та  експлуатації житлового фонду, визнаного ветхим та аварійним</t>
  </si>
  <si>
    <t>утримання громадських вбиралень (туалетів), мобільних та модульних туалетних кабін</t>
  </si>
  <si>
    <t>оплата за роботи виконані у 2013 році</t>
  </si>
  <si>
    <t>освітлення міста</t>
  </si>
  <si>
    <t>Капітальний ремонт нежитлового приміщення будівлі по вул. Сталеварів, 19</t>
  </si>
  <si>
    <t>оплата за виконані роботи з капітального ремонту нежитлових приміщень та будівель м. Запоріжжя у 2013 році</t>
  </si>
  <si>
    <t xml:space="preserve">оплата за виконані у 2013 році роботи по об'єктах будівництва та реконструкції </t>
  </si>
  <si>
    <t>внески у статутні капітали комунальних  підприємств міста (оплата за спеціальну техніку придбану у 2013 році)</t>
  </si>
  <si>
    <t xml:space="preserve">освітлення міста </t>
  </si>
  <si>
    <t>поточний ремонт доріг</t>
  </si>
  <si>
    <t xml:space="preserve">поточний ремонт доріг </t>
  </si>
  <si>
    <t>т.</t>
  </si>
  <si>
    <t>незалежна оцінка автомобільних доріг</t>
  </si>
  <si>
    <t>Проведення незалежної оцінки автомобільних доріг, в тому числі:</t>
  </si>
  <si>
    <t>капітальний ремонт штучної споруди</t>
  </si>
  <si>
    <t>поточний ремонт засобів регулювання дорожнього руху</t>
  </si>
  <si>
    <t>в тому числі за рахунок власних надходжень бюджетних установ</t>
  </si>
  <si>
    <t>нанесення та відновлювання  дорожньої розмітки</t>
  </si>
  <si>
    <t>забезпечення проектування та будівництва об'єктів</t>
  </si>
  <si>
    <t>забезпечення  проектування та реконструкції об'єктів</t>
  </si>
  <si>
    <t xml:space="preserve">поточний ремонт мостів, зупинкових комплексів, доріг та тротуарів </t>
  </si>
  <si>
    <t>технічне обслуговування засобів регулювання дорожнього руху</t>
  </si>
  <si>
    <t>оплата за виконані роботи з поточного ремонту нежитлових приміщень та будівель м. Запоріжжя у 2013 році</t>
  </si>
  <si>
    <t>депутати</t>
  </si>
  <si>
    <t>департамент економічного розвитку Запорізької міської ради</t>
  </si>
  <si>
    <t>надання фінансової підтримки комунальному підприємству "Управління капітального будівництва" для подачі позовної заяви до господарського суду</t>
  </si>
  <si>
    <t>департамент архітектури та містобудування Запорізької міської ради</t>
  </si>
  <si>
    <t>надання фінансової підтримки комунальному підприємству "Градпроект" для виплати заробітної плати з нарахуваннями</t>
  </si>
  <si>
    <t>виконавчий комітет Запорізької міської ради</t>
  </si>
  <si>
    <t>надання фінансової підтримки комунальному підприємству "Центр управління інформаційними технологіями" для виплати заробітної плати з нарахуваннями</t>
  </si>
  <si>
    <t>Головний розпорядник бюджетних коштів - департамент економічного розвитку Запорізької міської ради</t>
  </si>
  <si>
    <t>подача комунальним підприємством "Управління капітального будівництва" позовної заяви до господарського суду</t>
  </si>
  <si>
    <t>%</t>
  </si>
  <si>
    <t>Головний розпорядник бюджетних коштів - департамент архітектури та містобудування Запорізької міської ради</t>
  </si>
  <si>
    <t xml:space="preserve">забезпечення  виплати заробітної плати з нарахуваннями працівникам комунального підприємства "Градпроект" </t>
  </si>
  <si>
    <t>Головний розпорядник бюджетних коштів - виконавчий комітет Запорізької міської ради</t>
  </si>
  <si>
    <t xml:space="preserve">забезпечення  виплати заробітної плати з нарахуваннями працівникам комунального підприємства "Центр управління інформаційними технологіями" </t>
  </si>
  <si>
    <t>посадка дерев та чагарників</t>
  </si>
  <si>
    <t>реконструкція об’єктів транспортної інфраструктури</t>
  </si>
  <si>
    <t>км.</t>
  </si>
  <si>
    <t>Надання допомоги у вирішені житлових питань</t>
  </si>
  <si>
    <t>Забезпечення житлом окремих категорій населення, в тому числі:</t>
  </si>
  <si>
    <t xml:space="preserve">придбання квартир </t>
  </si>
  <si>
    <t>в тому числі за рахунок залишку субвенції 2012 - 2013 років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</si>
  <si>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 тому числі за рахунок залишку субвенції 2013 року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</si>
  <si>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будівництво об’єктів транспортної інфраструктури</t>
  </si>
  <si>
    <t xml:space="preserve">установка дорожніх знаків </t>
  </si>
  <si>
    <t>капітальний ремонт воїнсько-братського меморіалу на Капустяному кладовищі</t>
  </si>
  <si>
    <t>проекти</t>
  </si>
  <si>
    <t>поточний  ремонт штучних споруд</t>
  </si>
  <si>
    <t>поточний ремонт та заміна засобів регулювання дорожнього руху</t>
  </si>
  <si>
    <t>встановлення  малих архітектурних форм</t>
  </si>
  <si>
    <t>утримання та поточний ремонт малих архітектурних форм, пам'ятників</t>
  </si>
  <si>
    <t>інвентаризація зелених насаджень</t>
  </si>
  <si>
    <t>інвентаризація та паспортизація вулиць</t>
  </si>
  <si>
    <t>поточний ремонт об'єктів транспортної інфраструктури</t>
  </si>
  <si>
    <t>відновлення дорожньої розмітки</t>
  </si>
  <si>
    <t>незалежна оцінка шляхів з твердим покриттям</t>
  </si>
  <si>
    <t>утримання громадських вбиралень (туалетів)</t>
  </si>
  <si>
    <t>поточний ремонт колесо-відбійного брусу</t>
  </si>
  <si>
    <t>паспортизація доріг</t>
  </si>
  <si>
    <t>паспортизація зелених насаджень вздовж доріг</t>
  </si>
  <si>
    <t>паспортизація зелених насаджень парків, скверів</t>
  </si>
  <si>
    <t>ЗАТВЕРДЖЕНО</t>
  </si>
  <si>
    <t>Рішення міської ради</t>
  </si>
  <si>
    <t>___________ №  ____</t>
  </si>
  <si>
    <t>поточний ремонт мостів</t>
  </si>
  <si>
    <t>поточний ремонт зупинкових комплексів</t>
  </si>
  <si>
    <t>проведення технічної інвентаризації та погашення державної реєстрації права власності ветхих житлових будинків</t>
  </si>
  <si>
    <t xml:space="preserve">забезпечення  виплати заробітної плати працівникам комунального підприємства "Управління капітального будівництва" </t>
  </si>
  <si>
    <t>надання фінансової підтримки комунальному підприємству "Управління капітального будівництва" для виплати заробітної плати</t>
  </si>
  <si>
    <t>поховання померлих почесних громадян міста</t>
  </si>
  <si>
    <t>енергопостачання засобів регулювання дорожнього руху (в тому числі забезпечення сплати пені за несвоєчасну оплату спожитої електричної енергії для засобів регулювання дорожнім рухом)</t>
  </si>
  <si>
    <t>оплата заборгованості 2013 року з придбання житла для окремих категорій населення</t>
  </si>
  <si>
    <t>проведення незалежної оцінки об'єктів благоустрою</t>
  </si>
  <si>
    <t>куб.м.</t>
  </si>
  <si>
    <t>придбання квартир для призерів Олімпійських та Параолімпійських Ігор у Лондоні</t>
  </si>
  <si>
    <t>27.06.2014 № 34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</si>
</sst>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3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88" fontId="1" fillId="0" borderId="0" xfId="0" applyNumberFormat="1" applyFont="1" applyFill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top" wrapText="1"/>
    </xf>
    <xf numFmtId="191" fontId="1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60" applyNumberFormat="1" applyFont="1" applyFill="1" applyBorder="1" applyAlignment="1">
      <alignment horizontal="center" vertical="top" wrapText="1"/>
    </xf>
    <xf numFmtId="188" fontId="3" fillId="0" borderId="10" xfId="6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88" fontId="2" fillId="0" borderId="10" xfId="0" applyNumberFormat="1" applyFont="1" applyBorder="1" applyAlignment="1">
      <alignment horizontal="center" vertical="top" wrapText="1"/>
    </xf>
    <xf numFmtId="201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88" fontId="3" fillId="0" borderId="1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top" wrapText="1"/>
    </xf>
    <xf numFmtId="0" fontId="26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190" fontId="3" fillId="0" borderId="10" xfId="0" applyNumberFormat="1" applyFont="1" applyFill="1" applyBorder="1" applyAlignment="1">
      <alignment horizontal="center" vertical="top" wrapText="1"/>
    </xf>
    <xf numFmtId="189" fontId="1" fillId="0" borderId="1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7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189" fontId="3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31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6" fillId="0" borderId="0" xfId="0" applyFont="1" applyFill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72"/>
  <sheetViews>
    <sheetView view="pageBreakPreview" zoomScale="90" zoomScaleNormal="75" zoomScaleSheetLayoutView="90" zoomScalePageLayoutView="0" workbookViewId="0" topLeftCell="A251">
      <selection activeCell="D257" sqref="D257:D259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2.421875" style="2" customWidth="1"/>
    <col min="7" max="7" width="11.7109375" style="2" customWidth="1"/>
    <col min="8" max="8" width="12.28125" style="2" customWidth="1"/>
    <col min="9" max="16384" width="9.140625" style="1" customWidth="1"/>
  </cols>
  <sheetData>
    <row r="1" spans="3:8" s="67" customFormat="1" ht="20.25">
      <c r="C1" s="58"/>
      <c r="D1" s="58"/>
      <c r="E1" s="58"/>
      <c r="F1" s="103" t="s">
        <v>243</v>
      </c>
      <c r="G1" s="103"/>
      <c r="H1" s="103"/>
    </row>
    <row r="2" spans="3:8" s="67" customFormat="1" ht="20.25">
      <c r="C2" s="58"/>
      <c r="D2" s="58"/>
      <c r="E2" s="58"/>
      <c r="F2" s="103" t="s">
        <v>244</v>
      </c>
      <c r="G2" s="103"/>
      <c r="H2" s="103"/>
    </row>
    <row r="3" spans="3:8" s="67" customFormat="1" ht="20.25">
      <c r="C3" s="58"/>
      <c r="D3" s="58"/>
      <c r="E3" s="58"/>
      <c r="F3" s="103" t="s">
        <v>245</v>
      </c>
      <c r="G3" s="103"/>
      <c r="H3" s="103"/>
    </row>
    <row r="4" spans="3:8" s="67" customFormat="1" ht="20.25">
      <c r="C4" s="58"/>
      <c r="D4" s="58"/>
      <c r="E4" s="58"/>
      <c r="F4" s="58"/>
      <c r="G4" s="58"/>
      <c r="H4" s="58"/>
    </row>
    <row r="5" spans="3:8" s="26" customFormat="1" ht="20.25" customHeight="1">
      <c r="C5" s="27"/>
      <c r="D5" s="27"/>
      <c r="E5" s="27"/>
      <c r="F5" s="103" t="s">
        <v>7</v>
      </c>
      <c r="G5" s="103"/>
      <c r="H5" s="103"/>
    </row>
    <row r="6" spans="3:8" s="26" customFormat="1" ht="105.75" customHeight="1">
      <c r="C6" s="27"/>
      <c r="D6" s="27"/>
      <c r="E6" s="27"/>
      <c r="F6" s="103" t="s">
        <v>168</v>
      </c>
      <c r="G6" s="103"/>
      <c r="H6" s="103"/>
    </row>
    <row r="8" spans="1:8" s="26" customFormat="1" ht="20.25">
      <c r="A8" s="84" t="s">
        <v>6</v>
      </c>
      <c r="B8" s="84"/>
      <c r="C8" s="84"/>
      <c r="D8" s="84"/>
      <c r="E8" s="84"/>
      <c r="F8" s="84"/>
      <c r="G8" s="84"/>
      <c r="H8" s="84"/>
    </row>
    <row r="9" spans="1:8" s="26" customFormat="1" ht="20.25">
      <c r="A9" s="85" t="s">
        <v>169</v>
      </c>
      <c r="B9" s="85"/>
      <c r="C9" s="85"/>
      <c r="D9" s="85"/>
      <c r="E9" s="85"/>
      <c r="F9" s="85"/>
      <c r="G9" s="85"/>
      <c r="H9" s="85"/>
    </row>
    <row r="11" spans="1:8" s="4" customFormat="1" ht="23.25" customHeight="1">
      <c r="A11" s="116" t="s">
        <v>0</v>
      </c>
      <c r="B11" s="116" t="s">
        <v>1</v>
      </c>
      <c r="C11" s="116" t="s">
        <v>2</v>
      </c>
      <c r="D11" s="116" t="s">
        <v>3</v>
      </c>
      <c r="E11" s="116" t="s">
        <v>107</v>
      </c>
      <c r="F11" s="116"/>
      <c r="G11" s="116"/>
      <c r="H11" s="116"/>
    </row>
    <row r="12" spans="1:8" s="4" customFormat="1" ht="23.25" customHeight="1">
      <c r="A12" s="116"/>
      <c r="B12" s="116"/>
      <c r="C12" s="116"/>
      <c r="D12" s="116"/>
      <c r="E12" s="116" t="s">
        <v>4</v>
      </c>
      <c r="F12" s="116" t="s">
        <v>5</v>
      </c>
      <c r="G12" s="116"/>
      <c r="H12" s="116"/>
    </row>
    <row r="13" spans="1:8" s="4" customFormat="1" ht="12.75">
      <c r="A13" s="116"/>
      <c r="B13" s="116"/>
      <c r="C13" s="116"/>
      <c r="D13" s="116"/>
      <c r="E13" s="116"/>
      <c r="F13" s="3">
        <v>2014</v>
      </c>
      <c r="G13" s="3">
        <v>2015</v>
      </c>
      <c r="H13" s="3">
        <v>2016</v>
      </c>
    </row>
    <row r="14" spans="1:8" s="4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</row>
    <row r="15" spans="1:8" s="4" customFormat="1" ht="12.75">
      <c r="A15" s="106" t="s">
        <v>106</v>
      </c>
      <c r="B15" s="107"/>
      <c r="C15" s="107"/>
      <c r="D15" s="107"/>
      <c r="E15" s="107"/>
      <c r="F15" s="107"/>
      <c r="G15" s="107"/>
      <c r="H15" s="108"/>
    </row>
    <row r="16" spans="1:8" s="4" customFormat="1" ht="12.75">
      <c r="A16" s="109" t="s">
        <v>112</v>
      </c>
      <c r="B16" s="6"/>
      <c r="C16" s="99" t="s">
        <v>19</v>
      </c>
      <c r="D16" s="99" t="s">
        <v>20</v>
      </c>
      <c r="E16" s="7">
        <f aca="true" t="shared" si="0" ref="E16:E29">F16+G16+H16</f>
        <v>101123.6335</v>
      </c>
      <c r="F16" s="7">
        <f>SUM(F17:F30)</f>
        <v>54511.566999999995</v>
      </c>
      <c r="G16" s="7">
        <f>SUM(G17:G30)</f>
        <v>22815.5</v>
      </c>
      <c r="H16" s="7">
        <f>SUM(H17:H30)</f>
        <v>23796.5665</v>
      </c>
    </row>
    <row r="17" spans="1:8" s="4" customFormat="1" ht="25.5">
      <c r="A17" s="110"/>
      <c r="B17" s="34" t="s">
        <v>144</v>
      </c>
      <c r="C17" s="100"/>
      <c r="D17" s="100"/>
      <c r="E17" s="9">
        <f t="shared" si="0"/>
        <v>18234.045763</v>
      </c>
      <c r="F17" s="9">
        <f>5410.394+1294.919</f>
        <v>6705.313</v>
      </c>
      <c r="G17" s="9">
        <v>5643.041</v>
      </c>
      <c r="H17" s="9">
        <f aca="true" t="shared" si="1" ref="H17:H26">G17*1.043</f>
        <v>5885.691763</v>
      </c>
    </row>
    <row r="18" spans="1:8" s="4" customFormat="1" ht="25.5">
      <c r="A18" s="110"/>
      <c r="B18" s="34" t="s">
        <v>143</v>
      </c>
      <c r="C18" s="100"/>
      <c r="D18" s="100"/>
      <c r="E18" s="9">
        <f t="shared" si="0"/>
        <v>14519.50922</v>
      </c>
      <c r="F18" s="9">
        <f>2376.357+1988.972+5090.523</f>
        <v>9455.851999999999</v>
      </c>
      <c r="G18" s="9">
        <v>2478.54</v>
      </c>
      <c r="H18" s="9">
        <f t="shared" si="1"/>
        <v>2585.1172199999996</v>
      </c>
    </row>
    <row r="19" spans="1:8" s="4" customFormat="1" ht="25.5">
      <c r="A19" s="110"/>
      <c r="B19" s="34" t="s">
        <v>145</v>
      </c>
      <c r="C19" s="100"/>
      <c r="D19" s="100"/>
      <c r="E19" s="9">
        <f t="shared" si="0"/>
        <v>7367.931811</v>
      </c>
      <c r="F19" s="9">
        <f>2271.886+225+30</f>
        <v>2526.886</v>
      </c>
      <c r="G19" s="9">
        <v>2369.577</v>
      </c>
      <c r="H19" s="9">
        <f t="shared" si="1"/>
        <v>2471.468811</v>
      </c>
    </row>
    <row r="20" spans="1:8" s="4" customFormat="1" ht="12.75">
      <c r="A20" s="110"/>
      <c r="B20" s="34" t="s">
        <v>146</v>
      </c>
      <c r="C20" s="100"/>
      <c r="D20" s="100"/>
      <c r="E20" s="9">
        <f t="shared" si="0"/>
        <v>493.14587499999993</v>
      </c>
      <c r="F20" s="9">
        <f>146.333+35</f>
        <v>181.333</v>
      </c>
      <c r="G20" s="9">
        <v>152.625</v>
      </c>
      <c r="H20" s="9">
        <f t="shared" si="1"/>
        <v>159.187875</v>
      </c>
    </row>
    <row r="21" spans="1:8" s="4" customFormat="1" ht="12.75">
      <c r="A21" s="110"/>
      <c r="B21" s="34" t="s">
        <v>147</v>
      </c>
      <c r="C21" s="100"/>
      <c r="D21" s="100"/>
      <c r="E21" s="9">
        <f t="shared" si="0"/>
        <v>334.946</v>
      </c>
      <c r="F21" s="35">
        <v>334.946</v>
      </c>
      <c r="G21" s="9"/>
      <c r="H21" s="9"/>
    </row>
    <row r="22" spans="1:8" s="4" customFormat="1" ht="38.25">
      <c r="A22" s="110"/>
      <c r="B22" s="34" t="s">
        <v>148</v>
      </c>
      <c r="C22" s="100"/>
      <c r="D22" s="100"/>
      <c r="E22" s="9">
        <f t="shared" si="0"/>
        <v>24084.136454000003</v>
      </c>
      <c r="F22" s="9">
        <f>5759.135+5342.943+710.211</f>
        <v>11812.289</v>
      </c>
      <c r="G22" s="9">
        <v>6006.778</v>
      </c>
      <c r="H22" s="9">
        <f t="shared" si="1"/>
        <v>6265.0694539999995</v>
      </c>
    </row>
    <row r="23" spans="1:8" s="4" customFormat="1" ht="12.75">
      <c r="A23" s="110"/>
      <c r="B23" s="34" t="s">
        <v>149</v>
      </c>
      <c r="C23" s="100"/>
      <c r="D23" s="100"/>
      <c r="E23" s="9">
        <f t="shared" si="0"/>
        <v>4338.863067</v>
      </c>
      <c r="F23" s="9">
        <f>1081.274+953.557</f>
        <v>2034.831</v>
      </c>
      <c r="G23" s="9">
        <v>1127.769</v>
      </c>
      <c r="H23" s="9">
        <f t="shared" si="1"/>
        <v>1176.2630669999999</v>
      </c>
    </row>
    <row r="24" spans="1:8" s="4" customFormat="1" ht="12.75">
      <c r="A24" s="110"/>
      <c r="B24" s="34" t="s">
        <v>150</v>
      </c>
      <c r="C24" s="100"/>
      <c r="D24" s="100"/>
      <c r="E24" s="9">
        <f t="shared" si="0"/>
        <v>2642.0241119999996</v>
      </c>
      <c r="F24" s="9">
        <f>688+262+226</f>
        <v>1176</v>
      </c>
      <c r="G24" s="9">
        <v>717.584</v>
      </c>
      <c r="H24" s="9">
        <f t="shared" si="1"/>
        <v>748.4401119999999</v>
      </c>
    </row>
    <row r="25" spans="1:8" s="4" customFormat="1" ht="38.25">
      <c r="A25" s="110"/>
      <c r="B25" s="34" t="s">
        <v>151</v>
      </c>
      <c r="C25" s="100"/>
      <c r="D25" s="100"/>
      <c r="E25" s="9">
        <f t="shared" si="0"/>
        <v>6234.05197</v>
      </c>
      <c r="F25" s="9">
        <f>2500-508.83</f>
        <v>1991.17</v>
      </c>
      <c r="G25" s="9">
        <v>2076.79</v>
      </c>
      <c r="H25" s="9">
        <f t="shared" si="1"/>
        <v>2166.09197</v>
      </c>
    </row>
    <row r="26" spans="1:8" s="4" customFormat="1" ht="25.5">
      <c r="A26" s="110"/>
      <c r="B26" s="34" t="s">
        <v>160</v>
      </c>
      <c r="C26" s="100"/>
      <c r="D26" s="100"/>
      <c r="E26" s="9">
        <f t="shared" si="0"/>
        <v>3158.449892</v>
      </c>
      <c r="F26" s="9">
        <f>689.443-0.043+1000.043</f>
        <v>1689.443</v>
      </c>
      <c r="G26" s="9">
        <v>719.044</v>
      </c>
      <c r="H26" s="9">
        <f t="shared" si="1"/>
        <v>749.9628919999999</v>
      </c>
    </row>
    <row r="27" spans="1:8" s="4" customFormat="1" ht="12.75">
      <c r="A27" s="110"/>
      <c r="B27" s="34" t="s">
        <v>161</v>
      </c>
      <c r="C27" s="100"/>
      <c r="D27" s="100"/>
      <c r="E27" s="9">
        <f t="shared" si="0"/>
        <v>555.378731</v>
      </c>
      <c r="F27" s="9">
        <v>177.389</v>
      </c>
      <c r="G27" s="9">
        <v>185.017</v>
      </c>
      <c r="H27" s="9">
        <f>G27*1.043</f>
        <v>192.97273099999998</v>
      </c>
    </row>
    <row r="28" spans="1:8" s="4" customFormat="1" ht="38.25">
      <c r="A28" s="110"/>
      <c r="B28" s="34" t="s">
        <v>152</v>
      </c>
      <c r="C28" s="100"/>
      <c r="D28" s="100"/>
      <c r="E28" s="9">
        <f t="shared" si="0"/>
        <v>546.4670639999999</v>
      </c>
      <c r="F28" s="9">
        <v>174.543</v>
      </c>
      <c r="G28" s="9">
        <v>182.048</v>
      </c>
      <c r="H28" s="9">
        <f>G28*1.043</f>
        <v>189.87606399999999</v>
      </c>
    </row>
    <row r="29" spans="1:8" s="4" customFormat="1" ht="25.5">
      <c r="A29" s="110"/>
      <c r="B29" s="34" t="s">
        <v>153</v>
      </c>
      <c r="C29" s="100"/>
      <c r="D29" s="100"/>
      <c r="E29" s="9">
        <f t="shared" si="0"/>
        <v>6625.588540999999</v>
      </c>
      <c r="F29" s="9">
        <f>1109+3153.477</f>
        <v>4262.477</v>
      </c>
      <c r="G29" s="9">
        <v>1156.687</v>
      </c>
      <c r="H29" s="9">
        <f>G29*1.043</f>
        <v>1206.4245409999999</v>
      </c>
    </row>
    <row r="30" spans="1:8" s="4" customFormat="1" ht="38.25">
      <c r="A30" s="110"/>
      <c r="B30" s="34" t="s">
        <v>174</v>
      </c>
      <c r="C30" s="100"/>
      <c r="D30" s="100"/>
      <c r="E30" s="9">
        <f>F30+G30+H30</f>
        <v>11989.095</v>
      </c>
      <c r="F30" s="9">
        <f>7953.187+3739.505+205+91.403</f>
        <v>11989.095</v>
      </c>
      <c r="G30" s="9"/>
      <c r="H30" s="9"/>
    </row>
    <row r="31" spans="1:8" s="4" customFormat="1" ht="12.75">
      <c r="A31" s="106" t="s">
        <v>108</v>
      </c>
      <c r="B31" s="107"/>
      <c r="C31" s="107"/>
      <c r="D31" s="107"/>
      <c r="E31" s="107"/>
      <c r="F31" s="107"/>
      <c r="G31" s="107"/>
      <c r="H31" s="108"/>
    </row>
    <row r="32" spans="1:8" s="4" customFormat="1" ht="12.75">
      <c r="A32" s="94" t="s">
        <v>113</v>
      </c>
      <c r="B32" s="6"/>
      <c r="C32" s="99" t="s">
        <v>19</v>
      </c>
      <c r="D32" s="99" t="s">
        <v>20</v>
      </c>
      <c r="E32" s="7">
        <f aca="true" t="shared" si="2" ref="E32:E40">F32+G32+H32</f>
        <v>12907.103467000003</v>
      </c>
      <c r="F32" s="7">
        <f>SUM(F33:F41)</f>
        <v>11890.570000000003</v>
      </c>
      <c r="G32" s="7">
        <f>SUM(G33:G41)</f>
        <v>497.569</v>
      </c>
      <c r="H32" s="7">
        <f>SUM(H33:H41)</f>
        <v>518.964467</v>
      </c>
    </row>
    <row r="33" spans="1:8" s="4" customFormat="1" ht="51">
      <c r="A33" s="102"/>
      <c r="B33" s="8" t="s">
        <v>154</v>
      </c>
      <c r="C33" s="100"/>
      <c r="D33" s="100"/>
      <c r="E33" s="9">
        <f t="shared" si="2"/>
        <v>9178.337</v>
      </c>
      <c r="F33" s="9">
        <v>9178.337</v>
      </c>
      <c r="G33" s="9"/>
      <c r="H33" s="9"/>
    </row>
    <row r="34" spans="1:8" s="4" customFormat="1" ht="89.25">
      <c r="A34" s="102"/>
      <c r="B34" s="8" t="s">
        <v>155</v>
      </c>
      <c r="C34" s="100"/>
      <c r="D34" s="100"/>
      <c r="E34" s="9">
        <f t="shared" si="2"/>
        <v>1378.326467</v>
      </c>
      <c r="F34" s="9">
        <v>361.793</v>
      </c>
      <c r="G34" s="9">
        <v>497.569</v>
      </c>
      <c r="H34" s="9">
        <f>G34*1.043</f>
        <v>518.964467</v>
      </c>
    </row>
    <row r="35" spans="1:8" s="4" customFormat="1" ht="63.75">
      <c r="A35" s="102"/>
      <c r="B35" s="8" t="s">
        <v>248</v>
      </c>
      <c r="C35" s="100"/>
      <c r="D35" s="100"/>
      <c r="E35" s="9">
        <f t="shared" si="2"/>
        <v>3.933</v>
      </c>
      <c r="F35" s="9">
        <v>3.933</v>
      </c>
      <c r="G35" s="9"/>
      <c r="H35" s="9"/>
    </row>
    <row r="36" spans="1:8" s="4" customFormat="1" ht="38.25">
      <c r="A36" s="102"/>
      <c r="B36" s="8" t="s">
        <v>184</v>
      </c>
      <c r="C36" s="100"/>
      <c r="D36" s="100"/>
      <c r="E36" s="9">
        <f t="shared" si="2"/>
        <v>651.056</v>
      </c>
      <c r="F36" s="9">
        <v>651.056</v>
      </c>
      <c r="G36" s="9"/>
      <c r="H36" s="9"/>
    </row>
    <row r="37" spans="1:8" s="4" customFormat="1" ht="102">
      <c r="A37" s="102"/>
      <c r="B37" s="34" t="s">
        <v>175</v>
      </c>
      <c r="C37" s="100"/>
      <c r="D37" s="100"/>
      <c r="E37" s="9">
        <f t="shared" si="2"/>
        <v>115.263</v>
      </c>
      <c r="F37" s="35">
        <v>115.263</v>
      </c>
      <c r="G37" s="9"/>
      <c r="H37" s="9"/>
    </row>
    <row r="38" spans="1:8" s="4" customFormat="1" ht="63.75">
      <c r="A38" s="102"/>
      <c r="B38" s="34" t="s">
        <v>177</v>
      </c>
      <c r="C38" s="100"/>
      <c r="D38" s="100"/>
      <c r="E38" s="9">
        <f t="shared" si="2"/>
        <v>25.7</v>
      </c>
      <c r="F38" s="35">
        <v>25.7</v>
      </c>
      <c r="G38" s="9"/>
      <c r="H38" s="9"/>
    </row>
    <row r="39" spans="1:8" s="4" customFormat="1" ht="102">
      <c r="A39" s="102"/>
      <c r="B39" s="34" t="s">
        <v>176</v>
      </c>
      <c r="C39" s="100"/>
      <c r="D39" s="100"/>
      <c r="E39" s="9">
        <f t="shared" si="2"/>
        <v>821.672</v>
      </c>
      <c r="F39" s="35">
        <v>821.672</v>
      </c>
      <c r="G39" s="9"/>
      <c r="H39" s="9"/>
    </row>
    <row r="40" spans="1:8" s="4" customFormat="1" ht="51">
      <c r="A40" s="102"/>
      <c r="B40" s="8" t="s">
        <v>202</v>
      </c>
      <c r="C40" s="100"/>
      <c r="D40" s="100"/>
      <c r="E40" s="9">
        <f t="shared" si="2"/>
        <v>96.10000000000001</v>
      </c>
      <c r="F40" s="35">
        <f>96.099+0.001</f>
        <v>96.10000000000001</v>
      </c>
      <c r="G40" s="9"/>
      <c r="H40" s="9"/>
    </row>
    <row r="41" spans="1:8" s="4" customFormat="1" ht="63.75">
      <c r="A41" s="102"/>
      <c r="B41" s="8" t="s">
        <v>185</v>
      </c>
      <c r="C41" s="100"/>
      <c r="D41" s="100"/>
      <c r="E41" s="9">
        <f>F41+G41+H41</f>
        <v>636.716</v>
      </c>
      <c r="F41" s="9">
        <v>636.716</v>
      </c>
      <c r="G41" s="9"/>
      <c r="H41" s="9"/>
    </row>
    <row r="42" spans="1:8" s="4" customFormat="1" ht="12.75">
      <c r="A42" s="106" t="s">
        <v>178</v>
      </c>
      <c r="B42" s="87"/>
      <c r="C42" s="87"/>
      <c r="D42" s="87"/>
      <c r="E42" s="87"/>
      <c r="F42" s="87"/>
      <c r="G42" s="87"/>
      <c r="H42" s="88"/>
    </row>
    <row r="43" spans="1:8" s="4" customFormat="1" ht="12.75">
      <c r="A43" s="109" t="s">
        <v>179</v>
      </c>
      <c r="B43" s="59"/>
      <c r="C43" s="99" t="s">
        <v>19</v>
      </c>
      <c r="D43" s="99" t="s">
        <v>20</v>
      </c>
      <c r="E43" s="7">
        <f>E44</f>
        <v>449.3</v>
      </c>
      <c r="F43" s="7">
        <f>F44</f>
        <v>449.3</v>
      </c>
      <c r="G43" s="7">
        <f>G44</f>
        <v>0</v>
      </c>
      <c r="H43" s="7">
        <f>H44</f>
        <v>0</v>
      </c>
    </row>
    <row r="44" spans="1:8" s="4" customFormat="1" ht="63.75">
      <c r="A44" s="117"/>
      <c r="B44" s="8" t="s">
        <v>180</v>
      </c>
      <c r="C44" s="115"/>
      <c r="D44" s="115"/>
      <c r="E44" s="9">
        <f>F44+G44+H44</f>
        <v>449.3</v>
      </c>
      <c r="F44" s="9">
        <v>449.3</v>
      </c>
      <c r="G44" s="9"/>
      <c r="H44" s="9"/>
    </row>
    <row r="45" spans="1:8" s="4" customFormat="1" ht="12.75">
      <c r="A45" s="106" t="s">
        <v>109</v>
      </c>
      <c r="B45" s="107"/>
      <c r="C45" s="107"/>
      <c r="D45" s="107"/>
      <c r="E45" s="107"/>
      <c r="F45" s="107"/>
      <c r="G45" s="107"/>
      <c r="H45" s="108"/>
    </row>
    <row r="46" spans="1:8" s="4" customFormat="1" ht="12.75" customHeight="1">
      <c r="A46" s="96" t="s">
        <v>114</v>
      </c>
      <c r="B46" s="6"/>
      <c r="C46" s="99" t="s">
        <v>19</v>
      </c>
      <c r="D46" s="99" t="s">
        <v>20</v>
      </c>
      <c r="E46" s="7">
        <f aca="true" t="shared" si="3" ref="E46:E57">F46+G46+H46</f>
        <v>155720.075</v>
      </c>
      <c r="F46" s="7">
        <f>SUM(F47:F57)</f>
        <v>64401.33500000001</v>
      </c>
      <c r="G46" s="7">
        <f>SUM(G47:G57)</f>
        <v>54818.740000000005</v>
      </c>
      <c r="H46" s="7">
        <f>SUM(H47:H57)</f>
        <v>36500</v>
      </c>
    </row>
    <row r="47" spans="1:8" s="4" customFormat="1" ht="25.5" customHeight="1">
      <c r="A47" s="97"/>
      <c r="B47" s="8" t="s">
        <v>198</v>
      </c>
      <c r="C47" s="100"/>
      <c r="D47" s="100"/>
      <c r="E47" s="9">
        <f t="shared" si="3"/>
        <v>14465.507</v>
      </c>
      <c r="F47" s="9">
        <v>10533.66</v>
      </c>
      <c r="G47" s="9">
        <v>3931.847</v>
      </c>
      <c r="H47" s="9"/>
    </row>
    <row r="48" spans="1:8" s="4" customFormat="1" ht="25.5" customHeight="1">
      <c r="A48" s="97"/>
      <c r="B48" s="8" t="s">
        <v>199</v>
      </c>
      <c r="C48" s="100"/>
      <c r="D48" s="100"/>
      <c r="E48" s="9">
        <f t="shared" si="3"/>
        <v>99767.751</v>
      </c>
      <c r="F48" s="9">
        <v>24014.232</v>
      </c>
      <c r="G48" s="9">
        <v>39253.519</v>
      </c>
      <c r="H48" s="9">
        <v>36500</v>
      </c>
    </row>
    <row r="49" spans="1:10" s="4" customFormat="1" ht="38.25">
      <c r="A49" s="97"/>
      <c r="B49" s="8" t="s">
        <v>186</v>
      </c>
      <c r="C49" s="100"/>
      <c r="D49" s="100"/>
      <c r="E49" s="9">
        <f t="shared" si="3"/>
        <v>8082.025000000001</v>
      </c>
      <c r="F49" s="9">
        <f>8099.256-17.235+0.004</f>
        <v>8082.025000000001</v>
      </c>
      <c r="G49" s="9"/>
      <c r="H49" s="9"/>
      <c r="I49" s="4" t="s">
        <v>203</v>
      </c>
      <c r="J49" s="4">
        <v>17.235</v>
      </c>
    </row>
    <row r="50" spans="1:8" s="4" customFormat="1" ht="38.25">
      <c r="A50" s="97"/>
      <c r="B50" s="8" t="s">
        <v>159</v>
      </c>
      <c r="C50" s="100"/>
      <c r="D50" s="100"/>
      <c r="E50" s="9">
        <f t="shared" si="3"/>
        <v>10394.32</v>
      </c>
      <c r="F50" s="9">
        <v>10394.32</v>
      </c>
      <c r="G50" s="9"/>
      <c r="H50" s="9"/>
    </row>
    <row r="51" spans="1:8" s="4" customFormat="1" ht="51">
      <c r="A51" s="97"/>
      <c r="B51" s="8" t="s">
        <v>187</v>
      </c>
      <c r="C51" s="101"/>
      <c r="D51" s="101"/>
      <c r="E51" s="9">
        <f t="shared" si="3"/>
        <v>5647.853</v>
      </c>
      <c r="F51" s="9">
        <f>6469.853-822</f>
        <v>5647.853</v>
      </c>
      <c r="G51" s="9"/>
      <c r="H51" s="9"/>
    </row>
    <row r="52" spans="1:8" s="4" customFormat="1" ht="36">
      <c r="A52" s="97"/>
      <c r="B52" s="91" t="s">
        <v>156</v>
      </c>
      <c r="C52" s="104" t="s">
        <v>110</v>
      </c>
      <c r="D52" s="104" t="s">
        <v>20</v>
      </c>
      <c r="E52" s="9">
        <f t="shared" si="3"/>
        <v>16082.011999999999</v>
      </c>
      <c r="F52" s="9">
        <v>4448.638</v>
      </c>
      <c r="G52" s="9">
        <v>11633.374</v>
      </c>
      <c r="H52" s="9"/>
    </row>
    <row r="53" spans="1:8" s="4" customFormat="1" ht="36">
      <c r="A53" s="97"/>
      <c r="B53" s="91" t="s">
        <v>186</v>
      </c>
      <c r="C53" s="105"/>
      <c r="D53" s="105"/>
      <c r="E53" s="9">
        <f t="shared" si="3"/>
        <v>248.118</v>
      </c>
      <c r="F53" s="9">
        <v>248.118</v>
      </c>
      <c r="G53" s="9"/>
      <c r="H53" s="9"/>
    </row>
    <row r="54" spans="1:8" s="4" customFormat="1" ht="24">
      <c r="A54" s="97"/>
      <c r="B54" s="91" t="s">
        <v>157</v>
      </c>
      <c r="C54" s="104" t="s">
        <v>111</v>
      </c>
      <c r="D54" s="104" t="s">
        <v>20</v>
      </c>
      <c r="E54" s="9">
        <f t="shared" si="3"/>
        <v>1007.731</v>
      </c>
      <c r="F54" s="9">
        <v>1007.731</v>
      </c>
      <c r="G54" s="9"/>
      <c r="H54" s="9"/>
    </row>
    <row r="55" spans="1:8" s="4" customFormat="1" ht="36">
      <c r="A55" s="97"/>
      <c r="B55" s="91" t="s">
        <v>186</v>
      </c>
      <c r="C55" s="105"/>
      <c r="D55" s="105"/>
      <c r="E55" s="9">
        <f t="shared" si="3"/>
        <v>21</v>
      </c>
      <c r="F55" s="9">
        <v>21</v>
      </c>
      <c r="G55" s="9"/>
      <c r="H55" s="9"/>
    </row>
    <row r="56" spans="1:8" s="4" customFormat="1" ht="24">
      <c r="A56" s="97"/>
      <c r="B56" s="91" t="s">
        <v>157</v>
      </c>
      <c r="C56" s="104" t="s">
        <v>46</v>
      </c>
      <c r="D56" s="104" t="s">
        <v>20</v>
      </c>
      <c r="E56" s="9">
        <f t="shared" si="3"/>
        <v>0.758</v>
      </c>
      <c r="F56" s="9">
        <v>0.758</v>
      </c>
      <c r="G56" s="9"/>
      <c r="H56" s="9"/>
    </row>
    <row r="57" spans="1:8" s="4" customFormat="1" ht="36">
      <c r="A57" s="98"/>
      <c r="B57" s="91" t="s">
        <v>186</v>
      </c>
      <c r="C57" s="105"/>
      <c r="D57" s="105"/>
      <c r="E57" s="9">
        <f t="shared" si="3"/>
        <v>3</v>
      </c>
      <c r="F57" s="9">
        <v>3</v>
      </c>
      <c r="G57" s="9"/>
      <c r="H57" s="9"/>
    </row>
    <row r="58" spans="1:8" s="4" customFormat="1" ht="12.75">
      <c r="A58" s="106" t="s">
        <v>220</v>
      </c>
      <c r="B58" s="107"/>
      <c r="C58" s="107"/>
      <c r="D58" s="107"/>
      <c r="E58" s="107"/>
      <c r="F58" s="107"/>
      <c r="G58" s="107"/>
      <c r="H58" s="108"/>
    </row>
    <row r="59" spans="1:8" s="4" customFormat="1" ht="21" customHeight="1">
      <c r="A59" s="96" t="s">
        <v>221</v>
      </c>
      <c r="B59" s="8"/>
      <c r="C59" s="112" t="s">
        <v>19</v>
      </c>
      <c r="D59" s="112" t="s">
        <v>20</v>
      </c>
      <c r="E59" s="7">
        <f>F59+G59+H59</f>
        <v>2043.6100000000001</v>
      </c>
      <c r="F59" s="60">
        <f>SUM(F60:F62)</f>
        <v>2043.6100000000001</v>
      </c>
      <c r="G59" s="60">
        <f>SUM(G60:G62)</f>
        <v>0</v>
      </c>
      <c r="H59" s="60">
        <f>SUM(H60:H62)</f>
        <v>0</v>
      </c>
    </row>
    <row r="60" spans="1:8" s="4" customFormat="1" ht="12.75">
      <c r="A60" s="97"/>
      <c r="B60" s="8" t="s">
        <v>222</v>
      </c>
      <c r="C60" s="113"/>
      <c r="D60" s="113"/>
      <c r="E60" s="9">
        <f>F60+G60+H60</f>
        <v>513.671</v>
      </c>
      <c r="F60" s="9">
        <v>513.671</v>
      </c>
      <c r="G60" s="60"/>
      <c r="H60" s="60"/>
    </row>
    <row r="61" spans="1:8" s="4" customFormat="1" ht="38.25">
      <c r="A61" s="97"/>
      <c r="B61" s="8" t="s">
        <v>256</v>
      </c>
      <c r="C61" s="113"/>
      <c r="D61" s="113"/>
      <c r="E61" s="9">
        <f>F61+G61+H61</f>
        <v>1292.78</v>
      </c>
      <c r="F61" s="9">
        <v>1292.78</v>
      </c>
      <c r="G61" s="60"/>
      <c r="H61" s="60"/>
    </row>
    <row r="62" spans="1:8" s="4" customFormat="1" ht="38.25">
      <c r="A62" s="98"/>
      <c r="B62" s="8" t="s">
        <v>253</v>
      </c>
      <c r="C62" s="114"/>
      <c r="D62" s="114"/>
      <c r="E62" s="9">
        <f>F62+G62+H62</f>
        <v>237.159</v>
      </c>
      <c r="F62" s="9">
        <v>237.159</v>
      </c>
      <c r="G62" s="9"/>
      <c r="H62" s="9"/>
    </row>
    <row r="63" spans="1:8" s="2" customFormat="1" ht="12.75">
      <c r="A63" s="111" t="s">
        <v>128</v>
      </c>
      <c r="B63" s="111"/>
      <c r="C63" s="111"/>
      <c r="D63" s="111"/>
      <c r="E63" s="111"/>
      <c r="F63" s="111"/>
      <c r="G63" s="111"/>
      <c r="H63" s="111"/>
    </row>
    <row r="64" spans="1:8" s="2" customFormat="1" ht="12.75">
      <c r="A64" s="92" t="s">
        <v>71</v>
      </c>
      <c r="B64" s="6"/>
      <c r="C64" s="93" t="s">
        <v>19</v>
      </c>
      <c r="D64" s="93" t="s">
        <v>20</v>
      </c>
      <c r="E64" s="7">
        <f aca="true" t="shared" si="4" ref="E64:E78">F64+G64+H64</f>
        <v>185180.41361999995</v>
      </c>
      <c r="F64" s="7">
        <f>SUM(F65:F78)-F66-F67-F68-F77-F78</f>
        <v>47720.09099999999</v>
      </c>
      <c r="G64" s="7">
        <f>SUM(G65:G78)-G66-G67-G68-G77-G78</f>
        <v>56568.034000000014</v>
      </c>
      <c r="H64" s="7">
        <f>SUM(H65:H78)-H66-H67-H68-H77-H78</f>
        <v>80892.28861999996</v>
      </c>
    </row>
    <row r="65" spans="1:8" ht="12.75" customHeight="1">
      <c r="A65" s="92"/>
      <c r="B65" s="8" t="s">
        <v>66</v>
      </c>
      <c r="C65" s="93"/>
      <c r="D65" s="93"/>
      <c r="E65" s="9">
        <f t="shared" si="4"/>
        <v>121485.98428</v>
      </c>
      <c r="F65" s="9">
        <f>23425.242+9260.96+0.04+2600-574.959-784.822-19.704-97.518-10.272-6.887-2779+746.639+10.272+1123.28+1979.6-1122-2700</f>
        <v>31050.871</v>
      </c>
      <c r="G65" s="9">
        <v>37216.096</v>
      </c>
      <c r="H65" s="9">
        <f>G65*1.43</f>
        <v>53219.01727999999</v>
      </c>
    </row>
    <row r="66" spans="1:8" ht="84">
      <c r="A66" s="92"/>
      <c r="B66" s="90" t="s">
        <v>127</v>
      </c>
      <c r="C66" s="93"/>
      <c r="D66" s="93"/>
      <c r="E66" s="22">
        <f t="shared" si="4"/>
        <v>30974.306783</v>
      </c>
      <c r="F66" s="22">
        <f>9260.96+0.04+1979.6</f>
        <v>11240.6</v>
      </c>
      <c r="G66" s="22">
        <v>9659.181</v>
      </c>
      <c r="H66" s="22">
        <f>G66*1.043</f>
        <v>10074.525783</v>
      </c>
    </row>
    <row r="67" spans="1:8" s="23" customFormat="1" ht="42.75" customHeight="1">
      <c r="A67" s="92"/>
      <c r="B67" s="90" t="s">
        <v>126</v>
      </c>
      <c r="C67" s="93"/>
      <c r="D67" s="93"/>
      <c r="E67" s="22">
        <f t="shared" si="4"/>
        <v>8354.556400000001</v>
      </c>
      <c r="F67" s="22">
        <f>2600-784.822-19.704-97.518-10.272-6.887+10.272+1123.28</f>
        <v>2814.349</v>
      </c>
      <c r="G67" s="22">
        <v>2711.8</v>
      </c>
      <c r="H67" s="22">
        <f>G67*1.043</f>
        <v>2828.4074</v>
      </c>
    </row>
    <row r="68" spans="1:8" s="23" customFormat="1" ht="96">
      <c r="A68" s="92"/>
      <c r="B68" s="90" t="s">
        <v>223</v>
      </c>
      <c r="C68" s="93"/>
      <c r="D68" s="93"/>
      <c r="E68" s="22">
        <f t="shared" si="4"/>
        <v>746.639</v>
      </c>
      <c r="F68" s="22">
        <v>746.639</v>
      </c>
      <c r="G68" s="22"/>
      <c r="H68" s="22"/>
    </row>
    <row r="69" spans="1:8" ht="25.5">
      <c r="A69" s="92"/>
      <c r="B69" s="10" t="s">
        <v>67</v>
      </c>
      <c r="C69" s="93"/>
      <c r="D69" s="93"/>
      <c r="E69" s="9">
        <f t="shared" si="4"/>
        <v>35085.846999999994</v>
      </c>
      <c r="F69" s="9">
        <f>8500-1921.403-769.7-259.7</f>
        <v>5549.197</v>
      </c>
      <c r="G69" s="9">
        <v>12155</v>
      </c>
      <c r="H69" s="9">
        <f aca="true" t="shared" si="5" ref="H69:H75">G69*1.43</f>
        <v>17381.649999999998</v>
      </c>
    </row>
    <row r="70" spans="1:8" ht="12.75">
      <c r="A70" s="92"/>
      <c r="B70" s="10" t="s">
        <v>68</v>
      </c>
      <c r="C70" s="93"/>
      <c r="D70" s="93"/>
      <c r="E70" s="9">
        <f t="shared" si="4"/>
        <v>5575.593</v>
      </c>
      <c r="F70" s="9">
        <f>1300-66.777-175</f>
        <v>1058.223</v>
      </c>
      <c r="G70" s="9">
        <v>1859</v>
      </c>
      <c r="H70" s="9">
        <f t="shared" si="5"/>
        <v>2658.37</v>
      </c>
    </row>
    <row r="71" spans="1:8" ht="25.5">
      <c r="A71" s="92"/>
      <c r="B71" s="10" t="s">
        <v>27</v>
      </c>
      <c r="C71" s="93"/>
      <c r="D71" s="93"/>
      <c r="E71" s="9">
        <f t="shared" si="4"/>
        <v>3060.8315999999995</v>
      </c>
      <c r="F71" s="9">
        <v>684</v>
      </c>
      <c r="G71" s="9">
        <v>978.12</v>
      </c>
      <c r="H71" s="9">
        <f t="shared" si="5"/>
        <v>1398.7115999999999</v>
      </c>
    </row>
    <row r="72" spans="1:8" ht="12.75">
      <c r="A72" s="92"/>
      <c r="B72" s="10" t="s">
        <v>69</v>
      </c>
      <c r="C72" s="93"/>
      <c r="D72" s="93"/>
      <c r="E72" s="9">
        <f t="shared" si="4"/>
        <v>1912.56838</v>
      </c>
      <c r="F72" s="9">
        <f>407.496+47.725-68.2-56.3</f>
        <v>330.721</v>
      </c>
      <c r="G72" s="9">
        <v>650.966</v>
      </c>
      <c r="H72" s="9">
        <f t="shared" si="5"/>
        <v>930.8813799999999</v>
      </c>
    </row>
    <row r="73" spans="1:8" ht="12.75">
      <c r="A73" s="92"/>
      <c r="B73" s="10" t="s">
        <v>28</v>
      </c>
      <c r="C73" s="93"/>
      <c r="D73" s="93"/>
      <c r="E73" s="9">
        <f t="shared" si="4"/>
        <v>2565.98967</v>
      </c>
      <c r="F73" s="9">
        <f>626.202-82.479-153.723</f>
        <v>389.99999999999994</v>
      </c>
      <c r="G73" s="9">
        <v>895.469</v>
      </c>
      <c r="H73" s="9">
        <f t="shared" si="5"/>
        <v>1280.52067</v>
      </c>
    </row>
    <row r="74" spans="1:8" ht="38.25">
      <c r="A74" s="92"/>
      <c r="B74" s="10" t="s">
        <v>181</v>
      </c>
      <c r="C74" s="93"/>
      <c r="D74" s="93"/>
      <c r="E74" s="9">
        <f t="shared" si="4"/>
        <v>718.15769</v>
      </c>
      <c r="F74" s="9">
        <f>42.401+65+60-24.599-1.765-10-20-4.58-20+50</f>
        <v>136.45700000000005</v>
      </c>
      <c r="G74" s="9">
        <v>239.383</v>
      </c>
      <c r="H74" s="9">
        <f t="shared" si="5"/>
        <v>342.31769</v>
      </c>
    </row>
    <row r="75" spans="1:8" ht="25.5">
      <c r="A75" s="92"/>
      <c r="B75" s="10" t="s">
        <v>86</v>
      </c>
      <c r="C75" s="93"/>
      <c r="D75" s="93"/>
      <c r="E75" s="9">
        <f>F75+G75+H75</f>
        <v>7503.7339999999995</v>
      </c>
      <c r="F75" s="9">
        <f>1800-199.063-352.023</f>
        <v>1248.9139999999998</v>
      </c>
      <c r="G75" s="9">
        <v>2574</v>
      </c>
      <c r="H75" s="9">
        <f t="shared" si="5"/>
        <v>3680.8199999999997</v>
      </c>
    </row>
    <row r="76" spans="1:8" ht="25.5">
      <c r="A76" s="92"/>
      <c r="B76" s="8" t="s">
        <v>182</v>
      </c>
      <c r="C76" s="93"/>
      <c r="D76" s="93"/>
      <c r="E76" s="9">
        <f>F76+G76+H76</f>
        <v>7271.7080000000005</v>
      </c>
      <c r="F76" s="9">
        <f>4371.665+784.822+2115.221</f>
        <v>7271.7080000000005</v>
      </c>
      <c r="G76" s="9"/>
      <c r="H76" s="9"/>
    </row>
    <row r="77" spans="1:8" ht="38.25">
      <c r="A77" s="92"/>
      <c r="B77" s="21" t="s">
        <v>126</v>
      </c>
      <c r="C77" s="93"/>
      <c r="D77" s="93"/>
      <c r="E77" s="22">
        <f>F77+G77+H77</f>
        <v>784.822</v>
      </c>
      <c r="F77" s="22">
        <v>784.822</v>
      </c>
      <c r="G77" s="9"/>
      <c r="H77" s="9"/>
    </row>
    <row r="78" spans="1:8" s="23" customFormat="1" ht="102">
      <c r="A78" s="92"/>
      <c r="B78" s="21" t="s">
        <v>223</v>
      </c>
      <c r="C78" s="93"/>
      <c r="D78" s="93"/>
      <c r="E78" s="22">
        <f t="shared" si="4"/>
        <v>2115.221</v>
      </c>
      <c r="F78" s="22">
        <v>2115.221</v>
      </c>
      <c r="G78" s="22"/>
      <c r="H78" s="22"/>
    </row>
    <row r="79" spans="1:8" ht="12.75" customHeight="1">
      <c r="A79" s="96" t="s">
        <v>72</v>
      </c>
      <c r="B79" s="10"/>
      <c r="C79" s="99" t="s">
        <v>19</v>
      </c>
      <c r="D79" s="99" t="s">
        <v>20</v>
      </c>
      <c r="E79" s="7">
        <f aca="true" t="shared" si="6" ref="E79:E125">F79+G79+H79</f>
        <v>31998.06587</v>
      </c>
      <c r="F79" s="7">
        <f>SUM(F80:F85)</f>
        <v>7150.564999999999</v>
      </c>
      <c r="G79" s="7">
        <f>SUM(G80:G85)</f>
        <v>10225.309</v>
      </c>
      <c r="H79" s="7">
        <f>SUM(H80:H85)</f>
        <v>14622.19187</v>
      </c>
    </row>
    <row r="80" spans="1:8" ht="12.75">
      <c r="A80" s="97"/>
      <c r="B80" s="10" t="s">
        <v>183</v>
      </c>
      <c r="C80" s="100"/>
      <c r="D80" s="100"/>
      <c r="E80" s="9">
        <f t="shared" si="6"/>
        <v>25485.946</v>
      </c>
      <c r="F80" s="9">
        <f>5700-20.984</f>
        <v>5679.016</v>
      </c>
      <c r="G80" s="9">
        <v>8151</v>
      </c>
      <c r="H80" s="9">
        <f>G80*1.43</f>
        <v>11655.93</v>
      </c>
    </row>
    <row r="81" spans="1:8" ht="89.25">
      <c r="A81" s="97"/>
      <c r="B81" s="8" t="s">
        <v>252</v>
      </c>
      <c r="C81" s="100"/>
      <c r="D81" s="100"/>
      <c r="E81" s="9">
        <f t="shared" si="6"/>
        <v>3112.678</v>
      </c>
      <c r="F81" s="9">
        <f>700-19.752</f>
        <v>680.248</v>
      </c>
      <c r="G81" s="9">
        <v>1001</v>
      </c>
      <c r="H81" s="9">
        <f>G81*1.43</f>
        <v>1431.4299999999998</v>
      </c>
    </row>
    <row r="82" spans="1:8" ht="12.75">
      <c r="A82" s="97"/>
      <c r="B82" s="10" t="s">
        <v>73</v>
      </c>
      <c r="C82" s="100"/>
      <c r="D82" s="100"/>
      <c r="E82" s="9">
        <f t="shared" si="6"/>
        <v>141.25963</v>
      </c>
      <c r="F82" s="9">
        <v>31.567</v>
      </c>
      <c r="G82" s="9">
        <v>45.141</v>
      </c>
      <c r="H82" s="9">
        <f>G82*1.43</f>
        <v>64.55162999999999</v>
      </c>
    </row>
    <row r="83" spans="1:8" ht="12.75">
      <c r="A83" s="97"/>
      <c r="B83" s="10" t="s">
        <v>74</v>
      </c>
      <c r="C83" s="100"/>
      <c r="D83" s="100"/>
      <c r="E83" s="9">
        <f t="shared" si="6"/>
        <v>378.18822</v>
      </c>
      <c r="F83" s="9">
        <v>84.513</v>
      </c>
      <c r="G83" s="9">
        <v>120.854</v>
      </c>
      <c r="H83" s="9">
        <f>G83*1.43</f>
        <v>172.82121999999998</v>
      </c>
    </row>
    <row r="84" spans="1:8" ht="12.75">
      <c r="A84" s="97"/>
      <c r="B84" s="10" t="s">
        <v>75</v>
      </c>
      <c r="C84" s="100"/>
      <c r="D84" s="100"/>
      <c r="E84" s="9">
        <f t="shared" si="6"/>
        <v>2839.2580199999998</v>
      </c>
      <c r="F84" s="9">
        <v>634.485</v>
      </c>
      <c r="G84" s="9">
        <v>907.314</v>
      </c>
      <c r="H84" s="9">
        <f>G84*1.43</f>
        <v>1297.4590199999998</v>
      </c>
    </row>
    <row r="85" spans="1:8" ht="25.5">
      <c r="A85" s="98"/>
      <c r="B85" s="8" t="s">
        <v>182</v>
      </c>
      <c r="C85" s="101"/>
      <c r="D85" s="101"/>
      <c r="E85" s="9">
        <f>F85+G85+H85</f>
        <v>40.736</v>
      </c>
      <c r="F85" s="9">
        <v>40.736</v>
      </c>
      <c r="G85" s="22"/>
      <c r="H85" s="22"/>
    </row>
    <row r="86" spans="1:8" ht="12.75">
      <c r="A86" s="92" t="s">
        <v>76</v>
      </c>
      <c r="B86" s="10"/>
      <c r="C86" s="93" t="s">
        <v>19</v>
      </c>
      <c r="D86" s="99" t="s">
        <v>20</v>
      </c>
      <c r="E86" s="7">
        <f t="shared" si="6"/>
        <v>311.31453</v>
      </c>
      <c r="F86" s="7">
        <f>SUM(F87:F90)</f>
        <v>99.43499999999999</v>
      </c>
      <c r="G86" s="7">
        <f>SUM(G87:G90)</f>
        <v>103.71000000000001</v>
      </c>
      <c r="H86" s="7">
        <f>SUM(H87:H90)</f>
        <v>108.16953</v>
      </c>
    </row>
    <row r="87" spans="1:8" ht="25.5">
      <c r="A87" s="92"/>
      <c r="B87" s="10" t="s">
        <v>77</v>
      </c>
      <c r="C87" s="93"/>
      <c r="D87" s="100"/>
      <c r="E87" s="9">
        <f t="shared" si="6"/>
        <v>22.087394</v>
      </c>
      <c r="F87" s="9">
        <v>7.055</v>
      </c>
      <c r="G87" s="9">
        <v>7.358</v>
      </c>
      <c r="H87" s="9">
        <f>G87*1.043</f>
        <v>7.6743939999999995</v>
      </c>
    </row>
    <row r="88" spans="1:8" ht="25.5">
      <c r="A88" s="92"/>
      <c r="B88" s="10" t="s">
        <v>78</v>
      </c>
      <c r="C88" s="93"/>
      <c r="D88" s="100"/>
      <c r="E88" s="9">
        <f t="shared" si="6"/>
        <v>68.96896799999999</v>
      </c>
      <c r="F88" s="9">
        <v>22.029</v>
      </c>
      <c r="G88" s="9">
        <v>22.976</v>
      </c>
      <c r="H88" s="9">
        <f>G88*1.043</f>
        <v>23.963967999999998</v>
      </c>
    </row>
    <row r="89" spans="1:8" ht="25.5">
      <c r="A89" s="92"/>
      <c r="B89" s="10" t="s">
        <v>79</v>
      </c>
      <c r="C89" s="93"/>
      <c r="D89" s="100"/>
      <c r="E89" s="9">
        <f t="shared" si="6"/>
        <v>187.42483399999998</v>
      </c>
      <c r="F89" s="9">
        <v>59.864</v>
      </c>
      <c r="G89" s="9">
        <v>62.438</v>
      </c>
      <c r="H89" s="9">
        <f>G89*1.043</f>
        <v>65.122834</v>
      </c>
    </row>
    <row r="90" spans="1:8" ht="38.25">
      <c r="A90" s="92"/>
      <c r="B90" s="10" t="s">
        <v>80</v>
      </c>
      <c r="C90" s="93"/>
      <c r="D90" s="101"/>
      <c r="E90" s="9">
        <f t="shared" si="6"/>
        <v>32.833334</v>
      </c>
      <c r="F90" s="9">
        <v>10.487</v>
      </c>
      <c r="G90" s="9">
        <v>10.938</v>
      </c>
      <c r="H90" s="9">
        <f>G90*1.043</f>
        <v>11.408334</v>
      </c>
    </row>
    <row r="91" spans="1:8" ht="12.75" customHeight="1">
      <c r="A91" s="96" t="s">
        <v>81</v>
      </c>
      <c r="B91" s="10"/>
      <c r="C91" s="99" t="s">
        <v>19</v>
      </c>
      <c r="D91" s="99" t="s">
        <v>20</v>
      </c>
      <c r="E91" s="7">
        <f t="shared" si="6"/>
        <v>127383.06589099998</v>
      </c>
      <c r="F91" s="7">
        <f>SUM(F92:F104)-F103-F104</f>
        <v>36093.373999999996</v>
      </c>
      <c r="G91" s="7">
        <f>SUM(G92:G104)-G103-G104</f>
        <v>44684.13699999999</v>
      </c>
      <c r="H91" s="7">
        <f>SUM(H92:H104)-H103-H104</f>
        <v>46605.554891</v>
      </c>
    </row>
    <row r="92" spans="1:8" ht="12.75">
      <c r="A92" s="97"/>
      <c r="B92" s="10" t="s">
        <v>189</v>
      </c>
      <c r="C92" s="100"/>
      <c r="D92" s="100"/>
      <c r="E92" s="9">
        <f t="shared" si="6"/>
        <v>41173.817</v>
      </c>
      <c r="F92" s="9">
        <f>15000-166.015-622.903-5000</f>
        <v>9211.082</v>
      </c>
      <c r="G92" s="9">
        <v>15645</v>
      </c>
      <c r="H92" s="9">
        <f aca="true" t="shared" si="7" ref="H92:H101">G92*1.043</f>
        <v>16317.734999999999</v>
      </c>
    </row>
    <row r="93" spans="1:8" ht="25.5">
      <c r="A93" s="97"/>
      <c r="B93" s="10" t="s">
        <v>201</v>
      </c>
      <c r="C93" s="100"/>
      <c r="D93" s="100"/>
      <c r="E93" s="9">
        <f t="shared" si="6"/>
        <v>15037.917999999998</v>
      </c>
      <c r="F93" s="9">
        <f>5000-516.432-99.895</f>
        <v>4383.673</v>
      </c>
      <c r="G93" s="9">
        <v>5215</v>
      </c>
      <c r="H93" s="9">
        <f t="shared" si="7"/>
        <v>5439.245</v>
      </c>
    </row>
    <row r="94" spans="1:8" ht="12.75">
      <c r="A94" s="97"/>
      <c r="B94" s="10" t="s">
        <v>23</v>
      </c>
      <c r="C94" s="100"/>
      <c r="D94" s="100"/>
      <c r="E94" s="9">
        <f t="shared" si="6"/>
        <v>4696.273499999999</v>
      </c>
      <c r="F94" s="9">
        <v>1500</v>
      </c>
      <c r="G94" s="9">
        <v>1564.5</v>
      </c>
      <c r="H94" s="9">
        <f t="shared" si="7"/>
        <v>1631.7734999999998</v>
      </c>
    </row>
    <row r="95" spans="1:8" ht="25.5">
      <c r="A95" s="97"/>
      <c r="B95" s="10" t="s">
        <v>82</v>
      </c>
      <c r="C95" s="100"/>
      <c r="D95" s="100"/>
      <c r="E95" s="9">
        <f t="shared" si="6"/>
        <v>6378.523034</v>
      </c>
      <c r="F95" s="9">
        <f>1700+528.033-597.111</f>
        <v>1630.922</v>
      </c>
      <c r="G95" s="9">
        <v>2323.838</v>
      </c>
      <c r="H95" s="9">
        <f t="shared" si="7"/>
        <v>2423.763034</v>
      </c>
    </row>
    <row r="96" spans="1:8" ht="38.25">
      <c r="A96" s="97"/>
      <c r="B96" s="10" t="s">
        <v>87</v>
      </c>
      <c r="C96" s="100"/>
      <c r="D96" s="100"/>
      <c r="E96" s="9">
        <f>F96+G96+H96</f>
        <v>179.234536</v>
      </c>
      <c r="F96" s="9">
        <f>65.342-25.342</f>
        <v>40</v>
      </c>
      <c r="G96" s="9">
        <v>68.152</v>
      </c>
      <c r="H96" s="9">
        <f t="shared" si="7"/>
        <v>71.08253599999999</v>
      </c>
    </row>
    <row r="97" spans="1:8" ht="25.5">
      <c r="A97" s="97"/>
      <c r="B97" s="10" t="s">
        <v>48</v>
      </c>
      <c r="C97" s="100"/>
      <c r="D97" s="100"/>
      <c r="E97" s="9">
        <f>F97+G97+H97</f>
        <v>46097.270708</v>
      </c>
      <c r="F97" s="9">
        <f>16016+385.875-2177.181-1432.42-58.923-1079-55-452</f>
        <v>11147.350999999999</v>
      </c>
      <c r="G97" s="9">
        <v>17107.156</v>
      </c>
      <c r="H97" s="9">
        <f t="shared" si="7"/>
        <v>17842.763708</v>
      </c>
    </row>
    <row r="98" spans="1:8" ht="38.25">
      <c r="A98" s="97"/>
      <c r="B98" s="10" t="s">
        <v>83</v>
      </c>
      <c r="C98" s="100"/>
      <c r="D98" s="100"/>
      <c r="E98" s="9">
        <f t="shared" si="6"/>
        <v>140.68556199999998</v>
      </c>
      <c r="F98" s="9">
        <f>47.684-8.605</f>
        <v>39.07899999999999</v>
      </c>
      <c r="G98" s="9">
        <v>49.734</v>
      </c>
      <c r="H98" s="9">
        <f t="shared" si="7"/>
        <v>51.872561999999995</v>
      </c>
    </row>
    <row r="99" spans="1:8" ht="25.5">
      <c r="A99" s="97"/>
      <c r="B99" s="10" t="s">
        <v>84</v>
      </c>
      <c r="C99" s="100"/>
      <c r="D99" s="100"/>
      <c r="E99" s="9">
        <f t="shared" si="6"/>
        <v>4493.307499999999</v>
      </c>
      <c r="F99" s="9">
        <f>1500-48.969-56-47.997-50</f>
        <v>1297.0339999999999</v>
      </c>
      <c r="G99" s="9">
        <v>1564.5</v>
      </c>
      <c r="H99" s="9">
        <f t="shared" si="7"/>
        <v>1631.7734999999998</v>
      </c>
    </row>
    <row r="100" spans="1:8" ht="25.5">
      <c r="A100" s="97"/>
      <c r="B100" s="10" t="s">
        <v>85</v>
      </c>
      <c r="C100" s="100"/>
      <c r="D100" s="100"/>
      <c r="E100" s="9">
        <f t="shared" si="6"/>
        <v>254.273051</v>
      </c>
      <c r="F100" s="9">
        <f>99-55.681</f>
        <v>43.319</v>
      </c>
      <c r="G100" s="9">
        <v>103.257</v>
      </c>
      <c r="H100" s="9">
        <f t="shared" si="7"/>
        <v>107.697051</v>
      </c>
    </row>
    <row r="101" spans="1:8" ht="25.5">
      <c r="A101" s="97"/>
      <c r="B101" s="8" t="s">
        <v>63</v>
      </c>
      <c r="C101" s="100"/>
      <c r="D101" s="100"/>
      <c r="E101" s="9">
        <f t="shared" si="6"/>
        <v>3130.849</v>
      </c>
      <c r="F101" s="9">
        <f>1000-222.839-92.644+315.483</f>
        <v>1000</v>
      </c>
      <c r="G101" s="9">
        <v>1043</v>
      </c>
      <c r="H101" s="9">
        <f t="shared" si="7"/>
        <v>1087.849</v>
      </c>
    </row>
    <row r="102" spans="1:8" ht="25.5">
      <c r="A102" s="97"/>
      <c r="B102" s="8" t="s">
        <v>182</v>
      </c>
      <c r="C102" s="100"/>
      <c r="D102" s="100"/>
      <c r="E102" s="9">
        <f t="shared" si="6"/>
        <v>5800.914000000001</v>
      </c>
      <c r="F102" s="9">
        <f>4692.54+124.109+984.265</f>
        <v>5800.914000000001</v>
      </c>
      <c r="G102" s="9"/>
      <c r="H102" s="9"/>
    </row>
    <row r="103" spans="1:8" ht="38.25">
      <c r="A103" s="97"/>
      <c r="B103" s="21" t="s">
        <v>126</v>
      </c>
      <c r="C103" s="100"/>
      <c r="D103" s="100"/>
      <c r="E103" s="22">
        <f t="shared" si="6"/>
        <v>124.109</v>
      </c>
      <c r="F103" s="22">
        <v>124.109</v>
      </c>
      <c r="G103" s="9"/>
      <c r="H103" s="9"/>
    </row>
    <row r="104" spans="1:8" ht="102">
      <c r="A104" s="97"/>
      <c r="B104" s="21" t="s">
        <v>224</v>
      </c>
      <c r="C104" s="101"/>
      <c r="D104" s="101"/>
      <c r="E104" s="22">
        <f t="shared" si="6"/>
        <v>984.265</v>
      </c>
      <c r="F104" s="22">
        <v>984.265</v>
      </c>
      <c r="G104" s="9"/>
      <c r="H104" s="9"/>
    </row>
    <row r="105" spans="1:8" ht="12.75" customHeight="1">
      <c r="A105" s="96" t="s">
        <v>88</v>
      </c>
      <c r="B105" s="8"/>
      <c r="C105" s="99" t="s">
        <v>19</v>
      </c>
      <c r="D105" s="99" t="s">
        <v>20</v>
      </c>
      <c r="E105" s="7">
        <f t="shared" si="6"/>
        <v>84450.27968</v>
      </c>
      <c r="F105" s="7">
        <f>SUM(F106:F118)-F107-F109-F110-F112-F117-F118</f>
        <v>42516.15200000001</v>
      </c>
      <c r="G105" s="7">
        <f>SUM(G106:G118)-G107-G109-G110-G112-G117-G118</f>
        <v>20525.76</v>
      </c>
      <c r="H105" s="7">
        <f>SUM(H106:H118)-H107-H109-H110-H112-H117-H118</f>
        <v>21408.367679999996</v>
      </c>
    </row>
    <row r="106" spans="1:8" ht="25.5">
      <c r="A106" s="97"/>
      <c r="B106" s="10" t="s">
        <v>64</v>
      </c>
      <c r="C106" s="100"/>
      <c r="D106" s="100"/>
      <c r="E106" s="9">
        <f t="shared" si="6"/>
        <v>56914.92767999999</v>
      </c>
      <c r="F106" s="9">
        <f>19679.54-9679.54+1690+3290.8</f>
        <v>14980.8</v>
      </c>
      <c r="G106" s="9">
        <v>20525.76</v>
      </c>
      <c r="H106" s="9">
        <f>G106*1.043</f>
        <v>21408.367679999996</v>
      </c>
    </row>
    <row r="107" spans="1:8" ht="89.25">
      <c r="A107" s="97"/>
      <c r="B107" s="21" t="s">
        <v>127</v>
      </c>
      <c r="C107" s="100"/>
      <c r="D107" s="100"/>
      <c r="E107" s="22">
        <f t="shared" si="6"/>
        <v>55224.92767999999</v>
      </c>
      <c r="F107" s="22">
        <f>19679.54-9679.54+3290.8</f>
        <v>13290.8</v>
      </c>
      <c r="G107" s="22">
        <v>20525.76</v>
      </c>
      <c r="H107" s="22">
        <f>G107*1.043</f>
        <v>21408.367679999996</v>
      </c>
    </row>
    <row r="108" spans="1:8" ht="25.5">
      <c r="A108" s="97"/>
      <c r="B108" s="8" t="s">
        <v>218</v>
      </c>
      <c r="C108" s="100"/>
      <c r="D108" s="100"/>
      <c r="E108" s="9">
        <f t="shared" si="6"/>
        <v>23189.433</v>
      </c>
      <c r="F108" s="9">
        <f>9679.5+12455.933+1054</f>
        <v>23189.433</v>
      </c>
      <c r="G108" s="9"/>
      <c r="H108" s="9"/>
    </row>
    <row r="109" spans="1:8" ht="89.25">
      <c r="A109" s="97"/>
      <c r="B109" s="21" t="s">
        <v>127</v>
      </c>
      <c r="C109" s="100"/>
      <c r="D109" s="100"/>
      <c r="E109" s="22">
        <f t="shared" si="6"/>
        <v>10733.5</v>
      </c>
      <c r="F109" s="22">
        <f>9679.5+1054</f>
        <v>10733.5</v>
      </c>
      <c r="G109" s="22"/>
      <c r="H109" s="22"/>
    </row>
    <row r="110" spans="1:8" ht="102">
      <c r="A110" s="97"/>
      <c r="B110" s="21" t="s">
        <v>223</v>
      </c>
      <c r="C110" s="100"/>
      <c r="D110" s="100"/>
      <c r="E110" s="22">
        <f>F110+G110+H110</f>
        <v>12455.933</v>
      </c>
      <c r="F110" s="22">
        <v>12455.933</v>
      </c>
      <c r="G110" s="22"/>
      <c r="H110" s="22"/>
    </row>
    <row r="111" spans="1:8" ht="25.5">
      <c r="A111" s="97"/>
      <c r="B111" s="8" t="s">
        <v>225</v>
      </c>
      <c r="C111" s="100"/>
      <c r="D111" s="100"/>
      <c r="E111" s="9">
        <f t="shared" si="6"/>
        <v>681.795</v>
      </c>
      <c r="F111" s="9">
        <v>681.795</v>
      </c>
      <c r="G111" s="9"/>
      <c r="H111" s="9"/>
    </row>
    <row r="112" spans="1:8" ht="102">
      <c r="A112" s="97"/>
      <c r="B112" s="21" t="s">
        <v>223</v>
      </c>
      <c r="C112" s="100"/>
      <c r="D112" s="100"/>
      <c r="E112" s="22">
        <f t="shared" si="6"/>
        <v>681.795</v>
      </c>
      <c r="F112" s="22">
        <v>681.795</v>
      </c>
      <c r="G112" s="22"/>
      <c r="H112" s="22"/>
    </row>
    <row r="113" spans="1:8" ht="12.75">
      <c r="A113" s="97"/>
      <c r="B113" s="10" t="s">
        <v>226</v>
      </c>
      <c r="C113" s="100"/>
      <c r="D113" s="100"/>
      <c r="E113" s="9">
        <f t="shared" si="6"/>
        <v>432.409</v>
      </c>
      <c r="F113" s="9">
        <v>432.409</v>
      </c>
      <c r="G113" s="9"/>
      <c r="H113" s="9"/>
    </row>
    <row r="114" spans="1:8" ht="12.75">
      <c r="A114" s="97"/>
      <c r="B114" s="8" t="s">
        <v>217</v>
      </c>
      <c r="C114" s="100"/>
      <c r="D114" s="100"/>
      <c r="E114" s="9">
        <f t="shared" si="6"/>
        <v>774</v>
      </c>
      <c r="F114" s="9">
        <v>774</v>
      </c>
      <c r="G114" s="9"/>
      <c r="H114" s="9"/>
    </row>
    <row r="115" spans="1:8" ht="38.25">
      <c r="A115" s="97"/>
      <c r="B115" s="8" t="s">
        <v>227</v>
      </c>
      <c r="C115" s="100"/>
      <c r="D115" s="100"/>
      <c r="E115" s="9">
        <f t="shared" si="6"/>
        <v>285.63</v>
      </c>
      <c r="F115" s="9">
        <v>285.63</v>
      </c>
      <c r="G115" s="9"/>
      <c r="H115" s="9"/>
    </row>
    <row r="116" spans="1:8" ht="25.5">
      <c r="A116" s="97"/>
      <c r="B116" s="8" t="s">
        <v>182</v>
      </c>
      <c r="C116" s="100"/>
      <c r="D116" s="100"/>
      <c r="E116" s="9">
        <f t="shared" si="6"/>
        <v>2172.085</v>
      </c>
      <c r="F116" s="9">
        <f>154.282+488.469+10.272+1519.062</f>
        <v>2172.085</v>
      </c>
      <c r="G116" s="22"/>
      <c r="H116" s="22"/>
    </row>
    <row r="117" spans="1:8" ht="38.25">
      <c r="A117" s="97"/>
      <c r="B117" s="21" t="s">
        <v>126</v>
      </c>
      <c r="C117" s="100"/>
      <c r="D117" s="100"/>
      <c r="E117" s="22">
        <f t="shared" si="6"/>
        <v>10.272</v>
      </c>
      <c r="F117" s="22">
        <v>10.272</v>
      </c>
      <c r="G117" s="22"/>
      <c r="H117" s="22"/>
    </row>
    <row r="118" spans="1:8" ht="102">
      <c r="A118" s="97"/>
      <c r="B118" s="63" t="s">
        <v>223</v>
      </c>
      <c r="C118" s="100"/>
      <c r="D118" s="100"/>
      <c r="E118" s="64">
        <f t="shared" si="6"/>
        <v>1519.062</v>
      </c>
      <c r="F118" s="64">
        <f>1519.062</f>
        <v>1519.062</v>
      </c>
      <c r="G118" s="64"/>
      <c r="H118" s="64"/>
    </row>
    <row r="119" spans="1:8" ht="12.75">
      <c r="A119" s="96" t="s">
        <v>71</v>
      </c>
      <c r="B119" s="8"/>
      <c r="C119" s="99" t="s">
        <v>30</v>
      </c>
      <c r="D119" s="99" t="s">
        <v>20</v>
      </c>
      <c r="E119" s="7">
        <f t="shared" si="6"/>
        <v>328.213162368</v>
      </c>
      <c r="F119" s="7">
        <f>SUM(F120:F121)</f>
        <v>104.832</v>
      </c>
      <c r="G119" s="7">
        <f>SUM(G120:G121)</f>
        <v>109.33977599999999</v>
      </c>
      <c r="H119" s="7">
        <f>SUM(H120:H121)</f>
        <v>114.04138636799999</v>
      </c>
    </row>
    <row r="120" spans="1:8" ht="25.5">
      <c r="A120" s="97"/>
      <c r="B120" s="10" t="s">
        <v>48</v>
      </c>
      <c r="C120" s="100"/>
      <c r="D120" s="100"/>
      <c r="E120" s="9">
        <f t="shared" si="6"/>
        <v>309.954051</v>
      </c>
      <c r="F120" s="9">
        <v>99</v>
      </c>
      <c r="G120" s="9">
        <v>103.25699999999999</v>
      </c>
      <c r="H120" s="9">
        <v>107.69705099999999</v>
      </c>
    </row>
    <row r="121" spans="1:8" ht="25.5">
      <c r="A121" s="98"/>
      <c r="B121" s="10" t="s">
        <v>165</v>
      </c>
      <c r="C121" s="101"/>
      <c r="D121" s="101"/>
      <c r="E121" s="9">
        <f t="shared" si="6"/>
        <v>18.259111368</v>
      </c>
      <c r="F121" s="9">
        <v>5.832</v>
      </c>
      <c r="G121" s="9">
        <v>6.082775999999999</v>
      </c>
      <c r="H121" s="9">
        <v>6.3443353679999985</v>
      </c>
    </row>
    <row r="122" spans="1:8" ht="12.75">
      <c r="A122" s="96" t="s">
        <v>164</v>
      </c>
      <c r="B122" s="10"/>
      <c r="C122" s="93" t="s">
        <v>30</v>
      </c>
      <c r="D122" s="93" t="s">
        <v>20</v>
      </c>
      <c r="E122" s="7">
        <f t="shared" si="6"/>
        <v>139.67000000000002</v>
      </c>
      <c r="F122" s="7">
        <f>SUM(F123:F123)</f>
        <v>44.611</v>
      </c>
      <c r="G122" s="7">
        <f>SUM(G123:G123)</f>
        <v>46.529</v>
      </c>
      <c r="H122" s="7">
        <f>SUM(H123:H123)</f>
        <v>48.53</v>
      </c>
    </row>
    <row r="123" spans="1:8" ht="25.5">
      <c r="A123" s="98"/>
      <c r="B123" s="10" t="s">
        <v>167</v>
      </c>
      <c r="C123" s="93"/>
      <c r="D123" s="93"/>
      <c r="E123" s="9">
        <f t="shared" si="6"/>
        <v>139.67000000000002</v>
      </c>
      <c r="F123" s="9">
        <f>44.611</f>
        <v>44.611</v>
      </c>
      <c r="G123" s="9">
        <v>46.529</v>
      </c>
      <c r="H123" s="9">
        <v>48.53</v>
      </c>
    </row>
    <row r="124" spans="1:8" ht="12.75">
      <c r="A124" s="96" t="s">
        <v>81</v>
      </c>
      <c r="B124" s="8"/>
      <c r="C124" s="99" t="s">
        <v>30</v>
      </c>
      <c r="D124" s="99" t="s">
        <v>20</v>
      </c>
      <c r="E124" s="7">
        <f t="shared" si="6"/>
        <v>315.565043181</v>
      </c>
      <c r="F124" s="7">
        <f>SUM(F125:F126)</f>
        <v>154.752</v>
      </c>
      <c r="G124" s="7">
        <f>SUM(G125:G126)</f>
        <v>78.714167</v>
      </c>
      <c r="H124" s="7">
        <f>SUM(H125:H126)</f>
        <v>82.098876181</v>
      </c>
    </row>
    <row r="125" spans="1:8" ht="25.5">
      <c r="A125" s="97"/>
      <c r="B125" s="10" t="s">
        <v>26</v>
      </c>
      <c r="C125" s="100"/>
      <c r="D125" s="100"/>
      <c r="E125" s="9">
        <f t="shared" si="6"/>
        <v>116.08482158599999</v>
      </c>
      <c r="F125" s="9">
        <v>83.453</v>
      </c>
      <c r="G125" s="9">
        <v>15.972501999999999</v>
      </c>
      <c r="H125" s="9">
        <v>16.659319586</v>
      </c>
    </row>
    <row r="126" spans="1:8" ht="25.5">
      <c r="A126" s="97"/>
      <c r="B126" s="10" t="s">
        <v>32</v>
      </c>
      <c r="C126" s="100"/>
      <c r="D126" s="100"/>
      <c r="E126" s="9">
        <f aca="true" t="shared" si="8" ref="E126:E131">F126+G126+H126</f>
        <v>199.480221595</v>
      </c>
      <c r="F126" s="9">
        <v>71.299</v>
      </c>
      <c r="G126" s="9">
        <v>62.741665</v>
      </c>
      <c r="H126" s="9">
        <v>65.439556595</v>
      </c>
    </row>
    <row r="127" spans="1:8" ht="12.75">
      <c r="A127" s="92" t="s">
        <v>90</v>
      </c>
      <c r="B127" s="10"/>
      <c r="C127" s="93" t="s">
        <v>30</v>
      </c>
      <c r="D127" s="93" t="s">
        <v>20</v>
      </c>
      <c r="E127" s="7">
        <f t="shared" si="8"/>
        <v>343.08156426899995</v>
      </c>
      <c r="F127" s="7">
        <f>SUM(F128:F129)</f>
        <v>109.581</v>
      </c>
      <c r="G127" s="7">
        <f>SUM(G128:G129)</f>
        <v>114.29298299999999</v>
      </c>
      <c r="H127" s="7">
        <f>SUM(H128:H129)</f>
        <v>119.20758126899997</v>
      </c>
    </row>
    <row r="128" spans="1:8" ht="25.5">
      <c r="A128" s="92"/>
      <c r="B128" s="10" t="s">
        <v>33</v>
      </c>
      <c r="C128" s="93"/>
      <c r="D128" s="93"/>
      <c r="E128" s="9">
        <f t="shared" si="8"/>
        <v>33.434336471</v>
      </c>
      <c r="F128" s="9">
        <v>10.679</v>
      </c>
      <c r="G128" s="9">
        <v>11.138197</v>
      </c>
      <c r="H128" s="9">
        <v>11.617139471</v>
      </c>
    </row>
    <row r="129" spans="1:8" ht="12.75">
      <c r="A129" s="92"/>
      <c r="B129" s="10" t="s">
        <v>34</v>
      </c>
      <c r="C129" s="93"/>
      <c r="D129" s="93"/>
      <c r="E129" s="9">
        <f t="shared" si="8"/>
        <v>309.64722779799996</v>
      </c>
      <c r="F129" s="9">
        <v>98.902</v>
      </c>
      <c r="G129" s="9">
        <v>103.15478599999999</v>
      </c>
      <c r="H129" s="9">
        <v>107.59044179799997</v>
      </c>
    </row>
    <row r="130" spans="1:8" ht="12.75">
      <c r="A130" s="92" t="s">
        <v>89</v>
      </c>
      <c r="B130" s="10"/>
      <c r="C130" s="93" t="s">
        <v>30</v>
      </c>
      <c r="D130" s="93" t="s">
        <v>20</v>
      </c>
      <c r="E130" s="7">
        <f t="shared" si="8"/>
        <v>109.273540742</v>
      </c>
      <c r="F130" s="7">
        <f>SUM(F131)</f>
        <v>59.075</v>
      </c>
      <c r="G130" s="7">
        <f>SUM(G131)</f>
        <v>24.570994</v>
      </c>
      <c r="H130" s="7">
        <f>SUM(H131)</f>
        <v>25.627546741999996</v>
      </c>
    </row>
    <row r="131" spans="1:8" ht="38.25" customHeight="1">
      <c r="A131" s="92"/>
      <c r="B131" s="10" t="s">
        <v>35</v>
      </c>
      <c r="C131" s="93"/>
      <c r="D131" s="93"/>
      <c r="E131" s="9">
        <f t="shared" si="8"/>
        <v>109.273540742</v>
      </c>
      <c r="F131" s="9">
        <v>59.075</v>
      </c>
      <c r="G131" s="9">
        <v>24.570994</v>
      </c>
      <c r="H131" s="9">
        <v>25.627546741999996</v>
      </c>
    </row>
    <row r="132" spans="1:8" ht="12.75">
      <c r="A132" s="94" t="s">
        <v>193</v>
      </c>
      <c r="B132" s="10"/>
      <c r="C132" s="93" t="s">
        <v>30</v>
      </c>
      <c r="D132" s="6"/>
      <c r="E132" s="7">
        <f>E133</f>
        <v>116.304</v>
      </c>
      <c r="F132" s="7">
        <f>F133</f>
        <v>37.148</v>
      </c>
      <c r="G132" s="7">
        <f>G133</f>
        <v>38.745</v>
      </c>
      <c r="H132" s="7">
        <f>H133</f>
        <v>40.411</v>
      </c>
    </row>
    <row r="133" spans="1:8" ht="25.5">
      <c r="A133" s="95"/>
      <c r="B133" s="8" t="s">
        <v>192</v>
      </c>
      <c r="C133" s="93"/>
      <c r="D133" s="6" t="s">
        <v>20</v>
      </c>
      <c r="E133" s="9">
        <f>F133+G133+H133</f>
        <v>116.304</v>
      </c>
      <c r="F133" s="9">
        <v>37.148</v>
      </c>
      <c r="G133" s="9">
        <v>38.745</v>
      </c>
      <c r="H133" s="9">
        <v>40.411</v>
      </c>
    </row>
    <row r="134" spans="1:8" ht="12.75">
      <c r="A134" s="94" t="s">
        <v>139</v>
      </c>
      <c r="B134" s="10"/>
      <c r="C134" s="93" t="s">
        <v>30</v>
      </c>
      <c r="D134" s="6"/>
      <c r="E134" s="7">
        <f>E135</f>
        <v>181.109</v>
      </c>
      <c r="F134" s="7">
        <f>F135</f>
        <v>181.109</v>
      </c>
      <c r="G134" s="7">
        <f>G135</f>
        <v>0</v>
      </c>
      <c r="H134" s="7">
        <f>H135</f>
        <v>0</v>
      </c>
    </row>
    <row r="135" spans="1:8" ht="25.5">
      <c r="A135" s="95"/>
      <c r="B135" s="8" t="s">
        <v>182</v>
      </c>
      <c r="C135" s="93"/>
      <c r="D135" s="6" t="s">
        <v>20</v>
      </c>
      <c r="E135" s="9">
        <f aca="true" t="shared" si="9" ref="E135:E147">F135+G135+H135</f>
        <v>181.109</v>
      </c>
      <c r="F135" s="9">
        <f>114.801+66.308</f>
        <v>181.109</v>
      </c>
      <c r="G135" s="9"/>
      <c r="H135" s="9"/>
    </row>
    <row r="136" spans="1:8" ht="12.75">
      <c r="A136" s="92" t="s">
        <v>71</v>
      </c>
      <c r="B136" s="10"/>
      <c r="C136" s="93" t="s">
        <v>36</v>
      </c>
      <c r="D136" s="93" t="s">
        <v>20</v>
      </c>
      <c r="E136" s="7">
        <f t="shared" si="9"/>
        <v>220.25590899999997</v>
      </c>
      <c r="F136" s="7">
        <f>SUM(F137:F138)</f>
        <v>198.88</v>
      </c>
      <c r="G136" s="7">
        <f>SUM(G137:G138)</f>
        <v>10.463</v>
      </c>
      <c r="H136" s="7">
        <f>SUM(H137:H138)</f>
        <v>10.912908999999999</v>
      </c>
    </row>
    <row r="137" spans="1:8" ht="25.5">
      <c r="A137" s="92"/>
      <c r="B137" s="10" t="s">
        <v>37</v>
      </c>
      <c r="C137" s="93"/>
      <c r="D137" s="93"/>
      <c r="E137" s="9">
        <f t="shared" si="9"/>
        <v>101.55590899999999</v>
      </c>
      <c r="F137" s="52">
        <f>81.61-1.43</f>
        <v>80.17999999999999</v>
      </c>
      <c r="G137" s="9">
        <v>10.463</v>
      </c>
      <c r="H137" s="9">
        <f>G137*1.043</f>
        <v>10.912908999999999</v>
      </c>
    </row>
    <row r="138" spans="1:8" ht="25.5">
      <c r="A138" s="92"/>
      <c r="B138" s="10" t="s">
        <v>48</v>
      </c>
      <c r="C138" s="93"/>
      <c r="D138" s="93"/>
      <c r="E138" s="9">
        <f t="shared" si="9"/>
        <v>118.7</v>
      </c>
      <c r="F138" s="52">
        <f>195-76.3</f>
        <v>118.7</v>
      </c>
      <c r="G138" s="9"/>
      <c r="H138" s="9"/>
    </row>
    <row r="139" spans="1:8" ht="12.75">
      <c r="A139" s="96" t="s">
        <v>81</v>
      </c>
      <c r="B139" s="8"/>
      <c r="C139" s="99" t="s">
        <v>36</v>
      </c>
      <c r="D139" s="99" t="s">
        <v>20</v>
      </c>
      <c r="E139" s="7">
        <f t="shared" si="9"/>
        <v>440.2149999999999</v>
      </c>
      <c r="F139" s="7">
        <f>SUM(F140:F147)-F141-F143-F147</f>
        <v>440.2149999999999</v>
      </c>
      <c r="G139" s="7">
        <f>SUM(G140:G147)-G141-G143-G147</f>
        <v>0</v>
      </c>
      <c r="H139" s="7">
        <f>SUM(H140:H147)-H141-H143-H147</f>
        <v>0</v>
      </c>
    </row>
    <row r="140" spans="1:8" ht="25.5">
      <c r="A140" s="97"/>
      <c r="B140" s="10" t="s">
        <v>26</v>
      </c>
      <c r="C140" s="100"/>
      <c r="D140" s="100"/>
      <c r="E140" s="9">
        <f t="shared" si="9"/>
        <v>99.914</v>
      </c>
      <c r="F140" s="9">
        <v>99.914</v>
      </c>
      <c r="G140" s="9"/>
      <c r="H140" s="9"/>
    </row>
    <row r="141" spans="1:8" ht="38.25">
      <c r="A141" s="97"/>
      <c r="B141" s="21" t="s">
        <v>196</v>
      </c>
      <c r="C141" s="100"/>
      <c r="D141" s="100"/>
      <c r="E141" s="22">
        <f t="shared" si="9"/>
        <v>37.588</v>
      </c>
      <c r="F141" s="53">
        <v>37.588</v>
      </c>
      <c r="G141" s="9"/>
      <c r="H141" s="9"/>
    </row>
    <row r="142" spans="1:8" ht="25.5">
      <c r="A142" s="97"/>
      <c r="B142" s="10" t="s">
        <v>229</v>
      </c>
      <c r="C142" s="100"/>
      <c r="D142" s="100"/>
      <c r="E142" s="9">
        <f t="shared" si="9"/>
        <v>78.56</v>
      </c>
      <c r="F142" s="9">
        <f>57.445+21.115</f>
        <v>78.56</v>
      </c>
      <c r="G142" s="9"/>
      <c r="H142" s="9"/>
    </row>
    <row r="143" spans="1:8" ht="38.25">
      <c r="A143" s="97"/>
      <c r="B143" s="21" t="s">
        <v>196</v>
      </c>
      <c r="C143" s="100"/>
      <c r="D143" s="100"/>
      <c r="E143" s="22">
        <f t="shared" si="9"/>
        <v>14.479</v>
      </c>
      <c r="F143" s="53">
        <v>14.479</v>
      </c>
      <c r="G143" s="22"/>
      <c r="H143" s="22"/>
    </row>
    <row r="144" spans="1:8" ht="38.25">
      <c r="A144" s="97"/>
      <c r="B144" s="10" t="s">
        <v>230</v>
      </c>
      <c r="C144" s="100"/>
      <c r="D144" s="100"/>
      <c r="E144" s="9">
        <f t="shared" si="9"/>
        <v>76.86</v>
      </c>
      <c r="F144" s="52">
        <f>25.2+51.66</f>
        <v>76.86</v>
      </c>
      <c r="G144" s="9"/>
      <c r="H144" s="9"/>
    </row>
    <row r="145" spans="1:8" ht="25.5">
      <c r="A145" s="97"/>
      <c r="B145" s="10" t="s">
        <v>39</v>
      </c>
      <c r="C145" s="100"/>
      <c r="D145" s="100"/>
      <c r="E145" s="9">
        <f t="shared" si="9"/>
        <v>104.77499999999999</v>
      </c>
      <c r="F145" s="52">
        <f>99.82+4.955</f>
        <v>104.77499999999999</v>
      </c>
      <c r="G145" s="9"/>
      <c r="H145" s="9"/>
    </row>
    <row r="146" spans="1:8" ht="25.5">
      <c r="A146" s="97"/>
      <c r="B146" s="10" t="s">
        <v>231</v>
      </c>
      <c r="C146" s="100"/>
      <c r="D146" s="100"/>
      <c r="E146" s="9">
        <f t="shared" si="9"/>
        <v>80.106</v>
      </c>
      <c r="F146" s="52">
        <v>80.106</v>
      </c>
      <c r="G146" s="9"/>
      <c r="H146" s="9"/>
    </row>
    <row r="147" spans="1:8" ht="38.25">
      <c r="A147" s="98"/>
      <c r="B147" s="21" t="s">
        <v>196</v>
      </c>
      <c r="C147" s="101"/>
      <c r="D147" s="101"/>
      <c r="E147" s="22">
        <f t="shared" si="9"/>
        <v>80.106</v>
      </c>
      <c r="F147" s="53">
        <v>80.106</v>
      </c>
      <c r="G147" s="22"/>
      <c r="H147" s="22"/>
    </row>
    <row r="148" spans="1:8" ht="12.75">
      <c r="A148" s="92" t="s">
        <v>90</v>
      </c>
      <c r="B148" s="8"/>
      <c r="C148" s="93" t="s">
        <v>36</v>
      </c>
      <c r="D148" s="93" t="s">
        <v>20</v>
      </c>
      <c r="E148" s="7">
        <f>F148+G148+H148</f>
        <v>303.77647</v>
      </c>
      <c r="F148" s="7">
        <f>SUM(F149:F151)</f>
        <v>203.077</v>
      </c>
      <c r="G148" s="7">
        <f>SUM(G149:G151)</f>
        <v>49.29</v>
      </c>
      <c r="H148" s="7">
        <f>SUM(H149:H151)</f>
        <v>51.40947</v>
      </c>
    </row>
    <row r="149" spans="1:8" ht="25.5">
      <c r="A149" s="92"/>
      <c r="B149" s="10" t="s">
        <v>33</v>
      </c>
      <c r="C149" s="93"/>
      <c r="D149" s="93"/>
      <c r="E149" s="9">
        <f>F149+G149+H149</f>
        <v>19.974114</v>
      </c>
      <c r="F149" s="52">
        <v>13.032</v>
      </c>
      <c r="G149" s="9">
        <v>3.398</v>
      </c>
      <c r="H149" s="9">
        <f>G149*1.043</f>
        <v>3.544114</v>
      </c>
    </row>
    <row r="150" spans="1:8" ht="15">
      <c r="A150" s="92"/>
      <c r="B150" s="10" t="s">
        <v>140</v>
      </c>
      <c r="C150" s="93"/>
      <c r="D150" s="93"/>
      <c r="E150" s="9">
        <f>F150+G150+H150</f>
        <v>152.744238</v>
      </c>
      <c r="F150" s="52">
        <v>99.9</v>
      </c>
      <c r="G150" s="9">
        <v>25.866</v>
      </c>
      <c r="H150" s="9">
        <f>G150*1.043</f>
        <v>26.978237999999997</v>
      </c>
    </row>
    <row r="151" spans="1:8" ht="25.5">
      <c r="A151" s="92"/>
      <c r="B151" s="10" t="s">
        <v>141</v>
      </c>
      <c r="C151" s="93"/>
      <c r="D151" s="93"/>
      <c r="E151" s="9">
        <f>F151+G151+H151</f>
        <v>131.05811799999998</v>
      </c>
      <c r="F151" s="52">
        <v>90.145</v>
      </c>
      <c r="G151" s="9">
        <v>20.026</v>
      </c>
      <c r="H151" s="9">
        <f>G151*1.043</f>
        <v>20.887117999999997</v>
      </c>
    </row>
    <row r="152" spans="1:8" ht="12.75">
      <c r="A152" s="94" t="s">
        <v>131</v>
      </c>
      <c r="B152" s="10"/>
      <c r="C152" s="99" t="s">
        <v>36</v>
      </c>
      <c r="D152" s="99" t="s">
        <v>20</v>
      </c>
      <c r="E152" s="7">
        <f>E153</f>
        <v>719.3100000000001</v>
      </c>
      <c r="F152" s="7">
        <f>SUM(F153)</f>
        <v>719.3100000000001</v>
      </c>
      <c r="G152" s="7">
        <f>SUM(G153)</f>
        <v>0</v>
      </c>
      <c r="H152" s="7">
        <f>SUM(H153)</f>
        <v>0</v>
      </c>
    </row>
    <row r="153" spans="1:8" ht="42" customHeight="1">
      <c r="A153" s="95"/>
      <c r="B153" s="8" t="s">
        <v>182</v>
      </c>
      <c r="C153" s="101"/>
      <c r="D153" s="101"/>
      <c r="E153" s="9">
        <f aca="true" t="shared" si="10" ref="E153:E170">F153+G153+H153</f>
        <v>719.3100000000001</v>
      </c>
      <c r="F153" s="9">
        <f>652.71+66.6</f>
        <v>719.3100000000001</v>
      </c>
      <c r="G153" s="9"/>
      <c r="H153" s="9"/>
    </row>
    <row r="154" spans="1:8" ht="12.75">
      <c r="A154" s="96" t="s">
        <v>71</v>
      </c>
      <c r="B154" s="10"/>
      <c r="C154" s="99" t="s">
        <v>40</v>
      </c>
      <c r="D154" s="99" t="s">
        <v>20</v>
      </c>
      <c r="E154" s="7">
        <f t="shared" si="10"/>
        <v>219.34260799999998</v>
      </c>
      <c r="F154" s="7">
        <f>SUM(F155:F159)-F156</f>
        <v>164.90099999999998</v>
      </c>
      <c r="G154" s="7">
        <f>SUM(G155:G159)-G156</f>
        <v>26.648</v>
      </c>
      <c r="H154" s="7">
        <f>SUM(H155:H159)-H156</f>
        <v>27.793608</v>
      </c>
    </row>
    <row r="155" spans="1:8" ht="25.5">
      <c r="A155" s="97"/>
      <c r="B155" s="10" t="s">
        <v>37</v>
      </c>
      <c r="C155" s="100"/>
      <c r="D155" s="100"/>
      <c r="E155" s="9">
        <f t="shared" si="10"/>
        <v>94.172</v>
      </c>
      <c r="F155" s="9">
        <v>61.092</v>
      </c>
      <c r="G155" s="9">
        <v>16.192</v>
      </c>
      <c r="H155" s="9">
        <v>16.888</v>
      </c>
    </row>
    <row r="156" spans="1:8" ht="38.25">
      <c r="A156" s="97"/>
      <c r="B156" s="21" t="s">
        <v>196</v>
      </c>
      <c r="C156" s="100"/>
      <c r="D156" s="100"/>
      <c r="E156" s="22">
        <f t="shared" si="10"/>
        <v>2.098</v>
      </c>
      <c r="F156" s="22">
        <v>0.67</v>
      </c>
      <c r="G156" s="22">
        <v>0.699</v>
      </c>
      <c r="H156" s="22">
        <v>0.729</v>
      </c>
    </row>
    <row r="157" spans="1:8" ht="25.5">
      <c r="A157" s="97"/>
      <c r="B157" s="10" t="s">
        <v>48</v>
      </c>
      <c r="C157" s="100"/>
      <c r="D157" s="100"/>
      <c r="E157" s="9">
        <f t="shared" si="10"/>
        <v>93.784</v>
      </c>
      <c r="F157" s="9">
        <v>93.784</v>
      </c>
      <c r="G157" s="9">
        <v>0</v>
      </c>
      <c r="H157" s="9">
        <f>G157*1.043</f>
        <v>0</v>
      </c>
    </row>
    <row r="158" spans="1:8" ht="25.5">
      <c r="A158" s="97"/>
      <c r="B158" s="10" t="s">
        <v>129</v>
      </c>
      <c r="C158" s="100"/>
      <c r="D158" s="100"/>
      <c r="E158" s="9">
        <f t="shared" si="10"/>
        <v>13.150383</v>
      </c>
      <c r="F158" s="9">
        <v>4.2</v>
      </c>
      <c r="G158" s="9">
        <v>4.381</v>
      </c>
      <c r="H158" s="9">
        <f>G158*1.043</f>
        <v>4.569383</v>
      </c>
    </row>
    <row r="159" spans="1:8" ht="25.5">
      <c r="A159" s="98"/>
      <c r="B159" s="10" t="s">
        <v>165</v>
      </c>
      <c r="C159" s="101"/>
      <c r="D159" s="101"/>
      <c r="E159" s="9">
        <f t="shared" si="10"/>
        <v>18.236225</v>
      </c>
      <c r="F159" s="9">
        <v>5.825</v>
      </c>
      <c r="G159" s="9">
        <v>6.075</v>
      </c>
      <c r="H159" s="9">
        <f aca="true" t="shared" si="11" ref="H159:H170">G159*1.043</f>
        <v>6.336225</v>
      </c>
    </row>
    <row r="160" spans="1:8" ht="12.75">
      <c r="A160" s="92" t="s">
        <v>72</v>
      </c>
      <c r="B160" s="10"/>
      <c r="C160" s="93" t="s">
        <v>40</v>
      </c>
      <c r="D160" s="93" t="s">
        <v>20</v>
      </c>
      <c r="E160" s="7">
        <f t="shared" si="10"/>
        <v>13.98838</v>
      </c>
      <c r="F160" s="7">
        <f>SUM(F161)</f>
        <v>4.468</v>
      </c>
      <c r="G160" s="7">
        <f>SUM(G161)</f>
        <v>4.66</v>
      </c>
      <c r="H160" s="7">
        <f>SUM(H161)</f>
        <v>4.86038</v>
      </c>
    </row>
    <row r="161" spans="1:8" ht="26.25" customHeight="1">
      <c r="A161" s="92"/>
      <c r="B161" s="10" t="s">
        <v>130</v>
      </c>
      <c r="C161" s="93"/>
      <c r="D161" s="93"/>
      <c r="E161" s="9">
        <f t="shared" si="10"/>
        <v>13.98838</v>
      </c>
      <c r="F161" s="9">
        <v>4.468</v>
      </c>
      <c r="G161" s="9">
        <v>4.66</v>
      </c>
      <c r="H161" s="9">
        <f t="shared" si="11"/>
        <v>4.86038</v>
      </c>
    </row>
    <row r="162" spans="1:8" ht="12.75">
      <c r="A162" s="96" t="s">
        <v>164</v>
      </c>
      <c r="B162" s="10"/>
      <c r="C162" s="93" t="s">
        <v>40</v>
      </c>
      <c r="D162" s="93" t="s">
        <v>20</v>
      </c>
      <c r="E162" s="7">
        <f t="shared" si="10"/>
        <v>128.808688</v>
      </c>
      <c r="F162" s="7">
        <f>SUM(F163)</f>
        <v>42.97</v>
      </c>
      <c r="G162" s="7">
        <f>SUM(G163)</f>
        <v>42.016</v>
      </c>
      <c r="H162" s="7">
        <f>SUM(H163)</f>
        <v>43.82268799999999</v>
      </c>
    </row>
    <row r="163" spans="1:8" ht="25.5">
      <c r="A163" s="98"/>
      <c r="B163" s="10" t="s">
        <v>166</v>
      </c>
      <c r="C163" s="93"/>
      <c r="D163" s="93"/>
      <c r="E163" s="9">
        <f t="shared" si="10"/>
        <v>128.808688</v>
      </c>
      <c r="F163" s="9">
        <f>42.97</f>
        <v>42.97</v>
      </c>
      <c r="G163" s="9">
        <v>42.016</v>
      </c>
      <c r="H163" s="9">
        <f t="shared" si="11"/>
        <v>43.82268799999999</v>
      </c>
    </row>
    <row r="164" spans="1:8" ht="12.75">
      <c r="A164" s="92" t="s">
        <v>81</v>
      </c>
      <c r="B164" s="10"/>
      <c r="C164" s="93" t="s">
        <v>40</v>
      </c>
      <c r="D164" s="93" t="s">
        <v>20</v>
      </c>
      <c r="E164" s="7">
        <f t="shared" si="10"/>
        <v>160.738279</v>
      </c>
      <c r="F164" s="7">
        <f>SUM(F165:F167)</f>
        <v>146.329</v>
      </c>
      <c r="G164" s="7">
        <f>SUM(G165:G167)</f>
        <v>7.053</v>
      </c>
      <c r="H164" s="7">
        <f>SUM(H165:H167)</f>
        <v>7.356279</v>
      </c>
    </row>
    <row r="165" spans="1:8" ht="38.25">
      <c r="A165" s="92"/>
      <c r="B165" s="10" t="s">
        <v>200</v>
      </c>
      <c r="C165" s="93"/>
      <c r="D165" s="93"/>
      <c r="E165" s="9">
        <f t="shared" si="10"/>
        <v>64.16627899999999</v>
      </c>
      <c r="F165" s="9">
        <v>49.757</v>
      </c>
      <c r="G165" s="9">
        <v>7.053</v>
      </c>
      <c r="H165" s="9">
        <f t="shared" si="11"/>
        <v>7.356279</v>
      </c>
    </row>
    <row r="166" spans="1:8" ht="25.5">
      <c r="A166" s="92"/>
      <c r="B166" s="10" t="s">
        <v>231</v>
      </c>
      <c r="C166" s="93"/>
      <c r="D166" s="93"/>
      <c r="E166" s="9">
        <f t="shared" si="10"/>
        <v>40.572</v>
      </c>
      <c r="F166" s="9">
        <v>40.572</v>
      </c>
      <c r="G166" s="9"/>
      <c r="H166" s="9"/>
    </row>
    <row r="167" spans="1:8" ht="38.25">
      <c r="A167" s="92"/>
      <c r="B167" s="10" t="s">
        <v>232</v>
      </c>
      <c r="C167" s="93"/>
      <c r="D167" s="93"/>
      <c r="E167" s="9">
        <f>F167+G167+H167</f>
        <v>56</v>
      </c>
      <c r="F167" s="9">
        <v>56</v>
      </c>
      <c r="G167" s="9"/>
      <c r="H167" s="9"/>
    </row>
    <row r="168" spans="1:8" ht="12.75">
      <c r="A168" s="92" t="s">
        <v>90</v>
      </c>
      <c r="B168" s="10"/>
      <c r="C168" s="93" t="s">
        <v>40</v>
      </c>
      <c r="D168" s="93" t="s">
        <v>20</v>
      </c>
      <c r="E168" s="7">
        <f t="shared" si="10"/>
        <v>318.625196303</v>
      </c>
      <c r="F168" s="7">
        <f>SUM(F169:F170)</f>
        <v>106.697</v>
      </c>
      <c r="G168" s="7">
        <f>SUM(G169:G170)</f>
        <v>103.733821</v>
      </c>
      <c r="H168" s="7">
        <f>SUM(H169:H170)</f>
        <v>108.19437530299999</v>
      </c>
    </row>
    <row r="169" spans="1:8" ht="25.5">
      <c r="A169" s="92"/>
      <c r="B169" s="10" t="s">
        <v>33</v>
      </c>
      <c r="C169" s="93"/>
      <c r="D169" s="93"/>
      <c r="E169" s="9">
        <f t="shared" si="10"/>
        <v>12.907184</v>
      </c>
      <c r="F169" s="9">
        <v>9.05</v>
      </c>
      <c r="G169" s="9">
        <v>1.888</v>
      </c>
      <c r="H169" s="9">
        <f t="shared" si="11"/>
        <v>1.9691839999999998</v>
      </c>
    </row>
    <row r="170" spans="1:8" ht="12.75">
      <c r="A170" s="92"/>
      <c r="B170" s="10" t="s">
        <v>34</v>
      </c>
      <c r="C170" s="93"/>
      <c r="D170" s="93"/>
      <c r="E170" s="9">
        <f t="shared" si="10"/>
        <v>305.71801230299997</v>
      </c>
      <c r="F170" s="9">
        <v>97.647</v>
      </c>
      <c r="G170" s="9">
        <f>F170*1.043</f>
        <v>101.845821</v>
      </c>
      <c r="H170" s="9">
        <f t="shared" si="11"/>
        <v>106.22519130299999</v>
      </c>
    </row>
    <row r="171" spans="1:8" ht="12.75">
      <c r="A171" s="92" t="s">
        <v>89</v>
      </c>
      <c r="B171" s="10"/>
      <c r="C171" s="93" t="s">
        <v>40</v>
      </c>
      <c r="D171" s="93" t="s">
        <v>20</v>
      </c>
      <c r="E171" s="7">
        <f aca="true" t="shared" si="12" ref="E171:E178">F171+G171+H171</f>
        <v>15.304</v>
      </c>
      <c r="F171" s="7">
        <f>SUM(F172:F173)</f>
        <v>15.304</v>
      </c>
      <c r="G171" s="7">
        <f>SUM(G173:G174)</f>
        <v>0</v>
      </c>
      <c r="H171" s="7">
        <f>SUM(H173:H174)</f>
        <v>0</v>
      </c>
    </row>
    <row r="172" spans="1:8" ht="12.75">
      <c r="A172" s="92"/>
      <c r="B172" s="10" t="s">
        <v>233</v>
      </c>
      <c r="C172" s="93"/>
      <c r="D172" s="93"/>
      <c r="E172" s="9">
        <f>F172+G172+H172</f>
        <v>14.598</v>
      </c>
      <c r="F172" s="9">
        <v>14.598</v>
      </c>
      <c r="G172" s="7"/>
      <c r="H172" s="7"/>
    </row>
    <row r="173" spans="1:8" ht="38.25" customHeight="1">
      <c r="A173" s="92"/>
      <c r="B173" s="10" t="s">
        <v>254</v>
      </c>
      <c r="C173" s="93"/>
      <c r="D173" s="93"/>
      <c r="E173" s="9">
        <f t="shared" si="12"/>
        <v>0.706</v>
      </c>
      <c r="F173" s="9">
        <v>0.706</v>
      </c>
      <c r="G173" s="9"/>
      <c r="H173" s="9"/>
    </row>
    <row r="174" spans="1:8" ht="12.75" customHeight="1">
      <c r="A174" s="94" t="s">
        <v>88</v>
      </c>
      <c r="B174" s="10"/>
      <c r="C174" s="93" t="s">
        <v>40</v>
      </c>
      <c r="D174" s="93" t="s">
        <v>20</v>
      </c>
      <c r="E174" s="7">
        <f t="shared" si="12"/>
        <v>46.8</v>
      </c>
      <c r="F174" s="7">
        <f>SUM(F175)</f>
        <v>46.8</v>
      </c>
      <c r="G174" s="7">
        <f>SUM(G175)</f>
        <v>0</v>
      </c>
      <c r="H174" s="7">
        <f>SUM(H175)</f>
        <v>0</v>
      </c>
    </row>
    <row r="175" spans="1:8" ht="39" customHeight="1">
      <c r="A175" s="95"/>
      <c r="B175" s="8" t="s">
        <v>194</v>
      </c>
      <c r="C175" s="93"/>
      <c r="D175" s="93"/>
      <c r="E175" s="9">
        <f t="shared" si="12"/>
        <v>46.8</v>
      </c>
      <c r="F175" s="9">
        <v>46.8</v>
      </c>
      <c r="G175" s="9"/>
      <c r="H175" s="9"/>
    </row>
    <row r="176" spans="1:8" ht="12.75">
      <c r="A176" s="94" t="s">
        <v>131</v>
      </c>
      <c r="B176" s="10"/>
      <c r="C176" s="93" t="s">
        <v>40</v>
      </c>
      <c r="D176" s="93" t="s">
        <v>20</v>
      </c>
      <c r="E176" s="7">
        <f t="shared" si="12"/>
        <v>417.214</v>
      </c>
      <c r="F176" s="7">
        <f>SUM(F177)</f>
        <v>417.214</v>
      </c>
      <c r="G176" s="7">
        <f>SUM(G177)</f>
        <v>0</v>
      </c>
      <c r="H176" s="7">
        <f>SUM(H177)</f>
        <v>0</v>
      </c>
    </row>
    <row r="177" spans="1:8" ht="25.5">
      <c r="A177" s="102"/>
      <c r="B177" s="8" t="s">
        <v>182</v>
      </c>
      <c r="C177" s="93"/>
      <c r="D177" s="93"/>
      <c r="E177" s="9">
        <f t="shared" si="12"/>
        <v>417.214</v>
      </c>
      <c r="F177" s="9">
        <f>400.528+16.686</f>
        <v>417.214</v>
      </c>
      <c r="G177" s="9"/>
      <c r="H177" s="9"/>
    </row>
    <row r="178" spans="1:8" ht="38.25">
      <c r="A178" s="95"/>
      <c r="B178" s="21" t="s">
        <v>196</v>
      </c>
      <c r="C178" s="93"/>
      <c r="D178" s="93"/>
      <c r="E178" s="22">
        <f t="shared" si="12"/>
        <v>9.33</v>
      </c>
      <c r="F178" s="22">
        <v>9.33</v>
      </c>
      <c r="G178" s="22"/>
      <c r="H178" s="22"/>
    </row>
    <row r="179" spans="1:8" ht="12.75">
      <c r="A179" s="96" t="s">
        <v>71</v>
      </c>
      <c r="B179" s="10"/>
      <c r="C179" s="99" t="s">
        <v>41</v>
      </c>
      <c r="D179" s="99" t="s">
        <v>20</v>
      </c>
      <c r="E179" s="7">
        <f aca="true" t="shared" si="13" ref="E179:E241">F179+G179+H179</f>
        <v>473.171975</v>
      </c>
      <c r="F179" s="7">
        <f>SUM(F180:F182)</f>
        <v>135.413</v>
      </c>
      <c r="G179" s="7">
        <f>SUM(G180:G182)</f>
        <v>165.325</v>
      </c>
      <c r="H179" s="7">
        <f>SUM(H180:H182)</f>
        <v>172.43397499999998</v>
      </c>
    </row>
    <row r="180" spans="1:8" ht="25.5">
      <c r="A180" s="97"/>
      <c r="B180" s="8" t="s">
        <v>37</v>
      </c>
      <c r="C180" s="100"/>
      <c r="D180" s="100"/>
      <c r="E180" s="9">
        <f t="shared" si="13"/>
        <v>141.61577499999999</v>
      </c>
      <c r="F180" s="9">
        <f>99.011-63.478</f>
        <v>35.532999999999994</v>
      </c>
      <c r="G180" s="9">
        <v>51.925</v>
      </c>
      <c r="H180" s="9">
        <f>G180*1.043</f>
        <v>54.157774999999994</v>
      </c>
    </row>
    <row r="181" spans="1:8" ht="51">
      <c r="A181" s="97"/>
      <c r="B181" s="10" t="s">
        <v>162</v>
      </c>
      <c r="C181" s="100"/>
      <c r="D181" s="100"/>
      <c r="E181" s="9">
        <f t="shared" si="13"/>
        <v>260.40838099999996</v>
      </c>
      <c r="F181" s="9">
        <f>98+27.216-47.586-22.68</f>
        <v>54.95000000000001</v>
      </c>
      <c r="G181" s="9">
        <v>100.567</v>
      </c>
      <c r="H181" s="9">
        <f>G181*1.043</f>
        <v>104.89138099999998</v>
      </c>
    </row>
    <row r="182" spans="1:8" ht="12.75">
      <c r="A182" s="97"/>
      <c r="B182" s="10" t="s">
        <v>38</v>
      </c>
      <c r="C182" s="100"/>
      <c r="D182" s="100"/>
      <c r="E182" s="9">
        <f t="shared" si="13"/>
        <v>71.147819</v>
      </c>
      <c r="F182" s="9">
        <f>74.25-29.32</f>
        <v>44.93</v>
      </c>
      <c r="G182" s="9">
        <v>12.833</v>
      </c>
      <c r="H182" s="9">
        <f>G182*1.043</f>
        <v>13.384818999999998</v>
      </c>
    </row>
    <row r="183" spans="1:8" ht="12.75">
      <c r="A183" s="92" t="s">
        <v>81</v>
      </c>
      <c r="B183" s="8"/>
      <c r="C183" s="93" t="s">
        <v>41</v>
      </c>
      <c r="D183" s="93" t="s">
        <v>20</v>
      </c>
      <c r="E183" s="7">
        <f t="shared" si="13"/>
        <v>414.353366</v>
      </c>
      <c r="F183" s="7">
        <f>SUM(F184:F186)</f>
        <v>291.851</v>
      </c>
      <c r="G183" s="7">
        <f>SUM(G184:G186)</f>
        <v>59.961999999999996</v>
      </c>
      <c r="H183" s="7">
        <f>SUM(H184:H186)</f>
        <v>62.540366</v>
      </c>
    </row>
    <row r="184" spans="1:8" ht="38.25">
      <c r="A184" s="92"/>
      <c r="B184" s="10" t="s">
        <v>47</v>
      </c>
      <c r="C184" s="93"/>
      <c r="D184" s="93"/>
      <c r="E184" s="9">
        <f t="shared" si="13"/>
        <v>118.333557</v>
      </c>
      <c r="F184" s="9">
        <f>30.87+68.67</f>
        <v>99.54</v>
      </c>
      <c r="G184" s="9">
        <v>9.199</v>
      </c>
      <c r="H184" s="9">
        <f>G184*1.043</f>
        <v>9.594557</v>
      </c>
    </row>
    <row r="185" spans="1:8" ht="25.5">
      <c r="A185" s="92"/>
      <c r="B185" s="10" t="s">
        <v>197</v>
      </c>
      <c r="C185" s="93"/>
      <c r="D185" s="93"/>
      <c r="E185" s="9">
        <f t="shared" si="13"/>
        <v>98.01</v>
      </c>
      <c r="F185" s="9">
        <v>98.01</v>
      </c>
      <c r="G185" s="9">
        <v>0</v>
      </c>
      <c r="H185" s="9">
        <f>G185*1.043</f>
        <v>0</v>
      </c>
    </row>
    <row r="186" spans="1:8" ht="25.5">
      <c r="A186" s="92"/>
      <c r="B186" s="10" t="s">
        <v>39</v>
      </c>
      <c r="C186" s="93"/>
      <c r="D186" s="93"/>
      <c r="E186" s="9">
        <f t="shared" si="13"/>
        <v>198.009809</v>
      </c>
      <c r="F186" s="9">
        <f>68.833+25.468</f>
        <v>94.301</v>
      </c>
      <c r="G186" s="9">
        <v>50.763</v>
      </c>
      <c r="H186" s="9">
        <f>G186*1.043</f>
        <v>52.945809</v>
      </c>
    </row>
    <row r="187" spans="1:8" ht="12.75">
      <c r="A187" s="92" t="s">
        <v>90</v>
      </c>
      <c r="B187" s="8"/>
      <c r="C187" s="93" t="s">
        <v>41</v>
      </c>
      <c r="D187" s="93" t="s">
        <v>20</v>
      </c>
      <c r="E187" s="7">
        <f t="shared" si="13"/>
        <v>583.677995</v>
      </c>
      <c r="F187" s="7">
        <f>SUM(F188:F190)</f>
        <v>241.547</v>
      </c>
      <c r="G187" s="7">
        <f>SUM(G188:G190)</f>
        <v>167.465</v>
      </c>
      <c r="H187" s="7">
        <f>SUM(H188:H190)</f>
        <v>174.66599499999998</v>
      </c>
    </row>
    <row r="188" spans="1:8" ht="25.5">
      <c r="A188" s="92"/>
      <c r="B188" s="10" t="s">
        <v>33</v>
      </c>
      <c r="C188" s="93"/>
      <c r="D188" s="93"/>
      <c r="E188" s="9">
        <f t="shared" si="13"/>
        <v>196.522358</v>
      </c>
      <c r="F188" s="9">
        <f>54.3+42.716</f>
        <v>97.01599999999999</v>
      </c>
      <c r="G188" s="9">
        <v>48.706</v>
      </c>
      <c r="H188" s="9">
        <f>G188*1.043</f>
        <v>50.800358</v>
      </c>
    </row>
    <row r="189" spans="1:8" ht="25.5">
      <c r="A189" s="92"/>
      <c r="B189" s="10" t="s">
        <v>141</v>
      </c>
      <c r="C189" s="93"/>
      <c r="D189" s="93"/>
      <c r="E189" s="9">
        <f t="shared" si="13"/>
        <v>164.785528</v>
      </c>
      <c r="F189" s="9">
        <v>52.633</v>
      </c>
      <c r="G189" s="9">
        <v>54.896</v>
      </c>
      <c r="H189" s="9">
        <f>G189*1.043</f>
        <v>57.256527999999996</v>
      </c>
    </row>
    <row r="190" spans="1:8" ht="38.25">
      <c r="A190" s="92"/>
      <c r="B190" s="10" t="s">
        <v>142</v>
      </c>
      <c r="C190" s="93"/>
      <c r="D190" s="93"/>
      <c r="E190" s="9">
        <f t="shared" si="13"/>
        <v>222.37010899999999</v>
      </c>
      <c r="F190" s="9">
        <v>91.898</v>
      </c>
      <c r="G190" s="9">
        <v>63.863</v>
      </c>
      <c r="H190" s="9">
        <f>G190*1.043</f>
        <v>66.60910899999999</v>
      </c>
    </row>
    <row r="191" spans="1:8" ht="12.75">
      <c r="A191" s="96" t="s">
        <v>89</v>
      </c>
      <c r="B191" s="10"/>
      <c r="C191" s="93" t="s">
        <v>41</v>
      </c>
      <c r="D191" s="93" t="s">
        <v>20</v>
      </c>
      <c r="E191" s="7">
        <f>F191+G191+H191</f>
        <v>99.84299999999999</v>
      </c>
      <c r="F191" s="7">
        <f>SUM(F192)</f>
        <v>99.84299999999999</v>
      </c>
      <c r="G191" s="9"/>
      <c r="H191" s="9"/>
    </row>
    <row r="192" spans="1:8" ht="39.75" customHeight="1">
      <c r="A192" s="98"/>
      <c r="B192" s="10" t="s">
        <v>234</v>
      </c>
      <c r="C192" s="93"/>
      <c r="D192" s="93"/>
      <c r="E192" s="9">
        <f>F192+G192+H192</f>
        <v>99.84299999999999</v>
      </c>
      <c r="F192" s="9">
        <f>73.633+26.21</f>
        <v>99.84299999999999</v>
      </c>
      <c r="G192" s="9"/>
      <c r="H192" s="9"/>
    </row>
    <row r="193" spans="1:8" ht="12.75">
      <c r="A193" s="94" t="s">
        <v>131</v>
      </c>
      <c r="B193" s="10"/>
      <c r="C193" s="93" t="s">
        <v>41</v>
      </c>
      <c r="D193" s="93" t="s">
        <v>20</v>
      </c>
      <c r="E193" s="7">
        <f>F193+G193+H193</f>
        <v>424.153</v>
      </c>
      <c r="F193" s="7">
        <f>SUM(F194)</f>
        <v>424.153</v>
      </c>
      <c r="G193" s="9"/>
      <c r="H193" s="9"/>
    </row>
    <row r="194" spans="1:8" ht="39.75" customHeight="1">
      <c r="A194" s="95"/>
      <c r="B194" s="8" t="s">
        <v>182</v>
      </c>
      <c r="C194" s="93"/>
      <c r="D194" s="93"/>
      <c r="E194" s="9">
        <f>F194+G194+H194</f>
        <v>424.153</v>
      </c>
      <c r="F194" s="9">
        <f>392.095+32.058</f>
        <v>424.153</v>
      </c>
      <c r="G194" s="9"/>
      <c r="H194" s="9"/>
    </row>
    <row r="195" spans="1:8" ht="12.75">
      <c r="A195" s="96" t="s">
        <v>71</v>
      </c>
      <c r="B195" s="8"/>
      <c r="C195" s="99" t="s">
        <v>42</v>
      </c>
      <c r="D195" s="99" t="s">
        <v>20</v>
      </c>
      <c r="E195" s="7">
        <f t="shared" si="13"/>
        <v>241.269564</v>
      </c>
      <c r="F195" s="7">
        <f>SUM(F196:F197)</f>
        <v>138</v>
      </c>
      <c r="G195" s="7">
        <f>SUM(G196:G197)</f>
        <v>50.548</v>
      </c>
      <c r="H195" s="7">
        <f>SUM(H196:H197)</f>
        <v>52.721564</v>
      </c>
    </row>
    <row r="196" spans="1:8" ht="25.5">
      <c r="A196" s="97"/>
      <c r="B196" s="10" t="s">
        <v>37</v>
      </c>
      <c r="C196" s="100"/>
      <c r="D196" s="100"/>
      <c r="E196" s="9">
        <f t="shared" si="13"/>
        <v>39</v>
      </c>
      <c r="F196" s="9">
        <v>39</v>
      </c>
      <c r="G196" s="7"/>
      <c r="H196" s="7"/>
    </row>
    <row r="197" spans="1:8" ht="12.75">
      <c r="A197" s="97"/>
      <c r="B197" s="10" t="s">
        <v>38</v>
      </c>
      <c r="C197" s="100"/>
      <c r="D197" s="100"/>
      <c r="E197" s="9">
        <f t="shared" si="13"/>
        <v>202.269564</v>
      </c>
      <c r="F197" s="9">
        <v>99</v>
      </c>
      <c r="G197" s="9">
        <v>50.548</v>
      </c>
      <c r="H197" s="9">
        <f>G197*1.043</f>
        <v>52.721564</v>
      </c>
    </row>
    <row r="198" spans="1:8" ht="12.75">
      <c r="A198" s="96" t="s">
        <v>81</v>
      </c>
      <c r="B198" s="10"/>
      <c r="C198" s="99" t="s">
        <v>42</v>
      </c>
      <c r="D198" s="99" t="s">
        <v>20</v>
      </c>
      <c r="E198" s="7">
        <f t="shared" si="13"/>
        <v>175</v>
      </c>
      <c r="F198" s="7">
        <f>SUM(F199:F201)</f>
        <v>175</v>
      </c>
      <c r="G198" s="7">
        <f>SUM(G199:G201)</f>
        <v>0</v>
      </c>
      <c r="H198" s="7">
        <f>SUM(H199:H201)</f>
        <v>0</v>
      </c>
    </row>
    <row r="199" spans="1:8" ht="25.5">
      <c r="A199" s="97"/>
      <c r="B199" s="10" t="s">
        <v>31</v>
      </c>
      <c r="C199" s="100"/>
      <c r="D199" s="100"/>
      <c r="E199" s="9">
        <f t="shared" si="13"/>
        <v>45</v>
      </c>
      <c r="F199" s="9">
        <v>45</v>
      </c>
      <c r="G199" s="9"/>
      <c r="H199" s="9"/>
    </row>
    <row r="200" spans="1:8" ht="25.5">
      <c r="A200" s="97"/>
      <c r="B200" s="10" t="s">
        <v>32</v>
      </c>
      <c r="C200" s="100"/>
      <c r="D200" s="100"/>
      <c r="E200" s="9">
        <f t="shared" si="13"/>
        <v>35</v>
      </c>
      <c r="F200" s="9">
        <v>35</v>
      </c>
      <c r="G200" s="9"/>
      <c r="H200" s="9"/>
    </row>
    <row r="201" spans="1:8" ht="25.5">
      <c r="A201" s="97"/>
      <c r="B201" s="10" t="s">
        <v>235</v>
      </c>
      <c r="C201" s="100"/>
      <c r="D201" s="100"/>
      <c r="E201" s="9">
        <f t="shared" si="13"/>
        <v>95</v>
      </c>
      <c r="F201" s="9">
        <v>95</v>
      </c>
      <c r="G201" s="9"/>
      <c r="H201" s="9"/>
    </row>
    <row r="202" spans="1:8" ht="12.75">
      <c r="A202" s="92" t="s">
        <v>90</v>
      </c>
      <c r="B202" s="10"/>
      <c r="C202" s="93" t="s">
        <v>42</v>
      </c>
      <c r="D202" s="93" t="s">
        <v>20</v>
      </c>
      <c r="E202" s="7">
        <f t="shared" si="13"/>
        <v>253.505185</v>
      </c>
      <c r="F202" s="7">
        <f>SUM(F203:F204)</f>
        <v>115</v>
      </c>
      <c r="G202" s="7">
        <f>SUM(G203:G204)</f>
        <v>67.795</v>
      </c>
      <c r="H202" s="7">
        <f>SUM(H203:H204)</f>
        <v>70.710185</v>
      </c>
    </row>
    <row r="203" spans="1:8" ht="25.5">
      <c r="A203" s="92"/>
      <c r="B203" s="10" t="s">
        <v>33</v>
      </c>
      <c r="C203" s="93"/>
      <c r="D203" s="93"/>
      <c r="E203" s="9">
        <f t="shared" si="13"/>
        <v>115.888205</v>
      </c>
      <c r="F203" s="9">
        <v>20</v>
      </c>
      <c r="G203" s="9">
        <v>46.935</v>
      </c>
      <c r="H203" s="9">
        <f>G203*1.043</f>
        <v>48.953205</v>
      </c>
    </row>
    <row r="204" spans="1:8" ht="12.75">
      <c r="A204" s="92"/>
      <c r="B204" s="10" t="s">
        <v>34</v>
      </c>
      <c r="C204" s="93"/>
      <c r="D204" s="93"/>
      <c r="E204" s="9">
        <f t="shared" si="13"/>
        <v>137.61698</v>
      </c>
      <c r="F204" s="9">
        <v>95</v>
      </c>
      <c r="G204" s="9">
        <v>20.86</v>
      </c>
      <c r="H204" s="9">
        <f>G204*1.043</f>
        <v>21.75698</v>
      </c>
    </row>
    <row r="205" spans="1:8" ht="12.75">
      <c r="A205" s="92" t="s">
        <v>89</v>
      </c>
      <c r="B205" s="10"/>
      <c r="C205" s="93" t="s">
        <v>42</v>
      </c>
      <c r="D205" s="93" t="s">
        <v>20</v>
      </c>
      <c r="E205" s="7">
        <f t="shared" si="13"/>
        <v>184.23396</v>
      </c>
      <c r="F205" s="7">
        <f>SUM(F206)</f>
        <v>99</v>
      </c>
      <c r="G205" s="7">
        <f>SUM(G206)</f>
        <v>41.72</v>
      </c>
      <c r="H205" s="7">
        <f>SUM(H206)</f>
        <v>43.51396</v>
      </c>
    </row>
    <row r="206" spans="1:8" ht="39.75" customHeight="1">
      <c r="A206" s="92"/>
      <c r="B206" s="10" t="s">
        <v>43</v>
      </c>
      <c r="C206" s="93"/>
      <c r="D206" s="93"/>
      <c r="E206" s="9">
        <f t="shared" si="13"/>
        <v>184.23396</v>
      </c>
      <c r="F206" s="9">
        <v>99</v>
      </c>
      <c r="G206" s="9">
        <v>41.72</v>
      </c>
      <c r="H206" s="9">
        <f>G206*1.043</f>
        <v>43.51396</v>
      </c>
    </row>
    <row r="207" spans="1:8" ht="12.75">
      <c r="A207" s="94" t="s">
        <v>88</v>
      </c>
      <c r="B207" s="10"/>
      <c r="C207" s="93" t="s">
        <v>42</v>
      </c>
      <c r="D207" s="93" t="s">
        <v>20</v>
      </c>
      <c r="E207" s="7">
        <f t="shared" si="13"/>
        <v>216.253806</v>
      </c>
      <c r="F207" s="7">
        <f>SUM(F208)</f>
        <v>69.072</v>
      </c>
      <c r="G207" s="7">
        <f>SUM(G208)</f>
        <v>72.042</v>
      </c>
      <c r="H207" s="7">
        <f>SUM(H208)</f>
        <v>75.139806</v>
      </c>
    </row>
    <row r="208" spans="1:8" ht="39" customHeight="1">
      <c r="A208" s="95"/>
      <c r="B208" s="8" t="s">
        <v>194</v>
      </c>
      <c r="C208" s="93"/>
      <c r="D208" s="93"/>
      <c r="E208" s="9">
        <f t="shared" si="13"/>
        <v>216.253806</v>
      </c>
      <c r="F208" s="9">
        <v>69.072</v>
      </c>
      <c r="G208" s="9">
        <v>72.042</v>
      </c>
      <c r="H208" s="9">
        <f>G208*1.043</f>
        <v>75.139806</v>
      </c>
    </row>
    <row r="209" spans="1:8" ht="12.75">
      <c r="A209" s="94" t="s">
        <v>131</v>
      </c>
      <c r="B209" s="10"/>
      <c r="C209" s="93" t="s">
        <v>42</v>
      </c>
      <c r="D209" s="93" t="s">
        <v>20</v>
      </c>
      <c r="E209" s="7">
        <f t="shared" si="13"/>
        <v>406.328</v>
      </c>
      <c r="F209" s="7">
        <f>SUM(F210)</f>
        <v>406.328</v>
      </c>
      <c r="G209" s="9"/>
      <c r="H209" s="9"/>
    </row>
    <row r="210" spans="1:8" ht="25.5">
      <c r="A210" s="95"/>
      <c r="B210" s="8" t="s">
        <v>182</v>
      </c>
      <c r="C210" s="93"/>
      <c r="D210" s="93"/>
      <c r="E210" s="9">
        <f t="shared" si="13"/>
        <v>406.328</v>
      </c>
      <c r="F210" s="9">
        <f>373.536+32.792</f>
        <v>406.328</v>
      </c>
      <c r="G210" s="9"/>
      <c r="H210" s="9"/>
    </row>
    <row r="211" spans="1:8" ht="12.75">
      <c r="A211" s="96" t="s">
        <v>71</v>
      </c>
      <c r="B211" s="10"/>
      <c r="C211" s="99" t="s">
        <v>44</v>
      </c>
      <c r="D211" s="99" t="s">
        <v>20</v>
      </c>
      <c r="E211" s="7">
        <f t="shared" si="13"/>
        <v>348.542638</v>
      </c>
      <c r="F211" s="7">
        <f>SUM(F212:F213)</f>
        <v>149.011</v>
      </c>
      <c r="G211" s="7">
        <f>SUM(G212:G213)</f>
        <v>97.666</v>
      </c>
      <c r="H211" s="7">
        <f>SUM(H212:H213)</f>
        <v>101.865638</v>
      </c>
    </row>
    <row r="212" spans="1:8" ht="25.5">
      <c r="A212" s="97"/>
      <c r="B212" s="10" t="s">
        <v>37</v>
      </c>
      <c r="C212" s="100"/>
      <c r="D212" s="100"/>
      <c r="E212" s="9">
        <f t="shared" si="13"/>
        <v>122.148248</v>
      </c>
      <c r="F212" s="9">
        <v>60.989</v>
      </c>
      <c r="G212" s="9">
        <v>29.936</v>
      </c>
      <c r="H212" s="9">
        <f>G212*1.043</f>
        <v>31.223247999999998</v>
      </c>
    </row>
    <row r="213" spans="1:8" ht="25.5">
      <c r="A213" s="97"/>
      <c r="B213" s="10" t="s">
        <v>48</v>
      </c>
      <c r="C213" s="100"/>
      <c r="D213" s="100"/>
      <c r="E213" s="9">
        <f>F213+G213+H213</f>
        <v>226.39439000000002</v>
      </c>
      <c r="F213" s="9">
        <v>88.022</v>
      </c>
      <c r="G213" s="9">
        <v>67.73</v>
      </c>
      <c r="H213" s="9">
        <f>G213*1.043</f>
        <v>70.64239</v>
      </c>
    </row>
    <row r="214" spans="1:8" ht="12.75">
      <c r="A214" s="92" t="s">
        <v>81</v>
      </c>
      <c r="B214" s="8"/>
      <c r="C214" s="93" t="s">
        <v>44</v>
      </c>
      <c r="D214" s="93" t="s">
        <v>20</v>
      </c>
      <c r="E214" s="7">
        <f t="shared" si="13"/>
        <v>467.31416075199996</v>
      </c>
      <c r="F214" s="7">
        <f>SUM(F215:F218)</f>
        <v>211.51</v>
      </c>
      <c r="G214" s="7">
        <f>SUM(G215:G218)</f>
        <v>125.21006399999999</v>
      </c>
      <c r="H214" s="7">
        <f>SUM(H215:H218)</f>
        <v>130.59409675199998</v>
      </c>
    </row>
    <row r="215" spans="1:8" ht="25.5">
      <c r="A215" s="92"/>
      <c r="B215" s="10" t="s">
        <v>45</v>
      </c>
      <c r="C215" s="93"/>
      <c r="D215" s="93"/>
      <c r="E215" s="9">
        <f t="shared" si="13"/>
        <v>238.17620682599997</v>
      </c>
      <c r="F215" s="9">
        <v>76.074</v>
      </c>
      <c r="G215" s="9">
        <f>F215*1.043</f>
        <v>79.345182</v>
      </c>
      <c r="H215" s="9">
        <f>G215*1.043</f>
        <v>82.75702482599999</v>
      </c>
    </row>
    <row r="216" spans="1:8" ht="25.5">
      <c r="A216" s="92"/>
      <c r="B216" s="65" t="s">
        <v>195</v>
      </c>
      <c r="C216" s="93"/>
      <c r="D216" s="93"/>
      <c r="E216" s="9">
        <f t="shared" si="13"/>
        <v>7.05</v>
      </c>
      <c r="F216" s="9">
        <v>7.05</v>
      </c>
      <c r="G216" s="9"/>
      <c r="H216" s="9"/>
    </row>
    <row r="217" spans="1:8" ht="12.75">
      <c r="A217" s="92"/>
      <c r="B217" s="65" t="s">
        <v>236</v>
      </c>
      <c r="C217" s="93"/>
      <c r="D217" s="93"/>
      <c r="E217" s="9">
        <f t="shared" si="13"/>
        <v>84.412</v>
      </c>
      <c r="F217" s="9">
        <v>84.412</v>
      </c>
      <c r="G217" s="9"/>
      <c r="H217" s="9"/>
    </row>
    <row r="218" spans="1:8" ht="25.5">
      <c r="A218" s="92"/>
      <c r="B218" s="10" t="s">
        <v>32</v>
      </c>
      <c r="C218" s="93"/>
      <c r="D218" s="93"/>
      <c r="E218" s="9">
        <f t="shared" si="13"/>
        <v>137.67595392599998</v>
      </c>
      <c r="F218" s="9">
        <v>43.974</v>
      </c>
      <c r="G218" s="9">
        <f aca="true" t="shared" si="14" ref="G218:H222">F218*1.043</f>
        <v>45.864881999999994</v>
      </c>
      <c r="H218" s="9">
        <f t="shared" si="14"/>
        <v>47.83707192599999</v>
      </c>
    </row>
    <row r="219" spans="1:8" ht="38.25">
      <c r="A219" s="92"/>
      <c r="B219" s="21" t="s">
        <v>196</v>
      </c>
      <c r="C219" s="93"/>
      <c r="D219" s="93"/>
      <c r="E219" s="22">
        <f t="shared" si="13"/>
        <v>16.111348954</v>
      </c>
      <c r="F219" s="22">
        <v>5.146</v>
      </c>
      <c r="G219" s="22">
        <f t="shared" si="14"/>
        <v>5.367278</v>
      </c>
      <c r="H219" s="22">
        <f t="shared" si="14"/>
        <v>5.598070954</v>
      </c>
    </row>
    <row r="220" spans="1:8" ht="12.75">
      <c r="A220" s="92" t="s">
        <v>90</v>
      </c>
      <c r="B220" s="8"/>
      <c r="C220" s="93" t="s">
        <v>44</v>
      </c>
      <c r="D220" s="93" t="s">
        <v>20</v>
      </c>
      <c r="E220" s="7">
        <f t="shared" si="13"/>
        <v>176.031836</v>
      </c>
      <c r="F220" s="7">
        <f>SUM(F221:F222)</f>
        <v>71.324</v>
      </c>
      <c r="G220" s="7">
        <f>SUM(G221:G222)</f>
        <v>51.252</v>
      </c>
      <c r="H220" s="7">
        <f>SUM(H221:H222)</f>
        <v>53.455836</v>
      </c>
    </row>
    <row r="221" spans="1:8" ht="25.5">
      <c r="A221" s="92"/>
      <c r="B221" s="10" t="s">
        <v>33</v>
      </c>
      <c r="C221" s="93"/>
      <c r="D221" s="93"/>
      <c r="E221" s="9">
        <f t="shared" si="13"/>
        <v>28.333877</v>
      </c>
      <c r="F221" s="9">
        <v>9.05</v>
      </c>
      <c r="G221" s="9">
        <v>9.439</v>
      </c>
      <c r="H221" s="9">
        <f t="shared" si="14"/>
        <v>9.844876999999999</v>
      </c>
    </row>
    <row r="222" spans="1:8" ht="12.75">
      <c r="A222" s="92"/>
      <c r="B222" s="10" t="s">
        <v>34</v>
      </c>
      <c r="C222" s="93"/>
      <c r="D222" s="93"/>
      <c r="E222" s="9">
        <f t="shared" si="13"/>
        <v>147.697959</v>
      </c>
      <c r="F222" s="9">
        <v>62.274</v>
      </c>
      <c r="G222" s="9">
        <v>41.813</v>
      </c>
      <c r="H222" s="9">
        <f t="shared" si="14"/>
        <v>43.610959</v>
      </c>
    </row>
    <row r="223" spans="1:8" ht="12.75">
      <c r="A223" s="96" t="s">
        <v>193</v>
      </c>
      <c r="B223" s="10"/>
      <c r="C223" s="93" t="s">
        <v>44</v>
      </c>
      <c r="D223" s="93" t="s">
        <v>20</v>
      </c>
      <c r="E223" s="7">
        <f t="shared" si="13"/>
        <v>6.3</v>
      </c>
      <c r="F223" s="7">
        <f>SUM(F224)</f>
        <v>6.3</v>
      </c>
      <c r="G223" s="7">
        <f>SUM(G224)</f>
        <v>0</v>
      </c>
      <c r="H223" s="7">
        <f>SUM(H224)</f>
        <v>0</v>
      </c>
    </row>
    <row r="224" spans="1:8" ht="25.5">
      <c r="A224" s="98"/>
      <c r="B224" s="8" t="s">
        <v>237</v>
      </c>
      <c r="C224" s="93"/>
      <c r="D224" s="93"/>
      <c r="E224" s="9">
        <f t="shared" si="13"/>
        <v>6.3</v>
      </c>
      <c r="F224" s="66">
        <v>6.3</v>
      </c>
      <c r="G224" s="9"/>
      <c r="H224" s="9"/>
    </row>
    <row r="225" spans="1:8" ht="12.75">
      <c r="A225" s="94" t="s">
        <v>131</v>
      </c>
      <c r="B225" s="10"/>
      <c r="C225" s="93" t="s">
        <v>44</v>
      </c>
      <c r="D225" s="93" t="s">
        <v>20</v>
      </c>
      <c r="E225" s="7">
        <f t="shared" si="13"/>
        <v>256.513</v>
      </c>
      <c r="F225" s="7">
        <f>SUM(F226)</f>
        <v>256.513</v>
      </c>
      <c r="G225" s="7">
        <f>SUM(G226)</f>
        <v>0</v>
      </c>
      <c r="H225" s="7">
        <f>SUM(H226)</f>
        <v>0</v>
      </c>
    </row>
    <row r="226" spans="1:8" ht="25.5">
      <c r="A226" s="95"/>
      <c r="B226" s="8" t="s">
        <v>182</v>
      </c>
      <c r="C226" s="93"/>
      <c r="D226" s="93"/>
      <c r="E226" s="9">
        <f t="shared" si="13"/>
        <v>256.513</v>
      </c>
      <c r="F226" s="3">
        <f>256.513</f>
        <v>256.513</v>
      </c>
      <c r="G226" s="9"/>
      <c r="H226" s="9"/>
    </row>
    <row r="227" spans="1:8" ht="12.75">
      <c r="A227" s="96" t="s">
        <v>71</v>
      </c>
      <c r="B227" s="10"/>
      <c r="C227" s="99" t="s">
        <v>46</v>
      </c>
      <c r="D227" s="99" t="s">
        <v>20</v>
      </c>
      <c r="E227" s="7">
        <f t="shared" si="13"/>
        <v>501.1945486679999</v>
      </c>
      <c r="F227" s="7">
        <f>SUM(F228:F229)</f>
        <v>259.275</v>
      </c>
      <c r="G227" s="7">
        <f>SUM(G228:G228)</f>
        <v>118.41387599999999</v>
      </c>
      <c r="H227" s="7">
        <f>SUM(H228:H228)</f>
        <v>123.50567266799997</v>
      </c>
    </row>
    <row r="228" spans="1:8" ht="25.5">
      <c r="A228" s="97"/>
      <c r="B228" s="10" t="s">
        <v>48</v>
      </c>
      <c r="C228" s="100"/>
      <c r="D228" s="100"/>
      <c r="E228" s="9">
        <f t="shared" si="13"/>
        <v>441.494548668</v>
      </c>
      <c r="F228" s="9">
        <v>199.575</v>
      </c>
      <c r="G228" s="9">
        <v>118.41387599999999</v>
      </c>
      <c r="H228" s="9">
        <v>123.50567266799997</v>
      </c>
    </row>
    <row r="229" spans="1:8" ht="25.5">
      <c r="A229" s="98"/>
      <c r="B229" s="10" t="s">
        <v>238</v>
      </c>
      <c r="C229" s="101"/>
      <c r="D229" s="101"/>
      <c r="E229" s="9">
        <f t="shared" si="13"/>
        <v>59.7</v>
      </c>
      <c r="F229" s="9">
        <v>59.7</v>
      </c>
      <c r="G229" s="9"/>
      <c r="H229" s="9"/>
    </row>
    <row r="230" spans="1:8" ht="12.75">
      <c r="A230" s="96" t="s">
        <v>81</v>
      </c>
      <c r="B230" s="10"/>
      <c r="C230" s="99" t="s">
        <v>46</v>
      </c>
      <c r="D230" s="99" t="s">
        <v>20</v>
      </c>
      <c r="E230" s="7">
        <f t="shared" si="13"/>
        <v>270.075821148</v>
      </c>
      <c r="F230" s="7">
        <f>SUM(F231:F235)</f>
        <v>199.647</v>
      </c>
      <c r="G230" s="7">
        <f>SUM(G231:G235)</f>
        <v>34.473236</v>
      </c>
      <c r="H230" s="7">
        <f>SUM(H231:H235)</f>
        <v>35.955585148</v>
      </c>
    </row>
    <row r="231" spans="1:8" ht="25.5">
      <c r="A231" s="97"/>
      <c r="B231" s="10" t="s">
        <v>45</v>
      </c>
      <c r="C231" s="100"/>
      <c r="D231" s="100"/>
      <c r="E231" s="9">
        <f t="shared" si="13"/>
        <v>46.336</v>
      </c>
      <c r="F231" s="9">
        <v>46.336</v>
      </c>
      <c r="G231" s="9"/>
      <c r="H231" s="9"/>
    </row>
    <row r="232" spans="1:8" ht="38.25">
      <c r="A232" s="97"/>
      <c r="B232" s="10" t="s">
        <v>47</v>
      </c>
      <c r="C232" s="100"/>
      <c r="D232" s="100"/>
      <c r="E232" s="9">
        <f t="shared" si="13"/>
        <v>55.74626253</v>
      </c>
      <c r="F232" s="9">
        <v>30.24</v>
      </c>
      <c r="G232" s="9">
        <v>12.48471</v>
      </c>
      <c r="H232" s="9">
        <v>13.02155253</v>
      </c>
    </row>
    <row r="233" spans="1:8" ht="25.5">
      <c r="A233" s="97"/>
      <c r="B233" s="10" t="s">
        <v>31</v>
      </c>
      <c r="C233" s="100"/>
      <c r="D233" s="100"/>
      <c r="E233" s="9">
        <f t="shared" si="13"/>
        <v>55.858400296</v>
      </c>
      <c r="F233" s="9">
        <v>38.59</v>
      </c>
      <c r="G233" s="9">
        <v>8.452471999999998</v>
      </c>
      <c r="H233" s="9">
        <v>8.815928295999997</v>
      </c>
    </row>
    <row r="234" spans="1:8" ht="25.5">
      <c r="A234" s="97"/>
      <c r="B234" s="10" t="s">
        <v>32</v>
      </c>
      <c r="C234" s="100"/>
      <c r="D234" s="100"/>
      <c r="E234" s="9">
        <f t="shared" si="13"/>
        <v>73.830158322</v>
      </c>
      <c r="F234" s="9">
        <v>46.176</v>
      </c>
      <c r="G234" s="9">
        <v>13.536053999999998</v>
      </c>
      <c r="H234" s="9">
        <v>14.118104321999997</v>
      </c>
    </row>
    <row r="235" spans="1:8" ht="25.5">
      <c r="A235" s="98"/>
      <c r="B235" s="10" t="s">
        <v>239</v>
      </c>
      <c r="C235" s="101"/>
      <c r="D235" s="101"/>
      <c r="E235" s="9">
        <f t="shared" si="13"/>
        <v>38.305</v>
      </c>
      <c r="F235" s="9">
        <v>38.305</v>
      </c>
      <c r="G235" s="9"/>
      <c r="H235" s="9"/>
    </row>
    <row r="236" spans="1:8" ht="12.75">
      <c r="A236" s="92" t="s">
        <v>90</v>
      </c>
      <c r="B236" s="8"/>
      <c r="C236" s="93" t="s">
        <v>46</v>
      </c>
      <c r="D236" s="93" t="s">
        <v>20</v>
      </c>
      <c r="E236" s="7">
        <f t="shared" si="13"/>
        <v>326.353438062</v>
      </c>
      <c r="F236" s="7">
        <f>SUM(F237:F239)</f>
        <v>104.238</v>
      </c>
      <c r="G236" s="7">
        <f>SUM(G237:G239)</f>
        <v>108.72023399999999</v>
      </c>
      <c r="H236" s="7">
        <f>SUM(H237:H239)</f>
        <v>113.39520406199998</v>
      </c>
    </row>
    <row r="237" spans="1:8" ht="25.5">
      <c r="A237" s="92"/>
      <c r="B237" s="10" t="s">
        <v>49</v>
      </c>
      <c r="C237" s="93"/>
      <c r="D237" s="93"/>
      <c r="E237" s="9">
        <f t="shared" si="13"/>
        <v>6.349361772</v>
      </c>
      <c r="F237" s="9">
        <v>2.028</v>
      </c>
      <c r="G237" s="9">
        <v>2.115204</v>
      </c>
      <c r="H237" s="9">
        <v>2.2061577719999996</v>
      </c>
    </row>
    <row r="238" spans="1:8" ht="25.5">
      <c r="A238" s="92"/>
      <c r="B238" s="10" t="s">
        <v>33</v>
      </c>
      <c r="C238" s="93"/>
      <c r="D238" s="93"/>
      <c r="E238" s="9">
        <f t="shared" si="13"/>
        <v>53.268264886</v>
      </c>
      <c r="F238" s="9">
        <v>17.014</v>
      </c>
      <c r="G238" s="9">
        <v>17.745601999999998</v>
      </c>
      <c r="H238" s="9">
        <v>18.508662885999996</v>
      </c>
    </row>
    <row r="239" spans="1:8" ht="12.75">
      <c r="A239" s="92"/>
      <c r="B239" s="10" t="s">
        <v>34</v>
      </c>
      <c r="C239" s="93"/>
      <c r="D239" s="93"/>
      <c r="E239" s="9">
        <f t="shared" si="13"/>
        <v>266.735811404</v>
      </c>
      <c r="F239" s="35">
        <v>85.196</v>
      </c>
      <c r="G239" s="9">
        <v>88.859428</v>
      </c>
      <c r="H239" s="9">
        <v>92.68038340399998</v>
      </c>
    </row>
    <row r="240" spans="1:8" ht="12.75">
      <c r="A240" s="92" t="s">
        <v>76</v>
      </c>
      <c r="B240" s="8"/>
      <c r="C240" s="93" t="s">
        <v>46</v>
      </c>
      <c r="D240" s="93" t="s">
        <v>20</v>
      </c>
      <c r="E240" s="7">
        <f t="shared" si="13"/>
        <v>1.567525925</v>
      </c>
      <c r="F240" s="7">
        <f>SUM(F241)</f>
        <v>0.875</v>
      </c>
      <c r="G240" s="7">
        <f>SUM(G241)</f>
        <v>0.33897499999999997</v>
      </c>
      <c r="H240" s="7">
        <f>SUM(H241)</f>
        <v>0.35355092499999996</v>
      </c>
    </row>
    <row r="241" spans="1:8" ht="38.25">
      <c r="A241" s="92"/>
      <c r="B241" s="8" t="s">
        <v>50</v>
      </c>
      <c r="C241" s="93"/>
      <c r="D241" s="93"/>
      <c r="E241" s="9">
        <f t="shared" si="13"/>
        <v>1.567525925</v>
      </c>
      <c r="F241" s="35">
        <v>0.875</v>
      </c>
      <c r="G241" s="9">
        <v>0.33897499999999997</v>
      </c>
      <c r="H241" s="9">
        <v>0.35355092499999996</v>
      </c>
    </row>
    <row r="242" spans="1:8" ht="12.75">
      <c r="A242" s="92" t="s">
        <v>89</v>
      </c>
      <c r="B242" s="8"/>
      <c r="C242" s="93" t="s">
        <v>46</v>
      </c>
      <c r="D242" s="93" t="s">
        <v>20</v>
      </c>
      <c r="E242" s="7">
        <f aca="true" t="shared" si="15" ref="E242:E247">F242+G242+H242</f>
        <v>85.964</v>
      </c>
      <c r="F242" s="7">
        <f>SUM(F243:F245)</f>
        <v>85.964</v>
      </c>
      <c r="G242" s="7">
        <f>SUM(G243:G245)</f>
        <v>0</v>
      </c>
      <c r="H242" s="7">
        <f>SUM(H243:H245)</f>
        <v>0</v>
      </c>
    </row>
    <row r="243" spans="1:8" ht="12.75">
      <c r="A243" s="92"/>
      <c r="B243" s="10" t="s">
        <v>240</v>
      </c>
      <c r="C243" s="93"/>
      <c r="D243" s="93"/>
      <c r="E243" s="9">
        <f t="shared" si="15"/>
        <v>43.489</v>
      </c>
      <c r="F243" s="9">
        <v>43.489</v>
      </c>
      <c r="G243" s="7"/>
      <c r="H243" s="7"/>
    </row>
    <row r="244" spans="1:8" ht="25.5">
      <c r="A244" s="92"/>
      <c r="B244" s="10" t="s">
        <v>241</v>
      </c>
      <c r="C244" s="93"/>
      <c r="D244" s="93"/>
      <c r="E244" s="9">
        <f t="shared" si="15"/>
        <v>28.875</v>
      </c>
      <c r="F244" s="9">
        <v>28.875</v>
      </c>
      <c r="G244" s="7"/>
      <c r="H244" s="7"/>
    </row>
    <row r="245" spans="1:8" ht="25.5">
      <c r="A245" s="92"/>
      <c r="B245" s="10" t="s">
        <v>242</v>
      </c>
      <c r="C245" s="93"/>
      <c r="D245" s="93"/>
      <c r="E245" s="9">
        <f t="shared" si="15"/>
        <v>13.6</v>
      </c>
      <c r="F245" s="9">
        <v>13.6</v>
      </c>
      <c r="G245" s="9"/>
      <c r="H245" s="9"/>
    </row>
    <row r="246" spans="1:8" ht="12.75">
      <c r="A246" s="94" t="s">
        <v>131</v>
      </c>
      <c r="B246" s="10"/>
      <c r="C246" s="93" t="s">
        <v>46</v>
      </c>
      <c r="D246" s="93" t="s">
        <v>20</v>
      </c>
      <c r="E246" s="7">
        <f t="shared" si="15"/>
        <v>431.985</v>
      </c>
      <c r="F246" s="7">
        <f>SUM(F247)</f>
        <v>431.985</v>
      </c>
      <c r="G246" s="7">
        <f>SUM(G247)</f>
        <v>0</v>
      </c>
      <c r="H246" s="7">
        <f>SUM(H247)</f>
        <v>0</v>
      </c>
    </row>
    <row r="247" spans="1:8" ht="25.5">
      <c r="A247" s="95"/>
      <c r="B247" s="8" t="s">
        <v>182</v>
      </c>
      <c r="C247" s="93"/>
      <c r="D247" s="93"/>
      <c r="E247" s="9">
        <f t="shared" si="15"/>
        <v>431.985</v>
      </c>
      <c r="F247" s="9">
        <v>431.985</v>
      </c>
      <c r="G247" s="9"/>
      <c r="H247" s="9"/>
    </row>
    <row r="248" spans="1:8" ht="12.75">
      <c r="A248" s="111" t="s">
        <v>94</v>
      </c>
      <c r="B248" s="111"/>
      <c r="C248" s="111"/>
      <c r="D248" s="111"/>
      <c r="E248" s="111"/>
      <c r="F248" s="111"/>
      <c r="G248" s="111"/>
      <c r="H248" s="111"/>
    </row>
    <row r="249" spans="1:8" ht="12.75" customHeight="1">
      <c r="A249" s="94" t="s">
        <v>95</v>
      </c>
      <c r="B249" s="5"/>
      <c r="C249" s="99" t="s">
        <v>19</v>
      </c>
      <c r="D249" s="99" t="s">
        <v>20</v>
      </c>
      <c r="E249" s="7">
        <f>F249+G249+H249</f>
        <v>816.1056249999999</v>
      </c>
      <c r="F249" s="7">
        <f>F250+F251</f>
        <v>260.66499999999996</v>
      </c>
      <c r="G249" s="7">
        <f>G250+G251</f>
        <v>271.875</v>
      </c>
      <c r="H249" s="7">
        <f>H250+H251</f>
        <v>283.56562499999995</v>
      </c>
    </row>
    <row r="250" spans="1:8" ht="67.5" customHeight="1">
      <c r="A250" s="102"/>
      <c r="B250" s="8" t="s">
        <v>96</v>
      </c>
      <c r="C250" s="100"/>
      <c r="D250" s="100"/>
      <c r="E250" s="9">
        <f>F250+G250+H250</f>
        <v>668.1646249999999</v>
      </c>
      <c r="F250" s="9">
        <f>260.666-147.941-0.001</f>
        <v>112.72399999999999</v>
      </c>
      <c r="G250" s="9">
        <v>271.875</v>
      </c>
      <c r="H250" s="9">
        <f>G250*1.043</f>
        <v>283.56562499999995</v>
      </c>
    </row>
    <row r="251" spans="1:8" ht="25.5">
      <c r="A251" s="95"/>
      <c r="B251" s="8" t="s">
        <v>182</v>
      </c>
      <c r="C251" s="101"/>
      <c r="D251" s="101"/>
      <c r="E251" s="9">
        <f>F251+G251+H251</f>
        <v>147.941</v>
      </c>
      <c r="F251" s="9">
        <v>147.941</v>
      </c>
      <c r="G251" s="9"/>
      <c r="H251" s="9"/>
    </row>
    <row r="252" spans="1:8" ht="12.75" customHeight="1">
      <c r="A252" s="106" t="s">
        <v>97</v>
      </c>
      <c r="B252" s="107"/>
      <c r="C252" s="107"/>
      <c r="D252" s="107"/>
      <c r="E252" s="107"/>
      <c r="F252" s="107"/>
      <c r="G252" s="107"/>
      <c r="H252" s="108"/>
    </row>
    <row r="253" spans="1:8" ht="12.75" customHeight="1">
      <c r="A253" s="96" t="s">
        <v>98</v>
      </c>
      <c r="B253" s="5"/>
      <c r="C253" s="99" t="s">
        <v>19</v>
      </c>
      <c r="D253" s="99" t="s">
        <v>20</v>
      </c>
      <c r="E253" s="7">
        <f>F253+G253+H253</f>
        <v>25280.655000000002</v>
      </c>
      <c r="F253" s="7">
        <f>SUM(F254:F256)</f>
        <v>25280.655000000002</v>
      </c>
      <c r="G253" s="7">
        <f>SUM(G254:G256)</f>
        <v>0</v>
      </c>
      <c r="H253" s="7">
        <f>SUM(H254:H256)</f>
        <v>0</v>
      </c>
    </row>
    <row r="254" spans="1:8" ht="51">
      <c r="A254" s="97"/>
      <c r="B254" s="8" t="s">
        <v>132</v>
      </c>
      <c r="C254" s="100"/>
      <c r="D254" s="100"/>
      <c r="E254" s="9">
        <f>F254+G254+H254</f>
        <v>20.417999999999992</v>
      </c>
      <c r="F254" s="9">
        <f>65.761-45.343</f>
        <v>20.417999999999992</v>
      </c>
      <c r="G254" s="9"/>
      <c r="H254" s="9"/>
    </row>
    <row r="255" spans="1:8" ht="51">
      <c r="A255" s="97"/>
      <c r="B255" s="8" t="s">
        <v>138</v>
      </c>
      <c r="C255" s="100"/>
      <c r="D255" s="100"/>
      <c r="E255" s="9">
        <f>F255+G255+H255</f>
        <v>25010</v>
      </c>
      <c r="F255" s="9">
        <f>5000+10000+250+2060+7700</f>
        <v>25010</v>
      </c>
      <c r="G255" s="9"/>
      <c r="H255" s="9"/>
    </row>
    <row r="256" spans="1:8" ht="25.5">
      <c r="A256" s="97"/>
      <c r="B256" s="8" t="s">
        <v>182</v>
      </c>
      <c r="C256" s="100"/>
      <c r="D256" s="100"/>
      <c r="E256" s="9">
        <f>F256+G256+H256</f>
        <v>250.237</v>
      </c>
      <c r="F256" s="9">
        <f>45.343+24.894+180</f>
        <v>250.237</v>
      </c>
      <c r="G256" s="9"/>
      <c r="H256" s="9"/>
    </row>
    <row r="257" spans="1:8" ht="12.75">
      <c r="A257" s="96" t="s">
        <v>98</v>
      </c>
      <c r="B257" s="8"/>
      <c r="C257" s="99" t="s">
        <v>204</v>
      </c>
      <c r="D257" s="99" t="s">
        <v>20</v>
      </c>
      <c r="E257" s="7">
        <f aca="true" t="shared" si="16" ref="E257:E263">F257+G257+H257</f>
        <v>498.99999999999994</v>
      </c>
      <c r="F257" s="7">
        <f>SUM(F258:F259)</f>
        <v>498.99999999999994</v>
      </c>
      <c r="G257" s="7">
        <f>SUM(G258:G259)</f>
        <v>0</v>
      </c>
      <c r="H257" s="7">
        <f>SUM(H258:H259)</f>
        <v>0</v>
      </c>
    </row>
    <row r="258" spans="1:8" ht="63.75">
      <c r="A258" s="97"/>
      <c r="B258" s="8" t="s">
        <v>205</v>
      </c>
      <c r="C258" s="100"/>
      <c r="D258" s="100"/>
      <c r="E258" s="9">
        <f t="shared" si="16"/>
        <v>73.08</v>
      </c>
      <c r="F258" s="9">
        <v>73.08</v>
      </c>
      <c r="G258" s="9"/>
      <c r="H258" s="9"/>
    </row>
    <row r="259" spans="1:8" ht="63.75">
      <c r="A259" s="98"/>
      <c r="B259" s="8" t="s">
        <v>250</v>
      </c>
      <c r="C259" s="101"/>
      <c r="D259" s="101"/>
      <c r="E259" s="9">
        <f t="shared" si="16"/>
        <v>425.91999999999996</v>
      </c>
      <c r="F259" s="9">
        <f>235.92+190</f>
        <v>425.91999999999996</v>
      </c>
      <c r="G259" s="9"/>
      <c r="H259" s="9"/>
    </row>
    <row r="260" spans="1:8" ht="12.75">
      <c r="A260" s="96" t="s">
        <v>98</v>
      </c>
      <c r="B260" s="8"/>
      <c r="C260" s="99" t="s">
        <v>206</v>
      </c>
      <c r="D260" s="99" t="s">
        <v>20</v>
      </c>
      <c r="E260" s="7">
        <f t="shared" si="16"/>
        <v>100</v>
      </c>
      <c r="F260" s="7">
        <f>SUM(F261:F261)</f>
        <v>100</v>
      </c>
      <c r="G260" s="7">
        <f>SUM(G261:G261)</f>
        <v>0</v>
      </c>
      <c r="H260" s="7">
        <f>SUM(H261:H261)</f>
        <v>0</v>
      </c>
    </row>
    <row r="261" spans="1:8" ht="51">
      <c r="A261" s="98"/>
      <c r="B261" s="8" t="s">
        <v>207</v>
      </c>
      <c r="C261" s="101"/>
      <c r="D261" s="101"/>
      <c r="E261" s="9">
        <f t="shared" si="16"/>
        <v>100</v>
      </c>
      <c r="F261" s="9">
        <v>100</v>
      </c>
      <c r="G261" s="9"/>
      <c r="H261" s="9"/>
    </row>
    <row r="262" spans="1:8" ht="12.75">
      <c r="A262" s="96" t="s">
        <v>98</v>
      </c>
      <c r="B262" s="8"/>
      <c r="C262" s="99" t="s">
        <v>208</v>
      </c>
      <c r="D262" s="99" t="s">
        <v>20</v>
      </c>
      <c r="E262" s="7">
        <f t="shared" si="16"/>
        <v>91</v>
      </c>
      <c r="F262" s="7">
        <f>SUM(F263:F263)</f>
        <v>91</v>
      </c>
      <c r="G262" s="7">
        <f>SUM(G263:G263)</f>
        <v>0</v>
      </c>
      <c r="H262" s="7">
        <f>SUM(H263:H263)</f>
        <v>0</v>
      </c>
    </row>
    <row r="263" spans="1:8" ht="76.5">
      <c r="A263" s="98"/>
      <c r="B263" s="8" t="s">
        <v>209</v>
      </c>
      <c r="C263" s="101"/>
      <c r="D263" s="101"/>
      <c r="E263" s="9">
        <f t="shared" si="16"/>
        <v>91</v>
      </c>
      <c r="F263" s="9">
        <v>91</v>
      </c>
      <c r="G263" s="9"/>
      <c r="H263" s="9"/>
    </row>
    <row r="264" spans="1:8" s="2" customFormat="1" ht="12.75">
      <c r="A264" s="111" t="s">
        <v>163</v>
      </c>
      <c r="B264" s="111"/>
      <c r="C264" s="111"/>
      <c r="D264" s="111"/>
      <c r="E264" s="111"/>
      <c r="F264" s="111"/>
      <c r="G264" s="111"/>
      <c r="H264" s="111"/>
    </row>
    <row r="265" spans="1:8" s="2" customFormat="1" ht="12.75" customHeight="1">
      <c r="A265" s="94" t="s">
        <v>93</v>
      </c>
      <c r="B265" s="5"/>
      <c r="C265" s="99" t="s">
        <v>19</v>
      </c>
      <c r="D265" s="99" t="s">
        <v>20</v>
      </c>
      <c r="E265" s="7">
        <f>F265+G265+H265</f>
        <v>446.681219</v>
      </c>
      <c r="F265" s="7">
        <f>F266+F267+F268</f>
        <v>167.54</v>
      </c>
      <c r="G265" s="7">
        <f>G266+G267+G268</f>
        <v>136.633</v>
      </c>
      <c r="H265" s="7">
        <f>H266+H267+H268</f>
        <v>142.508219</v>
      </c>
    </row>
    <row r="266" spans="1:8" s="2" customFormat="1" ht="76.5">
      <c r="A266" s="102"/>
      <c r="B266" s="8" t="s">
        <v>92</v>
      </c>
      <c r="C266" s="100"/>
      <c r="D266" s="100"/>
      <c r="E266" s="9">
        <f>F266+G266+H266</f>
        <v>388.280219</v>
      </c>
      <c r="F266" s="9">
        <f>131-21.861</f>
        <v>109.139</v>
      </c>
      <c r="G266" s="9">
        <v>136.633</v>
      </c>
      <c r="H266" s="9">
        <f>G266*1.043</f>
        <v>142.508219</v>
      </c>
    </row>
    <row r="267" spans="1:8" s="2" customFormat="1" ht="25.5">
      <c r="A267" s="102"/>
      <c r="B267" s="8" t="s">
        <v>251</v>
      </c>
      <c r="C267" s="100"/>
      <c r="D267" s="100"/>
      <c r="E267" s="9">
        <f>F267+G267+H267</f>
        <v>36.54</v>
      </c>
      <c r="F267" s="9">
        <v>36.54</v>
      </c>
      <c r="G267" s="9"/>
      <c r="H267" s="9"/>
    </row>
    <row r="268" spans="1:8" s="2" customFormat="1" ht="25.5">
      <c r="A268" s="95"/>
      <c r="B268" s="8" t="s">
        <v>182</v>
      </c>
      <c r="C268" s="101"/>
      <c r="D268" s="101"/>
      <c r="E268" s="9">
        <f>F268+G268+H268</f>
        <v>21.861</v>
      </c>
      <c r="F268" s="9">
        <v>21.861</v>
      </c>
      <c r="G268" s="9"/>
      <c r="H268" s="9"/>
    </row>
    <row r="269" spans="1:8" ht="12.75">
      <c r="A269" s="20" t="s">
        <v>115</v>
      </c>
      <c r="B269" s="20"/>
      <c r="C269" s="5"/>
      <c r="D269" s="5"/>
      <c r="E269" s="7">
        <f>F269+G269+H269</f>
        <v>739681.5300624178</v>
      </c>
      <c r="F269" s="7">
        <f>F16+F32+F43+F46+F59+F64+F79+F86+F91+F105+F119+F122+F124+F127+F130+F132+F134+F136+F139+F148+F152+F154+F160+F162+F164+F168+F171+F174+F176+F179+F183+F187+F191+F193+F195+F198+F202+F205+F207+F209+F211+F214+F220+F223+F225+F227+F230+F236+F240+F242+F246+F249+F253+F257+F260+F262+F265</f>
        <v>300443.98099999985</v>
      </c>
      <c r="G269" s="7">
        <f>G16+G32+G43+G46+G59+G64+G79+G86+G91+G105+G119+G122+G124+G127+G130+G132+G134+G136+G139+G148+G152+G154+G160+G162+G164+G168+G171+G174+G176+G179+G183+G187+G191+G193+G195+G198+G202+G205+G207+G209+G211+G214+G220+G223+G225+G227+G230+G236+G240+G242+G246+G249+G253+G257+G260+G262+G265</f>
        <v>212464.25412600007</v>
      </c>
      <c r="H269" s="7">
        <f>H16+H32+H43+H46+H59+H64+H79+H86+H91+H105+H119+H122+H124+H127+H130+H132+H134+H136+H139+H148+H152+H154+H160+H162+H164+H168+H171+H174+H176+H179+H183+H187+H191+H193+H195+H198+H202+H205+H207+H209+H211+H214+H220+H223+H225+H227+H230+H236+H240+H242+H246+H249+H253+H257+H260+H262+H265</f>
        <v>226773.29493641795</v>
      </c>
    </row>
    <row r="271" ht="12.75">
      <c r="F271" s="24"/>
    </row>
    <row r="272" spans="1:8" s="26" customFormat="1" ht="18.75">
      <c r="A272" s="86" t="s">
        <v>116</v>
      </c>
      <c r="B272" s="86"/>
      <c r="C272" s="27"/>
      <c r="D272" s="27"/>
      <c r="E272" s="27"/>
      <c r="F272" s="27"/>
      <c r="G272" s="86" t="s">
        <v>117</v>
      </c>
      <c r="H272" s="86"/>
    </row>
  </sheetData>
  <sheetProtection/>
  <mergeCells count="200">
    <mergeCell ref="A262:A263"/>
    <mergeCell ref="C262:C263"/>
    <mergeCell ref="A174:A175"/>
    <mergeCell ref="C174:C175"/>
    <mergeCell ref="A253:A256"/>
    <mergeCell ref="C253:C256"/>
    <mergeCell ref="A252:H252"/>
    <mergeCell ref="D207:D208"/>
    <mergeCell ref="A193:A194"/>
    <mergeCell ref="C193:C194"/>
    <mergeCell ref="D257:D259"/>
    <mergeCell ref="A260:A261"/>
    <mergeCell ref="C260:C261"/>
    <mergeCell ref="D260:D261"/>
    <mergeCell ref="C91:C104"/>
    <mergeCell ref="D91:D104"/>
    <mergeCell ref="G272:H272"/>
    <mergeCell ref="D253:D256"/>
    <mergeCell ref="A264:H264"/>
    <mergeCell ref="A265:A268"/>
    <mergeCell ref="A187:A190"/>
    <mergeCell ref="D262:D263"/>
    <mergeCell ref="A257:A259"/>
    <mergeCell ref="C257:C259"/>
    <mergeCell ref="C79:C85"/>
    <mergeCell ref="C86:C90"/>
    <mergeCell ref="D79:D85"/>
    <mergeCell ref="A79:A85"/>
    <mergeCell ref="A272:B272"/>
    <mergeCell ref="C249:C251"/>
    <mergeCell ref="D249:D251"/>
    <mergeCell ref="E11:H11"/>
    <mergeCell ref="A63:H63"/>
    <mergeCell ref="C46:C51"/>
    <mergeCell ref="A46:A57"/>
    <mergeCell ref="D54:D55"/>
    <mergeCell ref="A42:H42"/>
    <mergeCell ref="D64:D78"/>
    <mergeCell ref="D265:D268"/>
    <mergeCell ref="C265:C268"/>
    <mergeCell ref="A8:H8"/>
    <mergeCell ref="A9:H9"/>
    <mergeCell ref="D11:D13"/>
    <mergeCell ref="D32:D41"/>
    <mergeCell ref="D52:D53"/>
    <mergeCell ref="E12:E13"/>
    <mergeCell ref="F12:H12"/>
    <mergeCell ref="C64:C78"/>
    <mergeCell ref="A134:A135"/>
    <mergeCell ref="A127:A129"/>
    <mergeCell ref="C132:C133"/>
    <mergeCell ref="D119:D121"/>
    <mergeCell ref="C119:C121"/>
    <mergeCell ref="C127:C129"/>
    <mergeCell ref="D122:D123"/>
    <mergeCell ref="C134:C135"/>
    <mergeCell ref="D124:D126"/>
    <mergeCell ref="D127:D129"/>
    <mergeCell ref="C11:C13"/>
    <mergeCell ref="C122:C123"/>
    <mergeCell ref="A31:H31"/>
    <mergeCell ref="A32:A41"/>
    <mergeCell ref="C52:C53"/>
    <mergeCell ref="B11:B13"/>
    <mergeCell ref="A11:A13"/>
    <mergeCell ref="A86:A90"/>
    <mergeCell ref="A43:A44"/>
    <mergeCell ref="C43:C44"/>
    <mergeCell ref="C16:C30"/>
    <mergeCell ref="D16:D30"/>
    <mergeCell ref="C130:C131"/>
    <mergeCell ref="D130:D131"/>
    <mergeCell ref="C54:C55"/>
    <mergeCell ref="C105:C118"/>
    <mergeCell ref="C124:C126"/>
    <mergeCell ref="D105:D118"/>
    <mergeCell ref="D43:D44"/>
    <mergeCell ref="D86:D90"/>
    <mergeCell ref="A64:A78"/>
    <mergeCell ref="C32:C41"/>
    <mergeCell ref="A45:H45"/>
    <mergeCell ref="A119:A121"/>
    <mergeCell ref="A105:A118"/>
    <mergeCell ref="A58:H58"/>
    <mergeCell ref="A59:A62"/>
    <mergeCell ref="C59:C62"/>
    <mergeCell ref="D59:D62"/>
    <mergeCell ref="A91:A104"/>
    <mergeCell ref="A130:A131"/>
    <mergeCell ref="A132:A133"/>
    <mergeCell ref="A124:A126"/>
    <mergeCell ref="A122:A123"/>
    <mergeCell ref="A136:A138"/>
    <mergeCell ref="D136:D138"/>
    <mergeCell ref="C136:C138"/>
    <mergeCell ref="A249:A251"/>
    <mergeCell ref="A248:H248"/>
    <mergeCell ref="A205:A206"/>
    <mergeCell ref="C205:C206"/>
    <mergeCell ref="D205:D206"/>
    <mergeCell ref="A207:A208"/>
    <mergeCell ref="C207:C208"/>
    <mergeCell ref="F1:H1"/>
    <mergeCell ref="F2:H2"/>
    <mergeCell ref="F3:H3"/>
    <mergeCell ref="C56:C57"/>
    <mergeCell ref="D56:D57"/>
    <mergeCell ref="F5:H5"/>
    <mergeCell ref="F6:H6"/>
    <mergeCell ref="D46:D51"/>
    <mergeCell ref="A15:H15"/>
    <mergeCell ref="A16:A30"/>
    <mergeCell ref="D193:D194"/>
    <mergeCell ref="A195:A197"/>
    <mergeCell ref="C195:C197"/>
    <mergeCell ref="D195:D197"/>
    <mergeCell ref="A160:A161"/>
    <mergeCell ref="C160:C161"/>
    <mergeCell ref="D160:D161"/>
    <mergeCell ref="A162:A163"/>
    <mergeCell ref="C162:C163"/>
    <mergeCell ref="D162:D163"/>
    <mergeCell ref="A139:A147"/>
    <mergeCell ref="C139:C147"/>
    <mergeCell ref="D139:D147"/>
    <mergeCell ref="A148:A151"/>
    <mergeCell ref="C148:C151"/>
    <mergeCell ref="D148:D151"/>
    <mergeCell ref="A152:A153"/>
    <mergeCell ref="A154:A159"/>
    <mergeCell ref="C154:C159"/>
    <mergeCell ref="D154:D159"/>
    <mergeCell ref="C152:C153"/>
    <mergeCell ref="D152:D153"/>
    <mergeCell ref="A164:A167"/>
    <mergeCell ref="C164:C167"/>
    <mergeCell ref="D164:D167"/>
    <mergeCell ref="A168:A170"/>
    <mergeCell ref="C168:C170"/>
    <mergeCell ref="D168:D170"/>
    <mergeCell ref="A171:A173"/>
    <mergeCell ref="C171:C173"/>
    <mergeCell ref="D171:D173"/>
    <mergeCell ref="A176:A178"/>
    <mergeCell ref="C176:C178"/>
    <mergeCell ref="D176:D178"/>
    <mergeCell ref="D174:D175"/>
    <mergeCell ref="A179:A182"/>
    <mergeCell ref="C179:C182"/>
    <mergeCell ref="D179:D182"/>
    <mergeCell ref="A183:A186"/>
    <mergeCell ref="C183:C186"/>
    <mergeCell ref="D183:D186"/>
    <mergeCell ref="C187:C190"/>
    <mergeCell ref="D187:D190"/>
    <mergeCell ref="A191:A192"/>
    <mergeCell ref="C191:C192"/>
    <mergeCell ref="D191:D192"/>
    <mergeCell ref="A198:A201"/>
    <mergeCell ref="C198:C201"/>
    <mergeCell ref="D198:D201"/>
    <mergeCell ref="A202:A204"/>
    <mergeCell ref="C202:C204"/>
    <mergeCell ref="D202:D204"/>
    <mergeCell ref="A209:A210"/>
    <mergeCell ref="C209:C210"/>
    <mergeCell ref="D209:D210"/>
    <mergeCell ref="A211:A213"/>
    <mergeCell ref="C211:C213"/>
    <mergeCell ref="D211:D213"/>
    <mergeCell ref="A214:A219"/>
    <mergeCell ref="C214:C219"/>
    <mergeCell ref="D214:D219"/>
    <mergeCell ref="A220:A222"/>
    <mergeCell ref="C220:C222"/>
    <mergeCell ref="D220:D222"/>
    <mergeCell ref="A223:A224"/>
    <mergeCell ref="C223:C224"/>
    <mergeCell ref="D223:D224"/>
    <mergeCell ref="A225:A226"/>
    <mergeCell ref="C225:C226"/>
    <mergeCell ref="D225:D226"/>
    <mergeCell ref="A227:A229"/>
    <mergeCell ref="C227:C229"/>
    <mergeCell ref="D227:D229"/>
    <mergeCell ref="A230:A235"/>
    <mergeCell ref="C230:C235"/>
    <mergeCell ref="D230:D235"/>
    <mergeCell ref="A236:A239"/>
    <mergeCell ref="C236:C239"/>
    <mergeCell ref="D236:D239"/>
    <mergeCell ref="A240:A241"/>
    <mergeCell ref="C240:C241"/>
    <mergeCell ref="D240:D241"/>
    <mergeCell ref="A242:A245"/>
    <mergeCell ref="C242:C245"/>
    <mergeCell ref="D242:D245"/>
    <mergeCell ref="A246:A247"/>
    <mergeCell ref="C246:C247"/>
    <mergeCell ref="D246:D247"/>
  </mergeCells>
  <printOptions/>
  <pageMargins left="0.7874015748031497" right="0.3937007874015748" top="0.7874015748031497" bottom="0.3937007874015748" header="0.3937007874015748" footer="0"/>
  <pageSetup fitToHeight="25" horizontalDpi="600" verticalDpi="600" orientation="landscape" paperSize="9" scale="91" r:id="rId1"/>
  <headerFooter alignWithMargins="0">
    <oddHeader>&amp;C&amp;P</oddHeader>
  </headerFooter>
  <rowBreaks count="6" manualBreakCount="6">
    <brk id="51" max="7" man="1"/>
    <brk id="104" max="7" man="1"/>
    <brk id="138" max="7" man="1"/>
    <brk id="159" max="7" man="1"/>
    <brk id="182" max="7" man="1"/>
    <brk id="20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4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6.00390625" style="11" customWidth="1"/>
    <col min="2" max="2" width="27.28125" style="11" customWidth="1"/>
    <col min="3" max="3" width="17.28125" style="11" customWidth="1"/>
    <col min="4" max="4" width="17.8515625" style="11" customWidth="1"/>
    <col min="5" max="5" width="16.7109375" style="11" customWidth="1"/>
    <col min="6" max="6" width="10.00390625" style="11" bestFit="1" customWidth="1"/>
    <col min="7" max="16384" width="9.140625" style="11" customWidth="1"/>
  </cols>
  <sheetData>
    <row r="1" spans="4:5" s="68" customFormat="1" ht="20.25">
      <c r="D1" s="86" t="s">
        <v>243</v>
      </c>
      <c r="E1" s="86"/>
    </row>
    <row r="2" spans="4:5" s="68" customFormat="1" ht="20.25">
      <c r="D2" s="86" t="s">
        <v>244</v>
      </c>
      <c r="E2" s="86"/>
    </row>
    <row r="3" spans="4:5" s="68" customFormat="1" ht="20.25">
      <c r="D3" s="86" t="s">
        <v>257</v>
      </c>
      <c r="E3" s="86"/>
    </row>
    <row r="5" spans="4:6" ht="18.75" customHeight="1">
      <c r="D5" s="28" t="s">
        <v>18</v>
      </c>
      <c r="E5" s="28"/>
      <c r="F5" s="26"/>
    </row>
    <row r="6" spans="4:6" ht="94.5" customHeight="1">
      <c r="D6" s="89" t="s">
        <v>170</v>
      </c>
      <c r="E6" s="89"/>
      <c r="F6" s="26"/>
    </row>
    <row r="8" spans="1:5" s="28" customFormat="1" ht="18.75">
      <c r="A8" s="83" t="s">
        <v>22</v>
      </c>
      <c r="B8" s="83"/>
      <c r="C8" s="83"/>
      <c r="D8" s="83"/>
      <c r="E8" s="83"/>
    </row>
    <row r="9" spans="1:5" s="28" customFormat="1" ht="18.75">
      <c r="A9" s="118" t="s">
        <v>171</v>
      </c>
      <c r="B9" s="118"/>
      <c r="C9" s="118"/>
      <c r="D9" s="118"/>
      <c r="E9" s="118"/>
    </row>
    <row r="10" spans="1:5" ht="12.75">
      <c r="A10" s="12"/>
      <c r="B10" s="12"/>
      <c r="C10" s="12"/>
      <c r="D10" s="12"/>
      <c r="E10" s="12"/>
    </row>
    <row r="11" spans="1:5" ht="12.75">
      <c r="A11" s="82"/>
      <c r="B11" s="82" t="s">
        <v>8</v>
      </c>
      <c r="C11" s="82" t="s">
        <v>9</v>
      </c>
      <c r="D11" s="82"/>
      <c r="E11" s="82"/>
    </row>
    <row r="12" spans="1:5" ht="12.75">
      <c r="A12" s="82"/>
      <c r="B12" s="82"/>
      <c r="C12" s="13">
        <v>2014</v>
      </c>
      <c r="D12" s="13">
        <v>2015</v>
      </c>
      <c r="E12" s="13">
        <v>2016</v>
      </c>
    </row>
    <row r="13" spans="1:5" s="12" customFormat="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</row>
    <row r="14" spans="1:6" ht="12.75">
      <c r="A14" s="14" t="s">
        <v>133</v>
      </c>
      <c r="B14" s="15">
        <f>C14+D14+E14</f>
        <v>739681.5300624178</v>
      </c>
      <c r="C14" s="15">
        <f>'додаток 1'!F269</f>
        <v>300443.98099999985</v>
      </c>
      <c r="D14" s="15">
        <f>'додаток 1'!G269</f>
        <v>212464.25412600007</v>
      </c>
      <c r="E14" s="15">
        <f>'додаток 1'!H269</f>
        <v>226773.29493641795</v>
      </c>
      <c r="F14" s="16"/>
    </row>
    <row r="15" spans="1:6" ht="12.75">
      <c r="A15" s="14" t="s">
        <v>134</v>
      </c>
      <c r="B15" s="15"/>
      <c r="C15" s="15"/>
      <c r="D15" s="15"/>
      <c r="E15" s="15"/>
      <c r="F15" s="16"/>
    </row>
    <row r="16" spans="1:6" s="31" customFormat="1" ht="51">
      <c r="A16" s="21" t="s">
        <v>135</v>
      </c>
      <c r="B16" s="29">
        <f>C16+D16+E16</f>
        <v>97292.736</v>
      </c>
      <c r="C16" s="29">
        <f>28940.5+6324.4</f>
        <v>35264.9</v>
      </c>
      <c r="D16" s="29">
        <v>30184.942</v>
      </c>
      <c r="E16" s="29">
        <v>31842.894</v>
      </c>
      <c r="F16" s="80"/>
    </row>
    <row r="17" spans="1:6" s="31" customFormat="1" ht="12.75">
      <c r="A17" s="32" t="s">
        <v>136</v>
      </c>
      <c r="B17" s="29">
        <f>C17+D17+E17</f>
        <v>461.233543831</v>
      </c>
      <c r="C17" s="29">
        <f>10+5.146+132.173</f>
        <v>147.31900000000002</v>
      </c>
      <c r="D17" s="29">
        <f>C17*1.043</f>
        <v>153.653717</v>
      </c>
      <c r="E17" s="29">
        <f>D17*1.043</f>
        <v>160.260826831</v>
      </c>
      <c r="F17" s="30"/>
    </row>
    <row r="18" spans="1:5" ht="12.75">
      <c r="A18" s="14" t="s">
        <v>10</v>
      </c>
      <c r="B18" s="15">
        <f>C18+D18+E18</f>
        <v>0</v>
      </c>
      <c r="C18" s="15"/>
      <c r="D18" s="15"/>
      <c r="E18" s="15"/>
    </row>
    <row r="19" spans="1:5" ht="12.75">
      <c r="A19" s="14" t="s">
        <v>11</v>
      </c>
      <c r="B19" s="15">
        <f>C19+D19+E19</f>
        <v>0</v>
      </c>
      <c r="C19" s="13"/>
      <c r="D19" s="15"/>
      <c r="E19" s="15"/>
    </row>
    <row r="20" spans="1:5" ht="12.75" customHeight="1">
      <c r="A20" s="14" t="s">
        <v>65</v>
      </c>
      <c r="B20" s="15">
        <f>C20+D20+E20</f>
        <v>0</v>
      </c>
      <c r="C20" s="13"/>
      <c r="D20" s="17"/>
      <c r="E20" s="17"/>
    </row>
    <row r="21" spans="1:5" ht="19.5" customHeight="1">
      <c r="A21" s="14" t="s">
        <v>12</v>
      </c>
      <c r="B21" s="15">
        <f>B14+B18+B19+B20</f>
        <v>739681.5300624178</v>
      </c>
      <c r="C21" s="15">
        <f>C14+C18+C19+C20</f>
        <v>300443.98099999985</v>
      </c>
      <c r="D21" s="15">
        <f>D14+D18+D19+D20</f>
        <v>212464.25412600007</v>
      </c>
      <c r="E21" s="15">
        <f>E14+E18+E19+E20</f>
        <v>226773.29493641795</v>
      </c>
    </row>
    <row r="24" spans="1:5" s="28" customFormat="1" ht="18.75">
      <c r="A24" s="28" t="s">
        <v>116</v>
      </c>
      <c r="D24" s="81" t="s">
        <v>117</v>
      </c>
      <c r="E24" s="81"/>
    </row>
  </sheetData>
  <sheetProtection/>
  <mergeCells count="10">
    <mergeCell ref="D24:E24"/>
    <mergeCell ref="A11:A12"/>
    <mergeCell ref="C11:E11"/>
    <mergeCell ref="A8:E8"/>
    <mergeCell ref="A9:E9"/>
    <mergeCell ref="B11:B12"/>
    <mergeCell ref="D1:E1"/>
    <mergeCell ref="D2:E2"/>
    <mergeCell ref="D3:E3"/>
    <mergeCell ref="D6:E6"/>
  </mergeCells>
  <printOptions/>
  <pageMargins left="1.1811023622047245" right="0.3937007874015748" top="0.7874015748031497" bottom="0.7874015748031497" header="0" footer="0"/>
  <pageSetup horizontalDpi="600" verticalDpi="600" orientation="landscape" paperSize="9" scale="10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294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36.7109375" style="39" customWidth="1"/>
    <col min="2" max="2" width="28.00390625" style="38" customWidth="1"/>
    <col min="3" max="3" width="9.140625" style="4" customWidth="1"/>
    <col min="4" max="4" width="16.421875" style="38" customWidth="1"/>
    <col min="5" max="5" width="16.7109375" style="38" customWidth="1"/>
    <col min="6" max="6" width="15.140625" style="38" customWidth="1"/>
    <col min="7" max="7" width="16.140625" style="38" customWidth="1"/>
    <col min="8" max="8" width="0.13671875" style="38" customWidth="1"/>
    <col min="9" max="16384" width="9.140625" style="38" customWidth="1"/>
  </cols>
  <sheetData>
    <row r="1" spans="1:7" s="78" customFormat="1" ht="20.25">
      <c r="A1" s="77"/>
      <c r="C1" s="79"/>
      <c r="E1" s="86" t="s">
        <v>243</v>
      </c>
      <c r="F1" s="86"/>
      <c r="G1" s="86"/>
    </row>
    <row r="2" spans="1:7" s="78" customFormat="1" ht="20.25">
      <c r="A2" s="77"/>
      <c r="C2" s="79"/>
      <c r="E2" s="86" t="s">
        <v>244</v>
      </c>
      <c r="F2" s="86"/>
      <c r="G2" s="86"/>
    </row>
    <row r="3" spans="1:7" s="78" customFormat="1" ht="20.25">
      <c r="A3" s="77"/>
      <c r="C3" s="79"/>
      <c r="E3" s="86" t="s">
        <v>257</v>
      </c>
      <c r="F3" s="86"/>
      <c r="G3" s="86"/>
    </row>
    <row r="5" spans="1:7" ht="18.75">
      <c r="A5" s="38"/>
      <c r="E5" s="127" t="s">
        <v>62</v>
      </c>
      <c r="F5" s="127"/>
      <c r="G5" s="127"/>
    </row>
    <row r="6" spans="1:7" ht="54" customHeight="1">
      <c r="A6" s="38"/>
      <c r="E6" s="127" t="s">
        <v>172</v>
      </c>
      <c r="F6" s="127"/>
      <c r="G6" s="127"/>
    </row>
    <row r="7" ht="12.75">
      <c r="A7" s="38"/>
    </row>
    <row r="8" spans="1:7" s="36" customFormat="1" ht="18.75">
      <c r="A8" s="129" t="s">
        <v>21</v>
      </c>
      <c r="B8" s="129"/>
      <c r="C8" s="129"/>
      <c r="D8" s="129"/>
      <c r="E8" s="129"/>
      <c r="F8" s="129"/>
      <c r="G8" s="129"/>
    </row>
    <row r="9" spans="1:7" s="36" customFormat="1" ht="18.75">
      <c r="A9" s="128" t="s">
        <v>173</v>
      </c>
      <c r="B9" s="128"/>
      <c r="C9" s="128"/>
      <c r="D9" s="128"/>
      <c r="E9" s="128"/>
      <c r="F9" s="128"/>
      <c r="G9" s="128"/>
    </row>
    <row r="11" spans="1:8" ht="12.75">
      <c r="A11" s="116" t="s">
        <v>0</v>
      </c>
      <c r="B11" s="116" t="s">
        <v>13</v>
      </c>
      <c r="C11" s="116" t="s">
        <v>14</v>
      </c>
      <c r="D11" s="116" t="s">
        <v>17</v>
      </c>
      <c r="E11" s="116"/>
      <c r="F11" s="116"/>
      <c r="G11" s="116"/>
      <c r="H11" s="40"/>
    </row>
    <row r="12" spans="1:8" ht="12.75">
      <c r="A12" s="116"/>
      <c r="B12" s="116"/>
      <c r="C12" s="116"/>
      <c r="D12" s="116" t="s">
        <v>15</v>
      </c>
      <c r="E12" s="116" t="s">
        <v>16</v>
      </c>
      <c r="F12" s="116"/>
      <c r="G12" s="116"/>
      <c r="H12" s="40"/>
    </row>
    <row r="13" spans="1:8" ht="24" customHeight="1">
      <c r="A13" s="116"/>
      <c r="B13" s="116"/>
      <c r="C13" s="116"/>
      <c r="D13" s="116"/>
      <c r="E13" s="3">
        <v>2014</v>
      </c>
      <c r="F13" s="3">
        <v>2015</v>
      </c>
      <c r="G13" s="3">
        <v>2016</v>
      </c>
      <c r="H13" s="40"/>
    </row>
    <row r="14" spans="1:8" s="4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/>
    </row>
    <row r="15" spans="1:8" s="4" customFormat="1" ht="12.75">
      <c r="A15" s="111" t="s">
        <v>106</v>
      </c>
      <c r="B15" s="130"/>
      <c r="C15" s="130"/>
      <c r="D15" s="130"/>
      <c r="E15" s="130"/>
      <c r="F15" s="130"/>
      <c r="G15" s="130"/>
      <c r="H15" s="130"/>
    </row>
    <row r="16" spans="1:8" s="4" customFormat="1" ht="12.75">
      <c r="A16" s="93" t="s">
        <v>51</v>
      </c>
      <c r="B16" s="93"/>
      <c r="C16" s="93"/>
      <c r="D16" s="93"/>
      <c r="E16" s="93"/>
      <c r="F16" s="93"/>
      <c r="G16" s="93"/>
      <c r="H16" s="3"/>
    </row>
    <row r="17" spans="1:8" s="4" customFormat="1" ht="25.5" customHeight="1">
      <c r="A17" s="119" t="s">
        <v>112</v>
      </c>
      <c r="B17" s="132" t="s">
        <v>144</v>
      </c>
      <c r="C17" s="6" t="s">
        <v>118</v>
      </c>
      <c r="D17" s="18">
        <f>E17+F17+G17</f>
        <v>124</v>
      </c>
      <c r="E17" s="6">
        <f>25+14</f>
        <v>39</v>
      </c>
      <c r="F17" s="6">
        <v>40</v>
      </c>
      <c r="G17" s="6">
        <v>45</v>
      </c>
      <c r="H17" s="3"/>
    </row>
    <row r="18" spans="1:8" s="4" customFormat="1" ht="12.75">
      <c r="A18" s="119"/>
      <c r="B18" s="133"/>
      <c r="C18" s="6" t="s">
        <v>119</v>
      </c>
      <c r="D18" s="9">
        <f aca="true" t="shared" si="0" ref="D18:D30">E18+F18+G18</f>
        <v>549.427</v>
      </c>
      <c r="E18" s="41">
        <f>104.91+87.817</f>
        <v>192.72699999999998</v>
      </c>
      <c r="F18" s="6">
        <v>167.86</v>
      </c>
      <c r="G18" s="6">
        <v>188.84</v>
      </c>
      <c r="H18" s="3"/>
    </row>
    <row r="19" spans="1:8" s="4" customFormat="1" ht="25.5">
      <c r="A19" s="131"/>
      <c r="B19" s="34" t="s">
        <v>143</v>
      </c>
      <c r="C19" s="6" t="s">
        <v>119</v>
      </c>
      <c r="D19" s="9">
        <f t="shared" si="0"/>
        <v>150.97199999999998</v>
      </c>
      <c r="E19" s="41">
        <f>12.065+7.656+26.366</f>
        <v>46.087</v>
      </c>
      <c r="F19" s="6">
        <v>48.995</v>
      </c>
      <c r="G19" s="6">
        <v>55.89</v>
      </c>
      <c r="H19" s="3"/>
    </row>
    <row r="20" spans="1:8" s="4" customFormat="1" ht="25.5">
      <c r="A20" s="131"/>
      <c r="B20" s="34" t="s">
        <v>145</v>
      </c>
      <c r="C20" s="6" t="s">
        <v>158</v>
      </c>
      <c r="D20" s="9">
        <f t="shared" si="0"/>
        <v>45.192</v>
      </c>
      <c r="E20" s="41">
        <f>6.583-0.317</f>
        <v>6.266</v>
      </c>
      <c r="F20" s="6">
        <v>18.026</v>
      </c>
      <c r="G20" s="6">
        <v>20.9</v>
      </c>
      <c r="H20" s="3"/>
    </row>
    <row r="21" spans="1:8" s="4" customFormat="1" ht="12.75">
      <c r="A21" s="131"/>
      <c r="B21" s="34" t="s">
        <v>146</v>
      </c>
      <c r="C21" s="6" t="s">
        <v>158</v>
      </c>
      <c r="D21" s="9">
        <f t="shared" si="0"/>
        <v>39.241</v>
      </c>
      <c r="E21" s="6">
        <v>39.241</v>
      </c>
      <c r="F21" s="6"/>
      <c r="G21" s="6"/>
      <c r="H21" s="3"/>
    </row>
    <row r="22" spans="1:8" s="4" customFormat="1" ht="12.75">
      <c r="A22" s="131"/>
      <c r="B22" s="34" t="s">
        <v>147</v>
      </c>
      <c r="C22" s="6" t="s">
        <v>52</v>
      </c>
      <c r="D22" s="18">
        <f t="shared" si="0"/>
        <v>394</v>
      </c>
      <c r="E22" s="55">
        <v>166</v>
      </c>
      <c r="F22" s="6">
        <v>162</v>
      </c>
      <c r="G22" s="6">
        <v>66</v>
      </c>
      <c r="H22" s="3"/>
    </row>
    <row r="23" spans="1:8" s="4" customFormat="1" ht="51">
      <c r="A23" s="131"/>
      <c r="B23" s="34" t="s">
        <v>148</v>
      </c>
      <c r="C23" s="6" t="s">
        <v>52</v>
      </c>
      <c r="D23" s="18">
        <f t="shared" si="0"/>
        <v>714</v>
      </c>
      <c r="E23" s="6">
        <f>70+34+7</f>
        <v>111</v>
      </c>
      <c r="F23" s="6">
        <v>375</v>
      </c>
      <c r="G23" s="6">
        <v>228</v>
      </c>
      <c r="H23" s="3"/>
    </row>
    <row r="24" spans="1:8" s="4" customFormat="1" ht="12.75">
      <c r="A24" s="131"/>
      <c r="B24" s="34" t="s">
        <v>149</v>
      </c>
      <c r="C24" s="6" t="s">
        <v>52</v>
      </c>
      <c r="D24" s="18">
        <f t="shared" si="0"/>
        <v>51</v>
      </c>
      <c r="E24" s="6">
        <f>3+2</f>
        <v>5</v>
      </c>
      <c r="F24" s="6">
        <v>23</v>
      </c>
      <c r="G24" s="6">
        <v>23</v>
      </c>
      <c r="H24" s="3"/>
    </row>
    <row r="25" spans="1:8" s="4" customFormat="1" ht="12.75">
      <c r="A25" s="131"/>
      <c r="B25" s="34" t="s">
        <v>150</v>
      </c>
      <c r="C25" s="6" t="s">
        <v>52</v>
      </c>
      <c r="D25" s="18">
        <f t="shared" si="0"/>
        <v>268</v>
      </c>
      <c r="E25" s="6">
        <f>20+6+10</f>
        <v>36</v>
      </c>
      <c r="F25" s="6">
        <v>116</v>
      </c>
      <c r="G25" s="6">
        <v>116</v>
      </c>
      <c r="H25" s="3"/>
    </row>
    <row r="26" spans="1:8" s="4" customFormat="1" ht="38.25">
      <c r="A26" s="131"/>
      <c r="B26" s="34" t="s">
        <v>151</v>
      </c>
      <c r="C26" s="6" t="s">
        <v>118</v>
      </c>
      <c r="D26" s="18">
        <f t="shared" si="0"/>
        <v>50</v>
      </c>
      <c r="E26" s="6">
        <v>5</v>
      </c>
      <c r="F26" s="6">
        <v>20</v>
      </c>
      <c r="G26" s="6">
        <v>25</v>
      </c>
      <c r="H26" s="3"/>
    </row>
    <row r="27" spans="1:8" s="4" customFormat="1" ht="25.5">
      <c r="A27" s="131"/>
      <c r="B27" s="34" t="s">
        <v>160</v>
      </c>
      <c r="C27" s="6" t="s">
        <v>118</v>
      </c>
      <c r="D27" s="18">
        <f t="shared" si="0"/>
        <v>12</v>
      </c>
      <c r="E27" s="6">
        <v>2</v>
      </c>
      <c r="F27" s="6">
        <v>4</v>
      </c>
      <c r="G27" s="6">
        <v>6</v>
      </c>
      <c r="H27" s="3"/>
    </row>
    <row r="28" spans="1:8" s="4" customFormat="1" ht="12.75">
      <c r="A28" s="131"/>
      <c r="B28" s="34" t="s">
        <v>161</v>
      </c>
      <c r="C28" s="6" t="s">
        <v>52</v>
      </c>
      <c r="D28" s="18">
        <f t="shared" si="0"/>
        <v>4</v>
      </c>
      <c r="E28" s="6">
        <v>2</v>
      </c>
      <c r="F28" s="6">
        <v>2</v>
      </c>
      <c r="G28" s="6"/>
      <c r="H28" s="3"/>
    </row>
    <row r="29" spans="1:8" s="4" customFormat="1" ht="38.25">
      <c r="A29" s="131"/>
      <c r="B29" s="34" t="s">
        <v>152</v>
      </c>
      <c r="C29" s="6" t="s">
        <v>118</v>
      </c>
      <c r="D29" s="18">
        <f t="shared" si="0"/>
        <v>19</v>
      </c>
      <c r="E29" s="6">
        <v>5</v>
      </c>
      <c r="F29" s="6">
        <v>7</v>
      </c>
      <c r="G29" s="6">
        <v>7</v>
      </c>
      <c r="H29" s="3"/>
    </row>
    <row r="30" spans="1:8" s="4" customFormat="1" ht="25.5">
      <c r="A30" s="131"/>
      <c r="B30" s="34" t="s">
        <v>153</v>
      </c>
      <c r="C30" s="6" t="s">
        <v>118</v>
      </c>
      <c r="D30" s="18">
        <f t="shared" si="0"/>
        <v>211</v>
      </c>
      <c r="E30" s="6">
        <f>50+1</f>
        <v>51</v>
      </c>
      <c r="F30" s="6">
        <v>80</v>
      </c>
      <c r="G30" s="6">
        <v>80</v>
      </c>
      <c r="H30" s="3"/>
    </row>
    <row r="31" spans="1:8" s="4" customFormat="1" ht="38.25">
      <c r="A31" s="131"/>
      <c r="B31" s="34" t="s">
        <v>174</v>
      </c>
      <c r="C31" s="6" t="s">
        <v>122</v>
      </c>
      <c r="D31" s="9">
        <f>E31+F31+G31</f>
        <v>11989.095</v>
      </c>
      <c r="E31" s="35">
        <f>7953.187+3739.505+205+91.403</f>
        <v>11989.095</v>
      </c>
      <c r="F31" s="6"/>
      <c r="G31" s="6"/>
      <c r="H31" s="3"/>
    </row>
    <row r="32" spans="1:8" s="4" customFormat="1" ht="12.75">
      <c r="A32" s="111" t="s">
        <v>108</v>
      </c>
      <c r="B32" s="130"/>
      <c r="C32" s="130"/>
      <c r="D32" s="130"/>
      <c r="E32" s="130"/>
      <c r="F32" s="130"/>
      <c r="G32" s="130"/>
      <c r="H32" s="130"/>
    </row>
    <row r="33" spans="1:8" s="4" customFormat="1" ht="12.75">
      <c r="A33" s="93" t="s">
        <v>51</v>
      </c>
      <c r="B33" s="93"/>
      <c r="C33" s="93"/>
      <c r="D33" s="93"/>
      <c r="E33" s="93"/>
      <c r="F33" s="93"/>
      <c r="G33" s="93"/>
      <c r="H33" s="3"/>
    </row>
    <row r="34" spans="1:8" s="4" customFormat="1" ht="52.5" customHeight="1">
      <c r="A34" s="96" t="s">
        <v>113</v>
      </c>
      <c r="B34" s="8" t="s">
        <v>154</v>
      </c>
      <c r="C34" s="6" t="s">
        <v>119</v>
      </c>
      <c r="D34" s="9">
        <f>E34+F34+G34</f>
        <v>33.994</v>
      </c>
      <c r="E34" s="41">
        <v>33.994</v>
      </c>
      <c r="F34" s="6"/>
      <c r="G34" s="6"/>
      <c r="H34" s="3"/>
    </row>
    <row r="35" spans="1:8" s="4" customFormat="1" ht="89.25">
      <c r="A35" s="97"/>
      <c r="B35" s="8" t="s">
        <v>155</v>
      </c>
      <c r="C35" s="6" t="s">
        <v>121</v>
      </c>
      <c r="D35" s="18">
        <v>7</v>
      </c>
      <c r="E35" s="6">
        <v>7</v>
      </c>
      <c r="F35" s="6">
        <v>7</v>
      </c>
      <c r="G35" s="6">
        <v>7</v>
      </c>
      <c r="H35" s="3"/>
    </row>
    <row r="36" spans="1:8" s="4" customFormat="1" ht="63.75">
      <c r="A36" s="97"/>
      <c r="B36" s="8" t="s">
        <v>248</v>
      </c>
      <c r="C36" s="6" t="s">
        <v>118</v>
      </c>
      <c r="D36" s="18">
        <f>E36</f>
        <v>7</v>
      </c>
      <c r="E36" s="6">
        <v>7</v>
      </c>
      <c r="F36" s="6"/>
      <c r="G36" s="6"/>
      <c r="H36" s="3"/>
    </row>
    <row r="37" spans="1:8" s="4" customFormat="1" ht="38.25">
      <c r="A37" s="97"/>
      <c r="B37" s="8" t="s">
        <v>184</v>
      </c>
      <c r="C37" s="6" t="s">
        <v>24</v>
      </c>
      <c r="D37" s="50">
        <f aca="true" t="shared" si="1" ref="D37:D42">E37+F37+G37</f>
        <v>937.6</v>
      </c>
      <c r="E37" s="6">
        <v>937.6</v>
      </c>
      <c r="F37" s="6"/>
      <c r="G37" s="6"/>
      <c r="H37" s="3"/>
    </row>
    <row r="38" spans="1:8" s="4" customFormat="1" ht="102">
      <c r="A38" s="97"/>
      <c r="B38" s="34" t="s">
        <v>175</v>
      </c>
      <c r="C38" s="6" t="s">
        <v>122</v>
      </c>
      <c r="D38" s="9">
        <f t="shared" si="1"/>
        <v>115.263</v>
      </c>
      <c r="E38" s="35">
        <v>115.263</v>
      </c>
      <c r="F38" s="6"/>
      <c r="G38" s="6"/>
      <c r="H38" s="3"/>
    </row>
    <row r="39" spans="1:8" s="4" customFormat="1" ht="63.75">
      <c r="A39" s="97"/>
      <c r="B39" s="34" t="s">
        <v>177</v>
      </c>
      <c r="C39" s="6" t="s">
        <v>122</v>
      </c>
      <c r="D39" s="9">
        <f t="shared" si="1"/>
        <v>25.7</v>
      </c>
      <c r="E39" s="35">
        <v>25.7</v>
      </c>
      <c r="F39" s="6"/>
      <c r="G39" s="6"/>
      <c r="H39" s="3"/>
    </row>
    <row r="40" spans="1:8" s="4" customFormat="1" ht="102">
      <c r="A40" s="97"/>
      <c r="B40" s="34" t="s">
        <v>176</v>
      </c>
      <c r="C40" s="6" t="s">
        <v>122</v>
      </c>
      <c r="D40" s="9">
        <f t="shared" si="1"/>
        <v>821.672</v>
      </c>
      <c r="E40" s="35">
        <v>821.672</v>
      </c>
      <c r="F40" s="6"/>
      <c r="G40" s="6"/>
      <c r="H40" s="3"/>
    </row>
    <row r="41" spans="1:8" s="4" customFormat="1" ht="51">
      <c r="A41" s="97"/>
      <c r="B41" s="8" t="s">
        <v>202</v>
      </c>
      <c r="C41" s="6" t="s">
        <v>122</v>
      </c>
      <c r="D41" s="9">
        <f t="shared" si="1"/>
        <v>96.099</v>
      </c>
      <c r="E41" s="35">
        <v>96.099</v>
      </c>
      <c r="F41" s="6"/>
      <c r="G41" s="6"/>
      <c r="H41" s="3"/>
    </row>
    <row r="42" spans="1:8" s="4" customFormat="1" ht="63.75">
      <c r="A42" s="97"/>
      <c r="B42" s="8" t="s">
        <v>185</v>
      </c>
      <c r="C42" s="6" t="s">
        <v>122</v>
      </c>
      <c r="D42" s="9">
        <f t="shared" si="1"/>
        <v>636.716</v>
      </c>
      <c r="E42" s="9">
        <v>636.716</v>
      </c>
      <c r="F42" s="6"/>
      <c r="G42" s="6"/>
      <c r="H42" s="3"/>
    </row>
    <row r="43" spans="1:8" s="4" customFormat="1" ht="12.75">
      <c r="A43" s="111" t="s">
        <v>178</v>
      </c>
      <c r="B43" s="111"/>
      <c r="C43" s="111"/>
      <c r="D43" s="111"/>
      <c r="E43" s="111"/>
      <c r="F43" s="111"/>
      <c r="G43" s="111"/>
      <c r="H43" s="3"/>
    </row>
    <row r="44" spans="1:8" s="4" customFormat="1" ht="12.75">
      <c r="A44" s="93" t="s">
        <v>51</v>
      </c>
      <c r="B44" s="93"/>
      <c r="C44" s="93"/>
      <c r="D44" s="93"/>
      <c r="E44" s="93"/>
      <c r="F44" s="93"/>
      <c r="G44" s="93"/>
      <c r="H44" s="3"/>
    </row>
    <row r="45" spans="1:8" s="4" customFormat="1" ht="69.75" customHeight="1">
      <c r="A45" s="47" t="s">
        <v>179</v>
      </c>
      <c r="B45" s="8" t="s">
        <v>180</v>
      </c>
      <c r="C45" s="6" t="s">
        <v>120</v>
      </c>
      <c r="D45" s="18">
        <v>1</v>
      </c>
      <c r="E45" s="6">
        <v>1</v>
      </c>
      <c r="F45" s="6"/>
      <c r="G45" s="6"/>
      <c r="H45" s="3"/>
    </row>
    <row r="46" spans="1:8" s="4" customFormat="1" ht="12.75">
      <c r="A46" s="111" t="s">
        <v>109</v>
      </c>
      <c r="B46" s="130"/>
      <c r="C46" s="130"/>
      <c r="D46" s="130"/>
      <c r="E46" s="130"/>
      <c r="F46" s="130"/>
      <c r="G46" s="130"/>
      <c r="H46" s="130"/>
    </row>
    <row r="47" spans="1:8" s="4" customFormat="1" ht="12.75">
      <c r="A47" s="93" t="s">
        <v>51</v>
      </c>
      <c r="B47" s="93"/>
      <c r="C47" s="93"/>
      <c r="D47" s="93"/>
      <c r="E47" s="93"/>
      <c r="F47" s="93"/>
      <c r="G47" s="93"/>
      <c r="H47" s="3"/>
    </row>
    <row r="48" spans="1:8" s="4" customFormat="1" ht="12.75" customHeight="1">
      <c r="A48" s="96" t="s">
        <v>114</v>
      </c>
      <c r="B48" s="6"/>
      <c r="C48" s="6"/>
      <c r="D48" s="6"/>
      <c r="E48" s="6"/>
      <c r="F48" s="6"/>
      <c r="G48" s="6"/>
      <c r="H48" s="3"/>
    </row>
    <row r="49" spans="1:8" s="4" customFormat="1" ht="25.5">
      <c r="A49" s="97"/>
      <c r="B49" s="8" t="s">
        <v>198</v>
      </c>
      <c r="C49" s="6" t="s">
        <v>123</v>
      </c>
      <c r="D49" s="18">
        <f>E49+F49+G49</f>
        <v>56</v>
      </c>
      <c r="E49" s="6">
        <v>49</v>
      </c>
      <c r="F49" s="6">
        <v>7</v>
      </c>
      <c r="G49" s="6"/>
      <c r="H49" s="3"/>
    </row>
    <row r="50" spans="1:8" s="4" customFormat="1" ht="25.5">
      <c r="A50" s="97"/>
      <c r="B50" s="8" t="s">
        <v>199</v>
      </c>
      <c r="C50" s="6" t="s">
        <v>123</v>
      </c>
      <c r="D50" s="18">
        <f>E50+F50+G50</f>
        <v>96</v>
      </c>
      <c r="E50" s="6">
        <v>67</v>
      </c>
      <c r="F50" s="6">
        <v>20</v>
      </c>
      <c r="G50" s="6">
        <v>9</v>
      </c>
      <c r="H50" s="3"/>
    </row>
    <row r="51" spans="1:8" s="4" customFormat="1" ht="38.25">
      <c r="A51" s="97"/>
      <c r="B51" s="8" t="s">
        <v>186</v>
      </c>
      <c r="C51" s="6" t="s">
        <v>122</v>
      </c>
      <c r="D51" s="9">
        <f>E51</f>
        <v>8082.025000000001</v>
      </c>
      <c r="E51" s="9">
        <f>8099.256-17.235+0.004</f>
        <v>8082.025000000001</v>
      </c>
      <c r="F51" s="6"/>
      <c r="G51" s="6"/>
      <c r="H51" s="3"/>
    </row>
    <row r="52" spans="1:8" s="4" customFormat="1" ht="38.25">
      <c r="A52" s="97"/>
      <c r="B52" s="8" t="s">
        <v>159</v>
      </c>
      <c r="C52" s="6" t="s">
        <v>120</v>
      </c>
      <c r="D52" s="18">
        <f>E52+F52+G52</f>
        <v>4</v>
      </c>
      <c r="E52" s="6">
        <v>4</v>
      </c>
      <c r="F52" s="6"/>
      <c r="G52" s="6"/>
      <c r="H52" s="3"/>
    </row>
    <row r="53" spans="1:8" s="4" customFormat="1" ht="51">
      <c r="A53" s="98"/>
      <c r="B53" s="8" t="s">
        <v>187</v>
      </c>
      <c r="C53" s="6" t="s">
        <v>122</v>
      </c>
      <c r="D53" s="9">
        <f>E53</f>
        <v>5647.853</v>
      </c>
      <c r="E53" s="9">
        <f>6469.853-822</f>
        <v>5647.853</v>
      </c>
      <c r="F53" s="6"/>
      <c r="G53" s="6"/>
      <c r="H53" s="3"/>
    </row>
    <row r="54" spans="1:8" s="4" customFormat="1" ht="12.75">
      <c r="A54" s="93" t="s">
        <v>124</v>
      </c>
      <c r="B54" s="134"/>
      <c r="C54" s="134"/>
      <c r="D54" s="134"/>
      <c r="E54" s="134"/>
      <c r="F54" s="134"/>
      <c r="G54" s="134"/>
      <c r="H54" s="3"/>
    </row>
    <row r="55" spans="1:8" s="4" customFormat="1" ht="36">
      <c r="A55" s="96" t="s">
        <v>109</v>
      </c>
      <c r="B55" s="91" t="s">
        <v>156</v>
      </c>
      <c r="C55" s="6" t="s">
        <v>123</v>
      </c>
      <c r="D55" s="18">
        <f>E55+F55+G55</f>
        <v>13</v>
      </c>
      <c r="E55" s="6">
        <v>11</v>
      </c>
      <c r="F55" s="6">
        <v>2</v>
      </c>
      <c r="G55" s="6"/>
      <c r="H55" s="3"/>
    </row>
    <row r="56" spans="1:8" s="4" customFormat="1" ht="36">
      <c r="A56" s="98"/>
      <c r="B56" s="91" t="s">
        <v>186</v>
      </c>
      <c r="C56" s="6" t="s">
        <v>122</v>
      </c>
      <c r="D56" s="9">
        <f>E56+F56+G56</f>
        <v>248.118</v>
      </c>
      <c r="E56" s="9">
        <v>248.118</v>
      </c>
      <c r="F56" s="6"/>
      <c r="G56" s="6"/>
      <c r="H56" s="3"/>
    </row>
    <row r="57" spans="1:8" s="4" customFormat="1" ht="12.75">
      <c r="A57" s="93" t="s">
        <v>125</v>
      </c>
      <c r="B57" s="134"/>
      <c r="C57" s="134"/>
      <c r="D57" s="134"/>
      <c r="E57" s="134"/>
      <c r="F57" s="134"/>
      <c r="G57" s="134"/>
      <c r="H57" s="3"/>
    </row>
    <row r="58" spans="1:8" s="4" customFormat="1" ht="24">
      <c r="A58" s="96" t="s">
        <v>109</v>
      </c>
      <c r="B58" s="91" t="s">
        <v>157</v>
      </c>
      <c r="C58" s="6" t="s">
        <v>123</v>
      </c>
      <c r="D58" s="18">
        <f>E58+F58+G58</f>
        <v>1</v>
      </c>
      <c r="E58" s="6">
        <v>1</v>
      </c>
      <c r="F58" s="6"/>
      <c r="G58" s="6"/>
      <c r="H58" s="3"/>
    </row>
    <row r="59" spans="1:8" s="4" customFormat="1" ht="36">
      <c r="A59" s="98"/>
      <c r="B59" s="91" t="s">
        <v>186</v>
      </c>
      <c r="C59" s="6" t="s">
        <v>122</v>
      </c>
      <c r="D59" s="9">
        <f>E59+F59+G59</f>
        <v>21</v>
      </c>
      <c r="E59" s="9">
        <v>21</v>
      </c>
      <c r="F59" s="6"/>
      <c r="G59" s="6"/>
      <c r="H59" s="3"/>
    </row>
    <row r="60" spans="1:8" s="4" customFormat="1" ht="12.75">
      <c r="A60" s="93" t="s">
        <v>105</v>
      </c>
      <c r="B60" s="134"/>
      <c r="C60" s="134"/>
      <c r="D60" s="134"/>
      <c r="E60" s="134"/>
      <c r="F60" s="134"/>
      <c r="G60" s="134"/>
      <c r="H60" s="3"/>
    </row>
    <row r="61" spans="1:8" s="4" customFormat="1" ht="24">
      <c r="A61" s="96" t="s">
        <v>109</v>
      </c>
      <c r="B61" s="91" t="s">
        <v>157</v>
      </c>
      <c r="C61" s="6" t="s">
        <v>123</v>
      </c>
      <c r="D61" s="18">
        <f>E61+F61+G61</f>
        <v>1</v>
      </c>
      <c r="E61" s="6">
        <v>1</v>
      </c>
      <c r="F61" s="59"/>
      <c r="G61" s="59"/>
      <c r="H61" s="3"/>
    </row>
    <row r="62" spans="1:8" s="4" customFormat="1" ht="36">
      <c r="A62" s="98"/>
      <c r="B62" s="91" t="s">
        <v>186</v>
      </c>
      <c r="C62" s="6" t="s">
        <v>122</v>
      </c>
      <c r="D62" s="9">
        <f>E62+F62+G62</f>
        <v>3</v>
      </c>
      <c r="E62" s="9">
        <v>3</v>
      </c>
      <c r="F62" s="6"/>
      <c r="G62" s="6"/>
      <c r="H62" s="3"/>
    </row>
    <row r="63" spans="1:8" s="4" customFormat="1" ht="12.75">
      <c r="A63" s="126" t="s">
        <v>220</v>
      </c>
      <c r="B63" s="126"/>
      <c r="C63" s="126"/>
      <c r="D63" s="126"/>
      <c r="E63" s="126"/>
      <c r="F63" s="126"/>
      <c r="G63" s="126"/>
      <c r="H63" s="3"/>
    </row>
    <row r="64" spans="1:8" s="4" customFormat="1" ht="12.75">
      <c r="A64" s="116" t="s">
        <v>51</v>
      </c>
      <c r="B64" s="116"/>
      <c r="C64" s="116"/>
      <c r="D64" s="116"/>
      <c r="E64" s="116"/>
      <c r="F64" s="116"/>
      <c r="G64" s="116"/>
      <c r="H64" s="3"/>
    </row>
    <row r="65" spans="1:8" s="4" customFormat="1" ht="12.75">
      <c r="A65" s="96" t="s">
        <v>221</v>
      </c>
      <c r="B65" s="91" t="s">
        <v>222</v>
      </c>
      <c r="C65" s="6" t="s">
        <v>52</v>
      </c>
      <c r="D65" s="18">
        <f>E65+F65+G65</f>
        <v>1</v>
      </c>
      <c r="E65" s="18">
        <v>1</v>
      </c>
      <c r="F65" s="18"/>
      <c r="G65" s="18"/>
      <c r="H65" s="3"/>
    </row>
    <row r="66" spans="1:8" s="4" customFormat="1" ht="36">
      <c r="A66" s="97"/>
      <c r="B66" s="91" t="s">
        <v>256</v>
      </c>
      <c r="C66" s="6" t="s">
        <v>52</v>
      </c>
      <c r="D66" s="18">
        <f>E66</f>
        <v>7</v>
      </c>
      <c r="E66" s="18">
        <v>7</v>
      </c>
      <c r="F66" s="18"/>
      <c r="G66" s="18"/>
      <c r="H66" s="3"/>
    </row>
    <row r="67" spans="1:8" s="4" customFormat="1" ht="36">
      <c r="A67" s="98"/>
      <c r="B67" s="91" t="s">
        <v>253</v>
      </c>
      <c r="C67" s="6" t="s">
        <v>122</v>
      </c>
      <c r="D67" s="9">
        <f>E67</f>
        <v>237.159</v>
      </c>
      <c r="E67" s="9">
        <v>237.159</v>
      </c>
      <c r="F67" s="18"/>
      <c r="G67" s="18"/>
      <c r="H67" s="3"/>
    </row>
    <row r="68" spans="1:8" s="4" customFormat="1" ht="12.75">
      <c r="A68" s="126" t="s">
        <v>128</v>
      </c>
      <c r="B68" s="126"/>
      <c r="C68" s="126"/>
      <c r="D68" s="126"/>
      <c r="E68" s="126"/>
      <c r="F68" s="126"/>
      <c r="G68" s="126"/>
      <c r="H68" s="3"/>
    </row>
    <row r="69" spans="1:8" s="4" customFormat="1" ht="12.75">
      <c r="A69" s="116" t="s">
        <v>51</v>
      </c>
      <c r="B69" s="116"/>
      <c r="C69" s="116"/>
      <c r="D69" s="116"/>
      <c r="E69" s="116"/>
      <c r="F69" s="116"/>
      <c r="G69" s="116"/>
      <c r="H69" s="3"/>
    </row>
    <row r="70" spans="1:8" s="4" customFormat="1" ht="12.75">
      <c r="A70" s="119" t="s">
        <v>71</v>
      </c>
      <c r="B70" s="6"/>
      <c r="C70" s="3"/>
      <c r="D70" s="3"/>
      <c r="E70" s="3"/>
      <c r="F70" s="3"/>
      <c r="G70" s="3"/>
      <c r="H70" s="3"/>
    </row>
    <row r="71" spans="1:8" s="4" customFormat="1" ht="12.75">
      <c r="A71" s="119"/>
      <c r="B71" s="91" t="s">
        <v>66</v>
      </c>
      <c r="C71" s="6" t="s">
        <v>24</v>
      </c>
      <c r="D71" s="19">
        <v>4466666.67</v>
      </c>
      <c r="E71" s="19">
        <v>4466666.67</v>
      </c>
      <c r="F71" s="19">
        <v>4466666.67</v>
      </c>
      <c r="G71" s="19">
        <v>4466666.67</v>
      </c>
      <c r="H71" s="3"/>
    </row>
    <row r="72" spans="1:8" s="4" customFormat="1" ht="24">
      <c r="A72" s="119"/>
      <c r="B72" s="54" t="s">
        <v>67</v>
      </c>
      <c r="C72" s="6" t="s">
        <v>52</v>
      </c>
      <c r="D72" s="6">
        <v>40351</v>
      </c>
      <c r="E72" s="6">
        <v>40201</v>
      </c>
      <c r="F72" s="6">
        <v>40201</v>
      </c>
      <c r="G72" s="6">
        <v>40201</v>
      </c>
      <c r="H72" s="3"/>
    </row>
    <row r="73" spans="1:8" s="4" customFormat="1" ht="12.75">
      <c r="A73" s="119"/>
      <c r="B73" s="54" t="s">
        <v>68</v>
      </c>
      <c r="C73" s="6" t="s">
        <v>54</v>
      </c>
      <c r="D73" s="42">
        <v>29.35</v>
      </c>
      <c r="E73" s="42">
        <v>41.16</v>
      </c>
      <c r="F73" s="42">
        <v>41.16</v>
      </c>
      <c r="G73" s="42">
        <v>41.16</v>
      </c>
      <c r="H73" s="3"/>
    </row>
    <row r="74" spans="1:8" s="4" customFormat="1" ht="24">
      <c r="A74" s="119"/>
      <c r="B74" s="54" t="s">
        <v>27</v>
      </c>
      <c r="C74" s="6" t="s">
        <v>54</v>
      </c>
      <c r="D74" s="6">
        <v>396.9</v>
      </c>
      <c r="E74" s="6">
        <v>396.9</v>
      </c>
      <c r="F74" s="6">
        <v>396.9</v>
      </c>
      <c r="G74" s="6">
        <v>396.9</v>
      </c>
      <c r="H74" s="3"/>
    </row>
    <row r="75" spans="1:8" s="4" customFormat="1" ht="12.75">
      <c r="A75" s="119"/>
      <c r="B75" s="54" t="s">
        <v>69</v>
      </c>
      <c r="C75" s="6" t="s">
        <v>54</v>
      </c>
      <c r="D75" s="6">
        <v>4.793</v>
      </c>
      <c r="E75" s="6">
        <v>4.793</v>
      </c>
      <c r="F75" s="6">
        <v>4.793</v>
      </c>
      <c r="G75" s="6">
        <v>4.793</v>
      </c>
      <c r="H75" s="3"/>
    </row>
    <row r="76" spans="1:8" s="4" customFormat="1" ht="12.75">
      <c r="A76" s="119"/>
      <c r="B76" s="54" t="s">
        <v>28</v>
      </c>
      <c r="C76" s="6" t="s">
        <v>52</v>
      </c>
      <c r="D76" s="6">
        <v>39</v>
      </c>
      <c r="E76" s="6">
        <v>39</v>
      </c>
      <c r="F76" s="6">
        <v>39</v>
      </c>
      <c r="G76" s="6">
        <v>39</v>
      </c>
      <c r="H76" s="3"/>
    </row>
    <row r="77" spans="1:8" s="4" customFormat="1" ht="36">
      <c r="A77" s="119"/>
      <c r="B77" s="54" t="s">
        <v>70</v>
      </c>
      <c r="C77" s="6" t="s">
        <v>52</v>
      </c>
      <c r="D77" s="6">
        <v>60</v>
      </c>
      <c r="E77" s="6">
        <v>60</v>
      </c>
      <c r="F77" s="6">
        <v>60</v>
      </c>
      <c r="G77" s="6">
        <v>60</v>
      </c>
      <c r="H77" s="3"/>
    </row>
    <row r="78" spans="1:8" s="4" customFormat="1" ht="12.75">
      <c r="A78" s="119"/>
      <c r="B78" s="54" t="s">
        <v>86</v>
      </c>
      <c r="C78" s="6" t="s">
        <v>54</v>
      </c>
      <c r="D78" s="6">
        <v>51.125</v>
      </c>
      <c r="E78" s="6">
        <v>51.125</v>
      </c>
      <c r="F78" s="6">
        <v>51.125</v>
      </c>
      <c r="G78" s="6">
        <v>51.125</v>
      </c>
      <c r="H78" s="3"/>
    </row>
    <row r="79" spans="1:8" s="4" customFormat="1" ht="25.5">
      <c r="A79" s="119"/>
      <c r="B79" s="8" t="s">
        <v>182</v>
      </c>
      <c r="C79" s="6" t="s">
        <v>122</v>
      </c>
      <c r="D79" s="9">
        <f>E79+F79+G79</f>
        <v>7271.7080000000005</v>
      </c>
      <c r="E79" s="9">
        <f>4371.665+784.822+2115.221</f>
        <v>7271.7080000000005</v>
      </c>
      <c r="F79" s="6"/>
      <c r="G79" s="6"/>
      <c r="H79" s="3"/>
    </row>
    <row r="80" spans="1:8" s="4" customFormat="1" ht="38.25">
      <c r="A80" s="119"/>
      <c r="B80" s="21" t="s">
        <v>126</v>
      </c>
      <c r="C80" s="33" t="s">
        <v>122</v>
      </c>
      <c r="D80" s="22">
        <f>E80+F80+G80</f>
        <v>784.822</v>
      </c>
      <c r="E80" s="22">
        <v>784.822</v>
      </c>
      <c r="F80" s="6"/>
      <c r="G80" s="6"/>
      <c r="H80" s="3"/>
    </row>
    <row r="81" spans="1:8" s="4" customFormat="1" ht="102">
      <c r="A81" s="119"/>
      <c r="B81" s="21" t="s">
        <v>223</v>
      </c>
      <c r="C81" s="33" t="s">
        <v>122</v>
      </c>
      <c r="D81" s="22">
        <f>E81+F81+G81</f>
        <v>2115.221</v>
      </c>
      <c r="E81" s="22">
        <v>2115.221</v>
      </c>
      <c r="F81" s="6"/>
      <c r="G81" s="6"/>
      <c r="H81" s="3"/>
    </row>
    <row r="82" spans="1:8" s="4" customFormat="1" ht="12.75" customHeight="1">
      <c r="A82" s="119" t="s">
        <v>72</v>
      </c>
      <c r="B82" s="10"/>
      <c r="C82" s="3"/>
      <c r="D82" s="3"/>
      <c r="E82" s="3"/>
      <c r="F82" s="3"/>
      <c r="G82" s="3"/>
      <c r="H82" s="3"/>
    </row>
    <row r="83" spans="1:8" s="4" customFormat="1" ht="12.75">
      <c r="A83" s="119"/>
      <c r="B83" s="10" t="s">
        <v>188</v>
      </c>
      <c r="C83" s="6" t="s">
        <v>53</v>
      </c>
      <c r="D83" s="19">
        <f>E83+F83+G83</f>
        <v>32664756.450000003</v>
      </c>
      <c r="E83" s="19">
        <v>10888252.15</v>
      </c>
      <c r="F83" s="19">
        <v>10888252.15</v>
      </c>
      <c r="G83" s="19">
        <v>10888252.15</v>
      </c>
      <c r="H83" s="3"/>
    </row>
    <row r="84" spans="1:8" s="4" customFormat="1" ht="89.25">
      <c r="A84" s="119"/>
      <c r="B84" s="8" t="s">
        <v>252</v>
      </c>
      <c r="C84" s="6" t="s">
        <v>53</v>
      </c>
      <c r="D84" s="19">
        <f>E84+F84+G84</f>
        <v>1569506.73</v>
      </c>
      <c r="E84" s="19">
        <v>523168.91</v>
      </c>
      <c r="F84" s="19">
        <v>523168.91</v>
      </c>
      <c r="G84" s="19">
        <v>523168.91</v>
      </c>
      <c r="H84" s="3"/>
    </row>
    <row r="85" spans="1:8" s="4" customFormat="1" ht="12.75">
      <c r="A85" s="119"/>
      <c r="B85" s="10" t="s">
        <v>73</v>
      </c>
      <c r="C85" s="6" t="s">
        <v>53</v>
      </c>
      <c r="D85" s="19">
        <f>E85+F85+G85</f>
        <v>75555.29999999999</v>
      </c>
      <c r="E85" s="19">
        <v>25185.1</v>
      </c>
      <c r="F85" s="19">
        <v>25185.1</v>
      </c>
      <c r="G85" s="19">
        <v>25185.1</v>
      </c>
      <c r="H85" s="3"/>
    </row>
    <row r="86" spans="1:8" s="4" customFormat="1" ht="12.75">
      <c r="A86" s="119"/>
      <c r="B86" s="10" t="s">
        <v>74</v>
      </c>
      <c r="C86" s="6" t="s">
        <v>53</v>
      </c>
      <c r="D86" s="19">
        <f>E86+F86+G86</f>
        <v>202281</v>
      </c>
      <c r="E86" s="19">
        <v>67427</v>
      </c>
      <c r="F86" s="19">
        <v>67427</v>
      </c>
      <c r="G86" s="19">
        <v>67427</v>
      </c>
      <c r="H86" s="3"/>
    </row>
    <row r="87" spans="1:8" s="4" customFormat="1" ht="12.75">
      <c r="A87" s="119"/>
      <c r="B87" s="10" t="s">
        <v>75</v>
      </c>
      <c r="C87" s="6" t="s">
        <v>53</v>
      </c>
      <c r="D87" s="19">
        <f>E87+F87+G87</f>
        <v>1518633.33</v>
      </c>
      <c r="E87" s="19">
        <v>506211.11</v>
      </c>
      <c r="F87" s="19">
        <v>506211.11</v>
      </c>
      <c r="G87" s="19">
        <v>506211.11</v>
      </c>
      <c r="H87" s="3"/>
    </row>
    <row r="88" spans="1:8" s="4" customFormat="1" ht="25.5">
      <c r="A88" s="119"/>
      <c r="B88" s="8" t="s">
        <v>182</v>
      </c>
      <c r="C88" s="6" t="s">
        <v>122</v>
      </c>
      <c r="D88" s="9">
        <f>E88</f>
        <v>40.736</v>
      </c>
      <c r="E88" s="9">
        <v>40.736</v>
      </c>
      <c r="F88" s="19"/>
      <c r="G88" s="19"/>
      <c r="H88" s="3"/>
    </row>
    <row r="89" spans="1:8" s="4" customFormat="1" ht="12.75">
      <c r="A89" s="119" t="s">
        <v>76</v>
      </c>
      <c r="B89" s="10"/>
      <c r="C89" s="3"/>
      <c r="D89" s="3"/>
      <c r="E89" s="3"/>
      <c r="F89" s="3"/>
      <c r="G89" s="3"/>
      <c r="H89" s="3"/>
    </row>
    <row r="90" spans="1:8" s="4" customFormat="1" ht="25.5">
      <c r="A90" s="119"/>
      <c r="B90" s="10" t="s">
        <v>77</v>
      </c>
      <c r="C90" s="6" t="s">
        <v>55</v>
      </c>
      <c r="D90" s="19">
        <f>E90+F90+G90</f>
        <v>4117.71</v>
      </c>
      <c r="E90" s="19">
        <v>1372.57</v>
      </c>
      <c r="F90" s="19">
        <v>1372.57</v>
      </c>
      <c r="G90" s="19">
        <v>1372.57</v>
      </c>
      <c r="H90" s="3"/>
    </row>
    <row r="91" spans="1:8" s="4" customFormat="1" ht="25.5">
      <c r="A91" s="119"/>
      <c r="B91" s="10" t="s">
        <v>78</v>
      </c>
      <c r="C91" s="6" t="s">
        <v>55</v>
      </c>
      <c r="D91" s="19">
        <f>E91+F91+G91</f>
        <v>12857.400000000001</v>
      </c>
      <c r="E91" s="19">
        <v>4285.8</v>
      </c>
      <c r="F91" s="19">
        <v>4285.8</v>
      </c>
      <c r="G91" s="19">
        <v>4285.8</v>
      </c>
      <c r="H91" s="3"/>
    </row>
    <row r="92" spans="1:8" s="4" customFormat="1" ht="25.5">
      <c r="A92" s="119"/>
      <c r="B92" s="10" t="s">
        <v>79</v>
      </c>
      <c r="C92" s="6" t="s">
        <v>55</v>
      </c>
      <c r="D92" s="19">
        <f>E92+F92+G92</f>
        <v>34940.07</v>
      </c>
      <c r="E92" s="19">
        <v>11646.69</v>
      </c>
      <c r="F92" s="19">
        <v>11646.69</v>
      </c>
      <c r="G92" s="19">
        <v>11646.69</v>
      </c>
      <c r="H92" s="3"/>
    </row>
    <row r="93" spans="1:8" s="4" customFormat="1" ht="38.25">
      <c r="A93" s="119"/>
      <c r="B93" s="10" t="s">
        <v>80</v>
      </c>
      <c r="C93" s="6" t="s">
        <v>55</v>
      </c>
      <c r="D93" s="19">
        <f>E93+F93+G93</f>
        <v>6120.8099999999995</v>
      </c>
      <c r="E93" s="19">
        <v>2040.27</v>
      </c>
      <c r="F93" s="19">
        <v>2040.27</v>
      </c>
      <c r="G93" s="19">
        <v>2040.27</v>
      </c>
      <c r="H93" s="3"/>
    </row>
    <row r="94" spans="1:8" s="4" customFormat="1" ht="12.75" customHeight="1">
      <c r="A94" s="96" t="s">
        <v>81</v>
      </c>
      <c r="B94" s="10"/>
      <c r="C94" s="3"/>
      <c r="D94" s="3"/>
      <c r="E94" s="3"/>
      <c r="F94" s="3"/>
      <c r="G94" s="3"/>
      <c r="H94" s="3"/>
    </row>
    <row r="95" spans="1:8" s="4" customFormat="1" ht="12.75">
      <c r="A95" s="97"/>
      <c r="B95" s="10" t="s">
        <v>190</v>
      </c>
      <c r="C95" s="6" t="s">
        <v>24</v>
      </c>
      <c r="D95" s="18">
        <f>E95+F95+G95</f>
        <v>180739</v>
      </c>
      <c r="E95" s="18">
        <v>40151</v>
      </c>
      <c r="F95" s="18">
        <v>70294</v>
      </c>
      <c r="G95" s="18">
        <v>70294</v>
      </c>
      <c r="H95" s="3"/>
    </row>
    <row r="96" spans="1:8" s="4" customFormat="1" ht="25.5">
      <c r="A96" s="97"/>
      <c r="B96" s="10" t="s">
        <v>201</v>
      </c>
      <c r="C96" s="6" t="s">
        <v>52</v>
      </c>
      <c r="D96" s="18">
        <f>E96</f>
        <v>6136</v>
      </c>
      <c r="E96" s="6">
        <v>6136</v>
      </c>
      <c r="F96" s="6">
        <v>6136</v>
      </c>
      <c r="G96" s="6">
        <v>6136</v>
      </c>
      <c r="H96" s="3"/>
    </row>
    <row r="97" spans="1:8" s="4" customFormat="1" ht="12.75">
      <c r="A97" s="97"/>
      <c r="B97" s="10" t="s">
        <v>23</v>
      </c>
      <c r="C97" s="6" t="s">
        <v>24</v>
      </c>
      <c r="D97" s="18">
        <f>E97+F97+G97</f>
        <v>201792</v>
      </c>
      <c r="E97" s="18">
        <v>67264</v>
      </c>
      <c r="F97" s="18">
        <v>67264</v>
      </c>
      <c r="G97" s="18">
        <v>67264</v>
      </c>
      <c r="H97" s="3"/>
    </row>
    <row r="98" spans="1:8" s="4" customFormat="1" ht="25.5">
      <c r="A98" s="97"/>
      <c r="B98" s="10" t="s">
        <v>82</v>
      </c>
      <c r="C98" s="6" t="s">
        <v>52</v>
      </c>
      <c r="D98" s="6">
        <v>8200</v>
      </c>
      <c r="E98" s="6">
        <v>8200</v>
      </c>
      <c r="F98" s="6">
        <v>8040</v>
      </c>
      <c r="G98" s="6">
        <v>8040</v>
      </c>
      <c r="H98" s="3"/>
    </row>
    <row r="99" spans="1:8" s="4" customFormat="1" ht="38.25">
      <c r="A99" s="97"/>
      <c r="B99" s="10" t="s">
        <v>87</v>
      </c>
      <c r="C99" s="6" t="s">
        <v>52</v>
      </c>
      <c r="D99" s="25">
        <v>542</v>
      </c>
      <c r="E99" s="25">
        <v>542</v>
      </c>
      <c r="F99" s="25">
        <v>542</v>
      </c>
      <c r="G99" s="25">
        <v>542</v>
      </c>
      <c r="H99" s="3"/>
    </row>
    <row r="100" spans="1:8" s="4" customFormat="1" ht="12.75" customHeight="1">
      <c r="A100" s="97"/>
      <c r="B100" s="46" t="s">
        <v>48</v>
      </c>
      <c r="C100" s="6" t="s">
        <v>54</v>
      </c>
      <c r="D100" s="6">
        <v>425.09</v>
      </c>
      <c r="E100" s="6">
        <f>396.9+28.19</f>
        <v>425.09</v>
      </c>
      <c r="F100" s="6">
        <f>396.9+28.19</f>
        <v>425.09</v>
      </c>
      <c r="G100" s="6">
        <f>396.9+28.19</f>
        <v>425.09</v>
      </c>
      <c r="H100" s="3"/>
    </row>
    <row r="101" spans="1:8" s="4" customFormat="1" ht="38.25">
      <c r="A101" s="97"/>
      <c r="B101" s="10" t="s">
        <v>83</v>
      </c>
      <c r="C101" s="6" t="s">
        <v>52</v>
      </c>
      <c r="D101" s="6">
        <v>274</v>
      </c>
      <c r="E101" s="6">
        <v>274</v>
      </c>
      <c r="F101" s="6">
        <v>274</v>
      </c>
      <c r="G101" s="6">
        <v>274</v>
      </c>
      <c r="H101" s="3"/>
    </row>
    <row r="102" spans="1:8" s="4" customFormat="1" ht="25.5">
      <c r="A102" s="97"/>
      <c r="B102" s="10" t="s">
        <v>84</v>
      </c>
      <c r="C102" s="6" t="s">
        <v>52</v>
      </c>
      <c r="D102" s="6">
        <v>39</v>
      </c>
      <c r="E102" s="6">
        <v>39</v>
      </c>
      <c r="F102" s="6">
        <v>39</v>
      </c>
      <c r="G102" s="6">
        <v>39</v>
      </c>
      <c r="H102" s="3"/>
    </row>
    <row r="103" spans="1:8" s="4" customFormat="1" ht="25.5">
      <c r="A103" s="97"/>
      <c r="B103" s="10" t="s">
        <v>85</v>
      </c>
      <c r="C103" s="6" t="s">
        <v>52</v>
      </c>
      <c r="D103" s="6">
        <v>8</v>
      </c>
      <c r="E103" s="6">
        <v>8</v>
      </c>
      <c r="F103" s="6">
        <v>8</v>
      </c>
      <c r="G103" s="6">
        <v>8</v>
      </c>
      <c r="H103" s="3"/>
    </row>
    <row r="104" spans="1:8" s="4" customFormat="1" ht="25.5">
      <c r="A104" s="97"/>
      <c r="B104" s="8" t="s">
        <v>63</v>
      </c>
      <c r="C104" s="6" t="s">
        <v>52</v>
      </c>
      <c r="D104" s="6">
        <f>E104+F104+G104</f>
        <v>6990</v>
      </c>
      <c r="E104" s="6">
        <v>2330</v>
      </c>
      <c r="F104" s="6">
        <v>2330</v>
      </c>
      <c r="G104" s="6">
        <v>2330</v>
      </c>
      <c r="H104" s="3"/>
    </row>
    <row r="105" spans="1:8" s="4" customFormat="1" ht="25.5">
      <c r="A105" s="97"/>
      <c r="B105" s="8" t="s">
        <v>182</v>
      </c>
      <c r="C105" s="6" t="s">
        <v>122</v>
      </c>
      <c r="D105" s="41">
        <f>E105</f>
        <v>5800.914000000001</v>
      </c>
      <c r="E105" s="9">
        <f>4692.54+124.109+984.265</f>
        <v>5800.914000000001</v>
      </c>
      <c r="F105" s="6"/>
      <c r="G105" s="6"/>
      <c r="H105" s="3"/>
    </row>
    <row r="106" spans="1:8" s="4" customFormat="1" ht="38.25">
      <c r="A106" s="97"/>
      <c r="B106" s="21" t="s">
        <v>126</v>
      </c>
      <c r="C106" s="33" t="s">
        <v>122</v>
      </c>
      <c r="D106" s="43">
        <f>E106</f>
        <v>124.109</v>
      </c>
      <c r="E106" s="22">
        <v>124.109</v>
      </c>
      <c r="F106" s="6"/>
      <c r="G106" s="6"/>
      <c r="H106" s="3"/>
    </row>
    <row r="107" spans="1:8" s="4" customFormat="1" ht="102">
      <c r="A107" s="97"/>
      <c r="B107" s="21" t="s">
        <v>224</v>
      </c>
      <c r="C107" s="33" t="s">
        <v>122</v>
      </c>
      <c r="D107" s="43">
        <f>E107</f>
        <v>984.265</v>
      </c>
      <c r="E107" s="22">
        <v>984.265</v>
      </c>
      <c r="F107" s="6"/>
      <c r="G107" s="6"/>
      <c r="H107" s="3"/>
    </row>
    <row r="108" spans="1:8" s="4" customFormat="1" ht="12.75">
      <c r="A108" s="96" t="s">
        <v>88</v>
      </c>
      <c r="B108" s="8"/>
      <c r="C108" s="3"/>
      <c r="D108" s="3"/>
      <c r="E108" s="3"/>
      <c r="F108" s="3"/>
      <c r="G108" s="3"/>
      <c r="H108" s="3"/>
    </row>
    <row r="109" spans="1:8" s="4" customFormat="1" ht="12.75">
      <c r="A109" s="97"/>
      <c r="B109" s="121" t="s">
        <v>64</v>
      </c>
      <c r="C109" s="3" t="s">
        <v>228</v>
      </c>
      <c r="D109" s="3">
        <f>E109+F109+G109</f>
        <v>22</v>
      </c>
      <c r="E109" s="3">
        <v>22</v>
      </c>
      <c r="F109" s="3"/>
      <c r="G109" s="3"/>
      <c r="H109" s="3"/>
    </row>
    <row r="110" spans="1:8" s="4" customFormat="1" ht="12.75">
      <c r="A110" s="97"/>
      <c r="B110" s="122"/>
      <c r="C110" s="6" t="s">
        <v>219</v>
      </c>
      <c r="D110" s="9">
        <f>E110+F110+G110</f>
        <v>1.488</v>
      </c>
      <c r="E110" s="56">
        <f>0.988+0.5</f>
        <v>1.488</v>
      </c>
      <c r="F110" s="18"/>
      <c r="G110" s="18"/>
      <c r="H110" s="3"/>
    </row>
    <row r="111" spans="1:8" s="4" customFormat="1" ht="89.25">
      <c r="A111" s="97"/>
      <c r="B111" s="21" t="s">
        <v>127</v>
      </c>
      <c r="C111" s="33" t="s">
        <v>219</v>
      </c>
      <c r="D111" s="22">
        <f>E111+F111+G111</f>
        <v>1.488</v>
      </c>
      <c r="E111" s="57">
        <f>0.988+0.5</f>
        <v>1.488</v>
      </c>
      <c r="F111" s="18"/>
      <c r="G111" s="18"/>
      <c r="H111" s="3"/>
    </row>
    <row r="112" spans="1:8" s="4" customFormat="1" ht="25.5">
      <c r="A112" s="97"/>
      <c r="B112" s="8" t="s">
        <v>218</v>
      </c>
      <c r="C112" s="6" t="s">
        <v>119</v>
      </c>
      <c r="D112" s="9">
        <f>E112</f>
        <v>37.3497</v>
      </c>
      <c r="E112" s="9">
        <f>E113+E114</f>
        <v>37.3497</v>
      </c>
      <c r="F112" s="18"/>
      <c r="G112" s="18"/>
      <c r="H112" s="3"/>
    </row>
    <row r="113" spans="1:8" s="4" customFormat="1" ht="89.25">
      <c r="A113" s="97"/>
      <c r="B113" s="21" t="s">
        <v>127</v>
      </c>
      <c r="C113" s="33" t="s">
        <v>119</v>
      </c>
      <c r="D113" s="22">
        <f>E113</f>
        <v>15.239999999999998</v>
      </c>
      <c r="E113" s="22">
        <f>12.604+2.636</f>
        <v>15.239999999999998</v>
      </c>
      <c r="F113" s="18"/>
      <c r="G113" s="18"/>
      <c r="H113" s="3"/>
    </row>
    <row r="114" spans="1:8" s="4" customFormat="1" ht="102">
      <c r="A114" s="97"/>
      <c r="B114" s="21" t="s">
        <v>223</v>
      </c>
      <c r="C114" s="33" t="s">
        <v>119</v>
      </c>
      <c r="D114" s="61">
        <f>E114</f>
        <v>22.1097</v>
      </c>
      <c r="E114" s="61">
        <v>22.1097</v>
      </c>
      <c r="F114" s="18"/>
      <c r="G114" s="18"/>
      <c r="H114" s="3"/>
    </row>
    <row r="115" spans="1:8" s="4" customFormat="1" ht="25.5">
      <c r="A115" s="97"/>
      <c r="B115" s="8" t="s">
        <v>225</v>
      </c>
      <c r="C115" s="6" t="s">
        <v>119</v>
      </c>
      <c r="D115" s="9">
        <f>E115</f>
        <v>1.088</v>
      </c>
      <c r="E115" s="9">
        <f>E116</f>
        <v>1.088</v>
      </c>
      <c r="F115" s="18"/>
      <c r="G115" s="18"/>
      <c r="H115" s="3"/>
    </row>
    <row r="116" spans="1:8" s="4" customFormat="1" ht="102">
      <c r="A116" s="97"/>
      <c r="B116" s="21" t="s">
        <v>223</v>
      </c>
      <c r="C116" s="33" t="s">
        <v>119</v>
      </c>
      <c r="D116" s="22">
        <f>E116</f>
        <v>1.088</v>
      </c>
      <c r="E116" s="22">
        <v>1.088</v>
      </c>
      <c r="F116" s="62"/>
      <c r="G116" s="62"/>
      <c r="H116" s="3"/>
    </row>
    <row r="117" spans="1:8" s="4" customFormat="1" ht="12.75">
      <c r="A117" s="97"/>
      <c r="B117" s="10" t="s">
        <v>226</v>
      </c>
      <c r="C117" s="6" t="s">
        <v>52</v>
      </c>
      <c r="D117" s="18">
        <f>E117+F117+G117</f>
        <v>920</v>
      </c>
      <c r="E117" s="18">
        <v>920</v>
      </c>
      <c r="F117" s="18"/>
      <c r="G117" s="18"/>
      <c r="H117" s="3"/>
    </row>
    <row r="118" spans="1:8" s="4" customFormat="1" ht="12.75">
      <c r="A118" s="97"/>
      <c r="B118" s="8" t="s">
        <v>217</v>
      </c>
      <c r="C118" s="6" t="s">
        <v>52</v>
      </c>
      <c r="D118" s="18">
        <f>E118+F118+G118</f>
        <v>1781</v>
      </c>
      <c r="E118" s="18">
        <v>1781</v>
      </c>
      <c r="F118" s="18"/>
      <c r="G118" s="18"/>
      <c r="H118" s="3"/>
    </row>
    <row r="119" spans="1:8" s="4" customFormat="1" ht="38.25">
      <c r="A119" s="97"/>
      <c r="B119" s="8" t="s">
        <v>227</v>
      </c>
      <c r="C119" s="6" t="s">
        <v>52</v>
      </c>
      <c r="D119" s="18">
        <f>E119+F119+G119</f>
        <v>1</v>
      </c>
      <c r="E119" s="18">
        <v>1</v>
      </c>
      <c r="F119" s="18"/>
      <c r="G119" s="18"/>
      <c r="H119" s="3"/>
    </row>
    <row r="120" spans="1:8" s="4" customFormat="1" ht="25.5">
      <c r="A120" s="97"/>
      <c r="B120" s="8" t="s">
        <v>182</v>
      </c>
      <c r="C120" s="6" t="s">
        <v>122</v>
      </c>
      <c r="D120" s="9">
        <f>E120</f>
        <v>2172.085</v>
      </c>
      <c r="E120" s="9">
        <f>154.282+488.469+10.272+1519.062</f>
        <v>2172.085</v>
      </c>
      <c r="F120" s="18"/>
      <c r="G120" s="18"/>
      <c r="H120" s="3"/>
    </row>
    <row r="121" spans="1:8" s="4" customFormat="1" ht="38.25">
      <c r="A121" s="97"/>
      <c r="B121" s="21" t="s">
        <v>126</v>
      </c>
      <c r="C121" s="33" t="s">
        <v>122</v>
      </c>
      <c r="D121" s="22">
        <f>E121</f>
        <v>10.272</v>
      </c>
      <c r="E121" s="22">
        <v>10.272</v>
      </c>
      <c r="F121" s="18"/>
      <c r="G121" s="18"/>
      <c r="H121" s="3"/>
    </row>
    <row r="122" spans="1:8" s="4" customFormat="1" ht="102">
      <c r="A122" s="97"/>
      <c r="B122" s="63" t="s">
        <v>223</v>
      </c>
      <c r="C122" s="69" t="s">
        <v>122</v>
      </c>
      <c r="D122" s="64">
        <f>E122</f>
        <v>1519.062</v>
      </c>
      <c r="E122" s="64">
        <f>1519.062</f>
        <v>1519.062</v>
      </c>
      <c r="F122" s="70"/>
      <c r="G122" s="70"/>
      <c r="H122" s="3"/>
    </row>
    <row r="123" spans="1:8" s="4" customFormat="1" ht="12.75">
      <c r="A123" s="93" t="s">
        <v>99</v>
      </c>
      <c r="B123" s="93"/>
      <c r="C123" s="93"/>
      <c r="D123" s="93"/>
      <c r="E123" s="93"/>
      <c r="F123" s="93"/>
      <c r="G123" s="93"/>
      <c r="H123" s="3"/>
    </row>
    <row r="124" spans="1:8" s="4" customFormat="1" ht="12.75">
      <c r="A124" s="96" t="s">
        <v>71</v>
      </c>
      <c r="B124" s="8"/>
      <c r="C124" s="3"/>
      <c r="D124" s="3"/>
      <c r="E124" s="3"/>
      <c r="F124" s="3"/>
      <c r="G124" s="3"/>
      <c r="H124" s="3"/>
    </row>
    <row r="125" spans="1:8" s="4" customFormat="1" ht="25.5">
      <c r="A125" s="97"/>
      <c r="B125" s="10" t="s">
        <v>48</v>
      </c>
      <c r="C125" s="6" t="s">
        <v>24</v>
      </c>
      <c r="D125" s="42">
        <f>E125+F125+G125</f>
        <v>297000</v>
      </c>
      <c r="E125" s="42">
        <v>99000</v>
      </c>
      <c r="F125" s="42">
        <v>99000</v>
      </c>
      <c r="G125" s="42">
        <v>99000</v>
      </c>
      <c r="H125" s="3"/>
    </row>
    <row r="126" spans="1:8" s="4" customFormat="1" ht="25.5">
      <c r="A126" s="98"/>
      <c r="B126" s="10" t="s">
        <v>165</v>
      </c>
      <c r="C126" s="3" t="s">
        <v>52</v>
      </c>
      <c r="D126" s="25">
        <f>E126+F126+G126</f>
        <v>3</v>
      </c>
      <c r="E126" s="3">
        <v>1</v>
      </c>
      <c r="F126" s="3">
        <v>1</v>
      </c>
      <c r="G126" s="3">
        <v>1</v>
      </c>
      <c r="H126" s="3"/>
    </row>
    <row r="127" spans="1:8" s="4" customFormat="1" ht="12.75">
      <c r="A127" s="96" t="s">
        <v>164</v>
      </c>
      <c r="B127" s="10"/>
      <c r="C127" s="3"/>
      <c r="D127" s="25"/>
      <c r="E127" s="3"/>
      <c r="F127" s="3"/>
      <c r="G127" s="3"/>
      <c r="H127" s="3"/>
    </row>
    <row r="128" spans="1:8" s="4" customFormat="1" ht="25.5">
      <c r="A128" s="98"/>
      <c r="B128" s="10" t="s">
        <v>167</v>
      </c>
      <c r="C128" s="3" t="s">
        <v>59</v>
      </c>
      <c r="D128" s="44">
        <f>E128+F128+G128</f>
        <v>49833</v>
      </c>
      <c r="E128" s="3">
        <v>16611</v>
      </c>
      <c r="F128" s="3">
        <v>16611</v>
      </c>
      <c r="G128" s="3">
        <v>16611</v>
      </c>
      <c r="H128" s="3"/>
    </row>
    <row r="129" spans="1:8" s="4" customFormat="1" ht="12.75">
      <c r="A129" s="96" t="s">
        <v>81</v>
      </c>
      <c r="B129" s="8"/>
      <c r="C129" s="3"/>
      <c r="D129" s="3"/>
      <c r="E129" s="3"/>
      <c r="F129" s="3"/>
      <c r="G129" s="3"/>
      <c r="H129" s="3"/>
    </row>
    <row r="130" spans="1:8" s="4" customFormat="1" ht="12.75">
      <c r="A130" s="97"/>
      <c r="B130" s="121" t="s">
        <v>26</v>
      </c>
      <c r="C130" s="3" t="s">
        <v>24</v>
      </c>
      <c r="D130" s="41">
        <f>E130+F130+G130</f>
        <v>766.095</v>
      </c>
      <c r="E130" s="3">
        <v>255.365</v>
      </c>
      <c r="F130" s="3">
        <v>255.365</v>
      </c>
      <c r="G130" s="3">
        <v>255.365</v>
      </c>
      <c r="H130" s="3"/>
    </row>
    <row r="131" spans="1:8" s="4" customFormat="1" ht="12.75">
      <c r="A131" s="97"/>
      <c r="B131" s="122"/>
      <c r="C131" s="6" t="s">
        <v>56</v>
      </c>
      <c r="D131" s="25">
        <f>E131+F131+G131</f>
        <v>2685</v>
      </c>
      <c r="E131" s="25">
        <v>895</v>
      </c>
      <c r="F131" s="25">
        <v>895</v>
      </c>
      <c r="G131" s="25">
        <v>895</v>
      </c>
      <c r="H131" s="3"/>
    </row>
    <row r="132" spans="1:8" s="4" customFormat="1" ht="25.5">
      <c r="A132" s="97"/>
      <c r="B132" s="10" t="s">
        <v>32</v>
      </c>
      <c r="C132" s="6" t="s">
        <v>24</v>
      </c>
      <c r="D132" s="42">
        <f>E132+F132+G132</f>
        <v>7890</v>
      </c>
      <c r="E132" s="25">
        <v>2630</v>
      </c>
      <c r="F132" s="25">
        <v>2630</v>
      </c>
      <c r="G132" s="25">
        <v>2630</v>
      </c>
      <c r="H132" s="3"/>
    </row>
    <row r="133" spans="1:8" s="4" customFormat="1" ht="12.75">
      <c r="A133" s="119" t="s">
        <v>90</v>
      </c>
      <c r="B133" s="10"/>
      <c r="C133" s="3"/>
      <c r="D133" s="3"/>
      <c r="E133" s="3"/>
      <c r="F133" s="3"/>
      <c r="G133" s="3"/>
      <c r="H133" s="3"/>
    </row>
    <row r="134" spans="1:8" s="4" customFormat="1" ht="25.5">
      <c r="A134" s="119"/>
      <c r="B134" s="10" t="s">
        <v>33</v>
      </c>
      <c r="C134" s="6" t="s">
        <v>57</v>
      </c>
      <c r="D134" s="6">
        <f>E134+F134+G134</f>
        <v>177</v>
      </c>
      <c r="E134" s="6">
        <v>59</v>
      </c>
      <c r="F134" s="6">
        <v>59</v>
      </c>
      <c r="G134" s="6">
        <v>59</v>
      </c>
      <c r="H134" s="3"/>
    </row>
    <row r="135" spans="1:8" s="4" customFormat="1" ht="12.75">
      <c r="A135" s="119"/>
      <c r="B135" s="10" t="s">
        <v>34</v>
      </c>
      <c r="C135" s="6" t="s">
        <v>58</v>
      </c>
      <c r="D135" s="6">
        <f>E135+F135+G135</f>
        <v>1656.42</v>
      </c>
      <c r="E135" s="6">
        <v>552.14</v>
      </c>
      <c r="F135" s="6">
        <v>552.14</v>
      </c>
      <c r="G135" s="6">
        <v>552.14</v>
      </c>
      <c r="H135" s="3"/>
    </row>
    <row r="136" spans="1:8" s="4" customFormat="1" ht="12.75">
      <c r="A136" s="119" t="s">
        <v>89</v>
      </c>
      <c r="B136" s="10"/>
      <c r="C136" s="3"/>
      <c r="D136" s="3"/>
      <c r="E136" s="3"/>
      <c r="F136" s="3"/>
      <c r="G136" s="3"/>
      <c r="H136" s="3"/>
    </row>
    <row r="137" spans="1:8" s="4" customFormat="1" ht="26.25" customHeight="1">
      <c r="A137" s="119"/>
      <c r="B137" s="10" t="s">
        <v>35</v>
      </c>
      <c r="C137" s="6" t="s">
        <v>25</v>
      </c>
      <c r="D137" s="42">
        <f>E137+F137+G137</f>
        <v>20.580000000000002</v>
      </c>
      <c r="E137" s="42">
        <v>6.86</v>
      </c>
      <c r="F137" s="42">
        <v>6.86</v>
      </c>
      <c r="G137" s="42">
        <v>6.86</v>
      </c>
      <c r="H137" s="3"/>
    </row>
    <row r="138" spans="1:8" s="4" customFormat="1" ht="12.75">
      <c r="A138" s="94" t="s">
        <v>193</v>
      </c>
      <c r="B138" s="10"/>
      <c r="C138" s="6"/>
      <c r="D138" s="42"/>
      <c r="E138" s="42"/>
      <c r="F138" s="42"/>
      <c r="G138" s="42"/>
      <c r="H138" s="3"/>
    </row>
    <row r="139" spans="1:8" s="4" customFormat="1" ht="25.5">
      <c r="A139" s="95"/>
      <c r="B139" s="8" t="s">
        <v>192</v>
      </c>
      <c r="C139" s="6" t="s">
        <v>24</v>
      </c>
      <c r="D139" s="25">
        <f>E139+F139+G139</f>
        <v>371487</v>
      </c>
      <c r="E139" s="25">
        <v>123829</v>
      </c>
      <c r="F139" s="25">
        <v>123829</v>
      </c>
      <c r="G139" s="25">
        <v>123829</v>
      </c>
      <c r="H139" s="3"/>
    </row>
    <row r="140" spans="1:8" s="4" customFormat="1" ht="12.75">
      <c r="A140" s="94" t="s">
        <v>139</v>
      </c>
      <c r="B140" s="10"/>
      <c r="C140" s="6"/>
      <c r="D140" s="42"/>
      <c r="E140" s="42"/>
      <c r="F140" s="42"/>
      <c r="G140" s="42"/>
      <c r="H140" s="3"/>
    </row>
    <row r="141" spans="1:8" s="4" customFormat="1" ht="25.5">
      <c r="A141" s="95"/>
      <c r="B141" s="8" t="s">
        <v>182</v>
      </c>
      <c r="C141" s="6" t="s">
        <v>122</v>
      </c>
      <c r="D141" s="41">
        <f>E141+F141+G141</f>
        <v>181.109</v>
      </c>
      <c r="E141" s="9">
        <f>114.801+66.308</f>
        <v>181.109</v>
      </c>
      <c r="F141" s="42"/>
      <c r="G141" s="42"/>
      <c r="H141" s="3"/>
    </row>
    <row r="142" spans="1:8" s="4" customFormat="1" ht="12.75">
      <c r="A142" s="93" t="s">
        <v>100</v>
      </c>
      <c r="B142" s="93"/>
      <c r="C142" s="93"/>
      <c r="D142" s="93"/>
      <c r="E142" s="93"/>
      <c r="F142" s="93"/>
      <c r="G142" s="93"/>
      <c r="H142" s="3"/>
    </row>
    <row r="143" spans="1:8" s="4" customFormat="1" ht="12.75">
      <c r="A143" s="119" t="s">
        <v>71</v>
      </c>
      <c r="B143" s="10"/>
      <c r="C143" s="3"/>
      <c r="D143" s="3"/>
      <c r="E143" s="3"/>
      <c r="F143" s="3"/>
      <c r="G143" s="3"/>
      <c r="H143" s="3"/>
    </row>
    <row r="144" spans="1:8" s="4" customFormat="1" ht="25.5">
      <c r="A144" s="119"/>
      <c r="B144" s="10" t="s">
        <v>37</v>
      </c>
      <c r="C144" s="6" t="s">
        <v>24</v>
      </c>
      <c r="D144" s="19">
        <f>E144+F144+G144</f>
        <v>165747.41999999998</v>
      </c>
      <c r="E144" s="19">
        <v>54600</v>
      </c>
      <c r="F144" s="19">
        <v>55573.71</v>
      </c>
      <c r="G144" s="19">
        <v>55573.71</v>
      </c>
      <c r="H144" s="3"/>
    </row>
    <row r="145" spans="1:8" s="4" customFormat="1" ht="12.75">
      <c r="A145" s="119"/>
      <c r="B145" s="121" t="s">
        <v>48</v>
      </c>
      <c r="C145" s="6" t="s">
        <v>54</v>
      </c>
      <c r="D145" s="6">
        <f>E145+F145+G145</f>
        <v>60.637</v>
      </c>
      <c r="E145" s="9">
        <v>16.513</v>
      </c>
      <c r="F145" s="9">
        <v>22.062</v>
      </c>
      <c r="G145" s="9">
        <v>22.062</v>
      </c>
      <c r="H145" s="3"/>
    </row>
    <row r="146" spans="1:8" s="4" customFormat="1" ht="12.75">
      <c r="A146" s="119"/>
      <c r="B146" s="122"/>
      <c r="C146" s="6" t="s">
        <v>255</v>
      </c>
      <c r="D146" s="6">
        <f>E146+F146+G146</f>
        <v>121.156</v>
      </c>
      <c r="E146" s="9">
        <v>121.156</v>
      </c>
      <c r="F146" s="18"/>
      <c r="G146" s="18"/>
      <c r="H146" s="3"/>
    </row>
    <row r="147" spans="1:8" s="4" customFormat="1" ht="12.75">
      <c r="A147" s="96" t="s">
        <v>81</v>
      </c>
      <c r="B147" s="8"/>
      <c r="C147" s="6"/>
      <c r="D147" s="6"/>
      <c r="E147" s="18"/>
      <c r="F147" s="18"/>
      <c r="G147" s="18"/>
      <c r="H147" s="3"/>
    </row>
    <row r="148" spans="1:8" s="4" customFormat="1" ht="25.5">
      <c r="A148" s="97"/>
      <c r="B148" s="10" t="s">
        <v>26</v>
      </c>
      <c r="C148" s="6" t="s">
        <v>24</v>
      </c>
      <c r="D148" s="49">
        <f>E148+F148+G148</f>
        <v>804</v>
      </c>
      <c r="E148" s="49">
        <v>268</v>
      </c>
      <c r="F148" s="49">
        <v>268</v>
      </c>
      <c r="G148" s="49">
        <v>268</v>
      </c>
      <c r="H148" s="3"/>
    </row>
    <row r="149" spans="1:8" s="4" customFormat="1" ht="38.25">
      <c r="A149" s="97"/>
      <c r="B149" s="21" t="s">
        <v>196</v>
      </c>
      <c r="C149" s="33" t="s">
        <v>24</v>
      </c>
      <c r="D149" s="33">
        <f>E149+F149+G149</f>
        <v>302.46</v>
      </c>
      <c r="E149" s="71">
        <v>100.82</v>
      </c>
      <c r="F149" s="71">
        <v>100.82</v>
      </c>
      <c r="G149" s="71">
        <v>100.82</v>
      </c>
      <c r="H149" s="3"/>
    </row>
    <row r="150" spans="1:8" s="4" customFormat="1" ht="25.5">
      <c r="A150" s="97"/>
      <c r="B150" s="10" t="s">
        <v>229</v>
      </c>
      <c r="C150" s="6" t="s">
        <v>24</v>
      </c>
      <c r="D150" s="6">
        <f aca="true" t="shared" si="2" ref="D150:D155">E150+F150+G150</f>
        <v>2894.6200000000003</v>
      </c>
      <c r="E150" s="19">
        <v>1078.94</v>
      </c>
      <c r="F150" s="19">
        <v>907.84</v>
      </c>
      <c r="G150" s="19">
        <v>907.84</v>
      </c>
      <c r="H150" s="3"/>
    </row>
    <row r="151" spans="1:8" s="4" customFormat="1" ht="38.25">
      <c r="A151" s="97"/>
      <c r="B151" s="21" t="s">
        <v>196</v>
      </c>
      <c r="C151" s="33" t="s">
        <v>24</v>
      </c>
      <c r="D151" s="72">
        <f t="shared" si="2"/>
        <v>570</v>
      </c>
      <c r="E151" s="72">
        <v>190</v>
      </c>
      <c r="F151" s="72">
        <v>190</v>
      </c>
      <c r="G151" s="72">
        <v>190</v>
      </c>
      <c r="H151" s="3"/>
    </row>
    <row r="152" spans="1:8" s="4" customFormat="1" ht="38.25">
      <c r="A152" s="97"/>
      <c r="B152" s="10" t="s">
        <v>230</v>
      </c>
      <c r="C152" s="6" t="s">
        <v>52</v>
      </c>
      <c r="D152" s="6">
        <f t="shared" si="2"/>
        <v>202</v>
      </c>
      <c r="E152" s="18">
        <v>122</v>
      </c>
      <c r="F152" s="18">
        <v>40</v>
      </c>
      <c r="G152" s="18">
        <v>40</v>
      </c>
      <c r="H152" s="3"/>
    </row>
    <row r="153" spans="1:8" s="4" customFormat="1" ht="25.5">
      <c r="A153" s="97"/>
      <c r="B153" s="10" t="s">
        <v>39</v>
      </c>
      <c r="C153" s="6" t="s">
        <v>24</v>
      </c>
      <c r="D153" s="6">
        <f t="shared" si="2"/>
        <v>1383.219</v>
      </c>
      <c r="E153" s="9">
        <v>461.073</v>
      </c>
      <c r="F153" s="9">
        <v>461.073</v>
      </c>
      <c r="G153" s="9">
        <v>461.073</v>
      </c>
      <c r="H153" s="3"/>
    </row>
    <row r="154" spans="1:8" s="4" customFormat="1" ht="25.5">
      <c r="A154" s="97"/>
      <c r="B154" s="10" t="s">
        <v>231</v>
      </c>
      <c r="C154" s="6" t="s">
        <v>52</v>
      </c>
      <c r="D154" s="6">
        <f t="shared" si="2"/>
        <v>31</v>
      </c>
      <c r="E154" s="18">
        <v>27</v>
      </c>
      <c r="F154" s="18">
        <v>2</v>
      </c>
      <c r="G154" s="18">
        <v>2</v>
      </c>
      <c r="H154" s="3"/>
    </row>
    <row r="155" spans="1:8" s="4" customFormat="1" ht="38.25">
      <c r="A155" s="98"/>
      <c r="B155" s="21" t="s">
        <v>196</v>
      </c>
      <c r="C155" s="33" t="s">
        <v>52</v>
      </c>
      <c r="D155" s="33">
        <f t="shared" si="2"/>
        <v>31</v>
      </c>
      <c r="E155" s="62">
        <v>27</v>
      </c>
      <c r="F155" s="62">
        <v>2</v>
      </c>
      <c r="G155" s="62">
        <v>2</v>
      </c>
      <c r="H155" s="3"/>
    </row>
    <row r="156" spans="1:8" s="4" customFormat="1" ht="12.75">
      <c r="A156" s="119" t="s">
        <v>90</v>
      </c>
      <c r="B156" s="8"/>
      <c r="C156" s="3"/>
      <c r="D156" s="3"/>
      <c r="E156" s="3"/>
      <c r="F156" s="3"/>
      <c r="G156" s="3"/>
      <c r="H156" s="3"/>
    </row>
    <row r="157" spans="1:8" s="4" customFormat="1" ht="25.5">
      <c r="A157" s="119"/>
      <c r="B157" s="10" t="s">
        <v>33</v>
      </c>
      <c r="C157" s="6" t="s">
        <v>57</v>
      </c>
      <c r="D157" s="6">
        <f>E157+F157+G157</f>
        <v>216</v>
      </c>
      <c r="E157" s="6">
        <v>72</v>
      </c>
      <c r="F157" s="6">
        <v>72</v>
      </c>
      <c r="G157" s="6">
        <v>72</v>
      </c>
      <c r="H157" s="3"/>
    </row>
    <row r="158" spans="1:8" s="4" customFormat="1" ht="12.75">
      <c r="A158" s="119"/>
      <c r="B158" s="10" t="s">
        <v>140</v>
      </c>
      <c r="C158" s="6" t="s">
        <v>58</v>
      </c>
      <c r="D158" s="6">
        <f>E158+F158+G158</f>
        <v>777.597</v>
      </c>
      <c r="E158" s="6">
        <v>259.199</v>
      </c>
      <c r="F158" s="6">
        <v>259.199</v>
      </c>
      <c r="G158" s="6">
        <v>259.199</v>
      </c>
      <c r="H158" s="3"/>
    </row>
    <row r="159" spans="1:8" s="4" customFormat="1" ht="25.5">
      <c r="A159" s="119"/>
      <c r="B159" s="10" t="s">
        <v>141</v>
      </c>
      <c r="C159" s="6" t="s">
        <v>24</v>
      </c>
      <c r="D159" s="6">
        <f>E159+F159+G159</f>
        <v>724250.13</v>
      </c>
      <c r="E159" s="6">
        <v>241416.71</v>
      </c>
      <c r="F159" s="6">
        <v>241416.71</v>
      </c>
      <c r="G159" s="6">
        <v>241416.71</v>
      </c>
      <c r="H159" s="3"/>
    </row>
    <row r="160" spans="1:8" s="4" customFormat="1" ht="12.75">
      <c r="A160" s="92" t="s">
        <v>131</v>
      </c>
      <c r="B160" s="10"/>
      <c r="C160" s="6"/>
      <c r="D160" s="6"/>
      <c r="E160" s="6"/>
      <c r="F160" s="6"/>
      <c r="G160" s="6"/>
      <c r="H160" s="3"/>
    </row>
    <row r="161" spans="1:8" s="4" customFormat="1" ht="25.5">
      <c r="A161" s="92"/>
      <c r="B161" s="8" t="s">
        <v>182</v>
      </c>
      <c r="C161" s="6" t="s">
        <v>122</v>
      </c>
      <c r="D161" s="6">
        <f>E161</f>
        <v>719.3100000000001</v>
      </c>
      <c r="E161" s="9">
        <f>652.71+66.6</f>
        <v>719.3100000000001</v>
      </c>
      <c r="F161" s="6"/>
      <c r="G161" s="6"/>
      <c r="H161" s="3"/>
    </row>
    <row r="162" spans="1:8" s="4" customFormat="1" ht="12.75">
      <c r="A162" s="93" t="s">
        <v>101</v>
      </c>
      <c r="B162" s="93"/>
      <c r="C162" s="93"/>
      <c r="D162" s="93"/>
      <c r="E162" s="93"/>
      <c r="F162" s="93"/>
      <c r="G162" s="93"/>
      <c r="H162" s="3"/>
    </row>
    <row r="163" spans="1:8" s="4" customFormat="1" ht="12.75">
      <c r="A163" s="96" t="s">
        <v>71</v>
      </c>
      <c r="B163" s="10"/>
      <c r="C163" s="3"/>
      <c r="D163" s="3"/>
      <c r="E163" s="3"/>
      <c r="F163" s="3"/>
      <c r="G163" s="3"/>
      <c r="H163" s="3"/>
    </row>
    <row r="164" spans="1:8" s="4" customFormat="1" ht="25.5">
      <c r="A164" s="97"/>
      <c r="B164" s="10" t="s">
        <v>37</v>
      </c>
      <c r="C164" s="6" t="s">
        <v>24</v>
      </c>
      <c r="D164" s="18">
        <f>E164+F164+G164</f>
        <v>121889.25</v>
      </c>
      <c r="E164" s="19">
        <v>36889.25</v>
      </c>
      <c r="F164" s="18">
        <v>40000</v>
      </c>
      <c r="G164" s="18">
        <v>45000</v>
      </c>
      <c r="H164" s="3"/>
    </row>
    <row r="165" spans="1:8" s="4" customFormat="1" ht="38.25">
      <c r="A165" s="97"/>
      <c r="B165" s="21" t="s">
        <v>196</v>
      </c>
      <c r="C165" s="33" t="s">
        <v>24</v>
      </c>
      <c r="D165" s="71">
        <f>E165+F165+G165</f>
        <v>360.215</v>
      </c>
      <c r="E165" s="33">
        <v>360.215</v>
      </c>
      <c r="F165" s="33">
        <v>0</v>
      </c>
      <c r="G165" s="33">
        <v>0</v>
      </c>
      <c r="H165" s="3"/>
    </row>
    <row r="166" spans="1:8" s="4" customFormat="1" ht="25.5">
      <c r="A166" s="97"/>
      <c r="B166" s="10" t="s">
        <v>48</v>
      </c>
      <c r="C166" s="6" t="s">
        <v>24</v>
      </c>
      <c r="D166" s="6">
        <f>E166+F166+G166</f>
        <v>710000</v>
      </c>
      <c r="E166" s="6">
        <v>210000</v>
      </c>
      <c r="F166" s="6">
        <v>250000</v>
      </c>
      <c r="G166" s="6">
        <v>250000</v>
      </c>
      <c r="H166" s="3"/>
    </row>
    <row r="167" spans="1:8" s="4" customFormat="1" ht="25.5">
      <c r="A167" s="97"/>
      <c r="B167" s="10" t="s">
        <v>129</v>
      </c>
      <c r="C167" s="6" t="s">
        <v>52</v>
      </c>
      <c r="D167" s="6">
        <f>E167+F167+G167</f>
        <v>21</v>
      </c>
      <c r="E167" s="6">
        <v>7</v>
      </c>
      <c r="F167" s="6">
        <v>7</v>
      </c>
      <c r="G167" s="6">
        <v>7</v>
      </c>
      <c r="H167" s="3"/>
    </row>
    <row r="168" spans="1:8" s="4" customFormat="1" ht="25.5">
      <c r="A168" s="98"/>
      <c r="B168" s="10" t="s">
        <v>165</v>
      </c>
      <c r="C168" s="3" t="s">
        <v>52</v>
      </c>
      <c r="D168" s="25">
        <f>E168+F168+G168</f>
        <v>3</v>
      </c>
      <c r="E168" s="3">
        <v>1</v>
      </c>
      <c r="F168" s="3">
        <v>1</v>
      </c>
      <c r="G168" s="3">
        <v>1</v>
      </c>
      <c r="H168" s="3"/>
    </row>
    <row r="169" spans="1:8" s="4" customFormat="1" ht="12.75">
      <c r="A169" s="96" t="s">
        <v>164</v>
      </c>
      <c r="B169" s="10"/>
      <c r="C169" s="3"/>
      <c r="D169" s="25"/>
      <c r="E169" s="3"/>
      <c r="F169" s="3"/>
      <c r="G169" s="3"/>
      <c r="H169" s="3"/>
    </row>
    <row r="170" spans="1:8" s="4" customFormat="1" ht="25.5">
      <c r="A170" s="98"/>
      <c r="B170" s="10" t="s">
        <v>166</v>
      </c>
      <c r="C170" s="3" t="s">
        <v>59</v>
      </c>
      <c r="D170" s="44">
        <f>E170+F170+G170</f>
        <v>48000</v>
      </c>
      <c r="E170" s="3">
        <v>16000</v>
      </c>
      <c r="F170" s="3">
        <v>16000</v>
      </c>
      <c r="G170" s="3">
        <v>16000</v>
      </c>
      <c r="H170" s="3"/>
    </row>
    <row r="171" spans="1:8" s="4" customFormat="1" ht="12.75">
      <c r="A171" s="119" t="s">
        <v>72</v>
      </c>
      <c r="B171" s="10"/>
      <c r="C171" s="3"/>
      <c r="D171" s="3"/>
      <c r="E171" s="3"/>
      <c r="F171" s="3"/>
      <c r="G171" s="3"/>
      <c r="H171" s="3"/>
    </row>
    <row r="172" spans="1:8" s="4" customFormat="1" ht="12.75">
      <c r="A172" s="119"/>
      <c r="B172" s="10" t="s">
        <v>137</v>
      </c>
      <c r="C172" s="6" t="s">
        <v>53</v>
      </c>
      <c r="D172" s="9">
        <f>E172+F172+G172</f>
        <v>10818</v>
      </c>
      <c r="E172" s="18">
        <v>3606</v>
      </c>
      <c r="F172" s="18">
        <v>3606</v>
      </c>
      <c r="G172" s="18">
        <v>3606</v>
      </c>
      <c r="H172" s="3"/>
    </row>
    <row r="173" spans="1:8" s="4" customFormat="1" ht="12.75">
      <c r="A173" s="119" t="s">
        <v>81</v>
      </c>
      <c r="B173" s="10"/>
      <c r="C173" s="3"/>
      <c r="D173" s="3"/>
      <c r="E173" s="3"/>
      <c r="F173" s="3"/>
      <c r="G173" s="3"/>
      <c r="H173" s="3"/>
    </row>
    <row r="174" spans="1:8" s="4" customFormat="1" ht="12.75">
      <c r="A174" s="119"/>
      <c r="B174" s="54" t="s">
        <v>246</v>
      </c>
      <c r="C174" s="6" t="s">
        <v>56</v>
      </c>
      <c r="D174" s="6">
        <f>E174+F174+G174</f>
        <v>75.83</v>
      </c>
      <c r="E174" s="6">
        <v>10.83</v>
      </c>
      <c r="F174" s="49">
        <v>25</v>
      </c>
      <c r="G174" s="49">
        <v>40</v>
      </c>
      <c r="H174" s="3"/>
    </row>
    <row r="175" spans="1:8" s="4" customFormat="1" ht="24">
      <c r="A175" s="119"/>
      <c r="B175" s="54" t="s">
        <v>247</v>
      </c>
      <c r="C175" s="6" t="s">
        <v>24</v>
      </c>
      <c r="D175" s="6">
        <f>E175+F175+G175</f>
        <v>256.83</v>
      </c>
      <c r="E175" s="6">
        <v>81.83</v>
      </c>
      <c r="F175" s="49">
        <v>85</v>
      </c>
      <c r="G175" s="49">
        <v>90</v>
      </c>
      <c r="H175" s="3"/>
    </row>
    <row r="176" spans="1:8" s="4" customFormat="1" ht="25.5">
      <c r="A176" s="119"/>
      <c r="B176" s="10" t="s">
        <v>231</v>
      </c>
      <c r="C176" s="6" t="s">
        <v>52</v>
      </c>
      <c r="D176" s="25">
        <f>E176+F176+G176</f>
        <v>190</v>
      </c>
      <c r="E176" s="6">
        <v>40</v>
      </c>
      <c r="F176" s="25">
        <v>60</v>
      </c>
      <c r="G176" s="25">
        <v>90</v>
      </c>
      <c r="H176" s="3"/>
    </row>
    <row r="177" spans="1:8" s="4" customFormat="1" ht="38.25">
      <c r="A177" s="119"/>
      <c r="B177" s="10" t="s">
        <v>232</v>
      </c>
      <c r="C177" s="6" t="s">
        <v>24</v>
      </c>
      <c r="D177" s="41">
        <f>E177+F177+G177</f>
        <v>4898.499</v>
      </c>
      <c r="E177" s="6">
        <v>1598.499</v>
      </c>
      <c r="F177" s="49">
        <v>1600</v>
      </c>
      <c r="G177" s="49">
        <v>1700</v>
      </c>
      <c r="H177" s="3"/>
    </row>
    <row r="178" spans="1:8" s="4" customFormat="1" ht="12.75">
      <c r="A178" s="119" t="s">
        <v>90</v>
      </c>
      <c r="B178" s="10"/>
      <c r="C178" s="3"/>
      <c r="D178" s="3"/>
      <c r="E178" s="3"/>
      <c r="F178" s="3"/>
      <c r="G178" s="3"/>
      <c r="H178" s="3"/>
    </row>
    <row r="179" spans="1:8" s="4" customFormat="1" ht="25.5">
      <c r="A179" s="119"/>
      <c r="B179" s="10" t="s">
        <v>33</v>
      </c>
      <c r="C179" s="6" t="s">
        <v>57</v>
      </c>
      <c r="D179" s="6">
        <f>E179+F179+G179</f>
        <v>150</v>
      </c>
      <c r="E179" s="6">
        <v>50</v>
      </c>
      <c r="F179" s="6">
        <v>50</v>
      </c>
      <c r="G179" s="6">
        <v>50</v>
      </c>
      <c r="H179" s="3"/>
    </row>
    <row r="180" spans="1:8" s="4" customFormat="1" ht="12.75">
      <c r="A180" s="119"/>
      <c r="B180" s="10" t="s">
        <v>34</v>
      </c>
      <c r="C180" s="6" t="s">
        <v>58</v>
      </c>
      <c r="D180" s="6">
        <f>E180+F180+G180</f>
        <v>528.588</v>
      </c>
      <c r="E180" s="6">
        <v>168.588</v>
      </c>
      <c r="F180" s="6">
        <v>170</v>
      </c>
      <c r="G180" s="6">
        <v>190</v>
      </c>
      <c r="H180" s="3"/>
    </row>
    <row r="181" spans="1:8" s="4" customFormat="1" ht="12.75">
      <c r="A181" s="92" t="s">
        <v>89</v>
      </c>
      <c r="B181" s="10"/>
      <c r="C181" s="6"/>
      <c r="D181" s="6"/>
      <c r="E181" s="6"/>
      <c r="F181" s="6"/>
      <c r="G181" s="6"/>
      <c r="H181" s="3"/>
    </row>
    <row r="182" spans="1:8" s="4" customFormat="1" ht="25.5">
      <c r="A182" s="92"/>
      <c r="B182" s="10" t="s">
        <v>233</v>
      </c>
      <c r="C182" s="6" t="s">
        <v>52</v>
      </c>
      <c r="D182" s="6">
        <f>E182+F182+G182</f>
        <v>3800</v>
      </c>
      <c r="E182" s="6">
        <v>3800</v>
      </c>
      <c r="F182" s="6"/>
      <c r="G182" s="6"/>
      <c r="H182" s="3"/>
    </row>
    <row r="183" spans="1:8" s="4" customFormat="1" ht="25.5">
      <c r="A183" s="92"/>
      <c r="B183" s="10" t="s">
        <v>254</v>
      </c>
      <c r="C183" s="6" t="s">
        <v>52</v>
      </c>
      <c r="D183" s="6">
        <f>E183+F183+G183</f>
        <v>1</v>
      </c>
      <c r="E183" s="6">
        <v>1</v>
      </c>
      <c r="F183" s="6"/>
      <c r="G183" s="6"/>
      <c r="H183" s="3"/>
    </row>
    <row r="184" spans="1:8" s="4" customFormat="1" ht="12.75">
      <c r="A184" s="96" t="s">
        <v>88</v>
      </c>
      <c r="B184" s="10"/>
      <c r="C184" s="6"/>
      <c r="D184" s="6"/>
      <c r="E184" s="6"/>
      <c r="F184" s="6"/>
      <c r="G184" s="6"/>
      <c r="H184" s="3"/>
    </row>
    <row r="185" spans="1:8" s="4" customFormat="1" ht="25.5">
      <c r="A185" s="98"/>
      <c r="B185" s="8" t="s">
        <v>194</v>
      </c>
      <c r="C185" s="6" t="s">
        <v>52</v>
      </c>
      <c r="D185" s="6">
        <f>E185+F185+G185</f>
        <v>1</v>
      </c>
      <c r="E185" s="6">
        <v>1</v>
      </c>
      <c r="F185" s="6"/>
      <c r="G185" s="6"/>
      <c r="H185" s="3"/>
    </row>
    <row r="186" spans="1:8" s="4" customFormat="1" ht="12.75">
      <c r="A186" s="92" t="s">
        <v>131</v>
      </c>
      <c r="B186" s="10"/>
      <c r="C186" s="6"/>
      <c r="D186" s="6"/>
      <c r="E186" s="6"/>
      <c r="F186" s="6"/>
      <c r="G186" s="6"/>
      <c r="H186" s="3"/>
    </row>
    <row r="187" spans="1:8" s="4" customFormat="1" ht="25.5">
      <c r="A187" s="92"/>
      <c r="B187" s="8" t="s">
        <v>182</v>
      </c>
      <c r="C187" s="6" t="s">
        <v>122</v>
      </c>
      <c r="D187" s="9">
        <f>E187</f>
        <v>417.214</v>
      </c>
      <c r="E187" s="9">
        <f>400.528+16.686</f>
        <v>417.214</v>
      </c>
      <c r="F187" s="6"/>
      <c r="G187" s="6"/>
      <c r="H187" s="3"/>
    </row>
    <row r="188" spans="1:8" s="4" customFormat="1" ht="38.25">
      <c r="A188" s="92"/>
      <c r="B188" s="21" t="s">
        <v>196</v>
      </c>
      <c r="C188" s="33" t="s">
        <v>122</v>
      </c>
      <c r="D188" s="43">
        <f>E188</f>
        <v>9.33</v>
      </c>
      <c r="E188" s="22">
        <v>9.33</v>
      </c>
      <c r="F188" s="33"/>
      <c r="G188" s="33"/>
      <c r="H188" s="3"/>
    </row>
    <row r="189" spans="1:8" s="4" customFormat="1" ht="12.75">
      <c r="A189" s="93" t="s">
        <v>102</v>
      </c>
      <c r="B189" s="93"/>
      <c r="C189" s="93"/>
      <c r="D189" s="93"/>
      <c r="E189" s="93"/>
      <c r="F189" s="93"/>
      <c r="G189" s="93"/>
      <c r="H189" s="3"/>
    </row>
    <row r="190" spans="1:8" s="4" customFormat="1" ht="12.75">
      <c r="A190" s="96" t="s">
        <v>71</v>
      </c>
      <c r="B190" s="10"/>
      <c r="C190" s="3"/>
      <c r="D190" s="3"/>
      <c r="E190" s="3"/>
      <c r="F190" s="3"/>
      <c r="G190" s="3"/>
      <c r="H190" s="3"/>
    </row>
    <row r="191" spans="1:8" s="4" customFormat="1" ht="25.5">
      <c r="A191" s="97"/>
      <c r="B191" s="8" t="s">
        <v>37</v>
      </c>
      <c r="C191" s="6" t="s">
        <v>24</v>
      </c>
      <c r="D191" s="25">
        <f>E191+F191+G191</f>
        <v>96510.33</v>
      </c>
      <c r="E191" s="73">
        <v>14683.058</v>
      </c>
      <c r="F191" s="73">
        <v>40913.636</v>
      </c>
      <c r="G191" s="73">
        <v>40913.636</v>
      </c>
      <c r="H191" s="3"/>
    </row>
    <row r="192" spans="1:8" s="4" customFormat="1" ht="12.75">
      <c r="A192" s="97"/>
      <c r="B192" s="120" t="s">
        <v>162</v>
      </c>
      <c r="C192" s="6" t="s">
        <v>54</v>
      </c>
      <c r="D192" s="6">
        <f>E192+F192+G192</f>
        <v>88.005</v>
      </c>
      <c r="E192" s="6">
        <v>18.005</v>
      </c>
      <c r="F192" s="6">
        <v>35</v>
      </c>
      <c r="G192" s="6">
        <v>35</v>
      </c>
      <c r="H192" s="3"/>
    </row>
    <row r="193" spans="1:8" s="4" customFormat="1" ht="12.75">
      <c r="A193" s="97"/>
      <c r="B193" s="120"/>
      <c r="C193" s="6" t="s">
        <v>52</v>
      </c>
      <c r="D193" s="6">
        <f>E193+F193+G193</f>
        <v>65</v>
      </c>
      <c r="E193" s="74">
        <v>5</v>
      </c>
      <c r="F193" s="74">
        <v>30</v>
      </c>
      <c r="G193" s="74">
        <v>30</v>
      </c>
      <c r="H193" s="3"/>
    </row>
    <row r="194" spans="1:8" s="4" customFormat="1" ht="12.75">
      <c r="A194" s="97"/>
      <c r="B194" s="10" t="s">
        <v>38</v>
      </c>
      <c r="C194" s="6" t="s">
        <v>52</v>
      </c>
      <c r="D194" s="6">
        <f>E194+F194+G194</f>
        <v>11</v>
      </c>
      <c r="E194" s="75">
        <v>3</v>
      </c>
      <c r="F194" s="75">
        <v>4</v>
      </c>
      <c r="G194" s="75">
        <v>4</v>
      </c>
      <c r="H194" s="3"/>
    </row>
    <row r="195" spans="1:8" s="4" customFormat="1" ht="12.75">
      <c r="A195" s="119" t="s">
        <v>81</v>
      </c>
      <c r="B195" s="8"/>
      <c r="C195" s="3"/>
      <c r="D195" s="3"/>
      <c r="E195" s="3"/>
      <c r="F195" s="3"/>
      <c r="G195" s="3"/>
      <c r="H195" s="3"/>
    </row>
    <row r="196" spans="1:8" s="4" customFormat="1" ht="38.25">
      <c r="A196" s="119"/>
      <c r="B196" s="10" t="s">
        <v>47</v>
      </c>
      <c r="C196" s="6" t="s">
        <v>52</v>
      </c>
      <c r="D196" s="6">
        <f>E196+F196+G196</f>
        <v>256</v>
      </c>
      <c r="E196" s="75">
        <v>158</v>
      </c>
      <c r="F196" s="75">
        <v>49</v>
      </c>
      <c r="G196" s="75">
        <v>49</v>
      </c>
      <c r="H196" s="3"/>
    </row>
    <row r="197" spans="1:8" s="4" customFormat="1" ht="25.5">
      <c r="A197" s="119"/>
      <c r="B197" s="10" t="s">
        <v>197</v>
      </c>
      <c r="C197" s="6" t="s">
        <v>24</v>
      </c>
      <c r="D197" s="25">
        <f>E197+F197+G197</f>
        <v>5445</v>
      </c>
      <c r="E197" s="25">
        <v>1815</v>
      </c>
      <c r="F197" s="25">
        <v>1815</v>
      </c>
      <c r="G197" s="25">
        <v>1815</v>
      </c>
      <c r="H197" s="3"/>
    </row>
    <row r="198" spans="1:8" s="4" customFormat="1" ht="25.5">
      <c r="A198" s="119"/>
      <c r="B198" s="10" t="s">
        <v>39</v>
      </c>
      <c r="C198" s="75" t="s">
        <v>24</v>
      </c>
      <c r="D198" s="6">
        <f>E198+F198+G198</f>
        <v>7248.968</v>
      </c>
      <c r="E198" s="75">
        <v>2946.906</v>
      </c>
      <c r="F198" s="75">
        <v>2151.031</v>
      </c>
      <c r="G198" s="75">
        <v>2151.031</v>
      </c>
      <c r="H198" s="3"/>
    </row>
    <row r="199" spans="1:8" s="4" customFormat="1" ht="12.75">
      <c r="A199" s="119" t="s">
        <v>90</v>
      </c>
      <c r="B199" s="8"/>
      <c r="C199" s="3"/>
      <c r="D199" s="3"/>
      <c r="E199" s="3"/>
      <c r="F199" s="3"/>
      <c r="G199" s="3"/>
      <c r="H199" s="3"/>
    </row>
    <row r="200" spans="1:8" s="4" customFormat="1" ht="25.5">
      <c r="A200" s="119"/>
      <c r="B200" s="10" t="s">
        <v>33</v>
      </c>
      <c r="C200" s="6" t="s">
        <v>57</v>
      </c>
      <c r="D200" s="6">
        <f>E200+F200+G200</f>
        <v>1136</v>
      </c>
      <c r="E200" s="75">
        <v>536</v>
      </c>
      <c r="F200" s="75">
        <v>300</v>
      </c>
      <c r="G200" s="75">
        <v>300</v>
      </c>
      <c r="H200" s="3"/>
    </row>
    <row r="201" spans="1:8" s="4" customFormat="1" ht="25.5">
      <c r="A201" s="119"/>
      <c r="B201" s="10" t="s">
        <v>141</v>
      </c>
      <c r="C201" s="75" t="s">
        <v>24</v>
      </c>
      <c r="D201" s="6">
        <f>E201+F201+G201</f>
        <v>130495.041</v>
      </c>
      <c r="E201" s="75">
        <v>43498.347</v>
      </c>
      <c r="F201" s="75">
        <v>43498.347</v>
      </c>
      <c r="G201" s="75">
        <v>43498.347</v>
      </c>
      <c r="H201" s="3"/>
    </row>
    <row r="202" spans="1:8" s="4" customFormat="1" ht="38.25">
      <c r="A202" s="119"/>
      <c r="B202" s="10" t="s">
        <v>142</v>
      </c>
      <c r="C202" s="6" t="s">
        <v>58</v>
      </c>
      <c r="D202" s="6">
        <f>E202+F202+G202</f>
        <v>715.308</v>
      </c>
      <c r="E202" s="75">
        <v>238.436</v>
      </c>
      <c r="F202" s="75">
        <v>238.436</v>
      </c>
      <c r="G202" s="75">
        <v>238.436</v>
      </c>
      <c r="H202" s="3"/>
    </row>
    <row r="203" spans="1:8" s="4" customFormat="1" ht="12.75">
      <c r="A203" s="96" t="s">
        <v>89</v>
      </c>
      <c r="B203" s="10"/>
      <c r="C203" s="6"/>
      <c r="D203" s="6"/>
      <c r="E203" s="75"/>
      <c r="F203" s="75"/>
      <c r="G203" s="75"/>
      <c r="H203" s="3"/>
    </row>
    <row r="204" spans="1:8" s="4" customFormat="1" ht="25.5">
      <c r="A204" s="98"/>
      <c r="B204" s="10" t="s">
        <v>234</v>
      </c>
      <c r="C204" s="6" t="s">
        <v>219</v>
      </c>
      <c r="D204" s="6">
        <f>E204+F204+G204</f>
        <v>36.882</v>
      </c>
      <c r="E204" s="75">
        <v>14.902</v>
      </c>
      <c r="F204" s="75">
        <v>10.99</v>
      </c>
      <c r="G204" s="75">
        <v>10.99</v>
      </c>
      <c r="H204" s="3"/>
    </row>
    <row r="205" spans="1:8" s="4" customFormat="1" ht="12.75">
      <c r="A205" s="92" t="s">
        <v>131</v>
      </c>
      <c r="B205" s="10"/>
      <c r="C205" s="6"/>
      <c r="D205" s="6"/>
      <c r="E205" s="6"/>
      <c r="F205" s="6"/>
      <c r="G205" s="6"/>
      <c r="H205" s="3"/>
    </row>
    <row r="206" spans="1:8" s="4" customFormat="1" ht="25.5">
      <c r="A206" s="92"/>
      <c r="B206" s="8" t="s">
        <v>182</v>
      </c>
      <c r="C206" s="6" t="s">
        <v>122</v>
      </c>
      <c r="D206" s="6">
        <f>E206</f>
        <v>424.153</v>
      </c>
      <c r="E206" s="9">
        <f>392.095+32.058</f>
        <v>424.153</v>
      </c>
      <c r="F206" s="6"/>
      <c r="G206" s="6"/>
      <c r="H206" s="3"/>
    </row>
    <row r="207" spans="1:8" s="4" customFormat="1" ht="12.75">
      <c r="A207" s="93" t="s">
        <v>103</v>
      </c>
      <c r="B207" s="93"/>
      <c r="C207" s="93"/>
      <c r="D207" s="93"/>
      <c r="E207" s="93"/>
      <c r="F207" s="93"/>
      <c r="G207" s="93"/>
      <c r="H207" s="3"/>
    </row>
    <row r="208" spans="1:8" s="4" customFormat="1" ht="12.75">
      <c r="A208" s="96" t="s">
        <v>71</v>
      </c>
      <c r="B208" s="8"/>
      <c r="C208" s="3"/>
      <c r="D208" s="3"/>
      <c r="E208" s="3"/>
      <c r="F208" s="3"/>
      <c r="G208" s="3"/>
      <c r="H208" s="3"/>
    </row>
    <row r="209" spans="1:8" s="4" customFormat="1" ht="25.5">
      <c r="A209" s="97"/>
      <c r="B209" s="10" t="s">
        <v>37</v>
      </c>
      <c r="C209" s="3" t="s">
        <v>24</v>
      </c>
      <c r="D209" s="6">
        <f>E209+F209+G209</f>
        <v>2509.92</v>
      </c>
      <c r="E209" s="3">
        <v>836.64</v>
      </c>
      <c r="F209" s="3">
        <v>836.64</v>
      </c>
      <c r="G209" s="3">
        <v>836.64</v>
      </c>
      <c r="H209" s="3"/>
    </row>
    <row r="210" spans="1:8" s="4" customFormat="1" ht="12.75">
      <c r="A210" s="97"/>
      <c r="B210" s="10" t="s">
        <v>38</v>
      </c>
      <c r="C210" s="6" t="s">
        <v>52</v>
      </c>
      <c r="D210" s="6">
        <f>E210+F210+G210</f>
        <v>12</v>
      </c>
      <c r="E210" s="6">
        <v>4</v>
      </c>
      <c r="F210" s="6">
        <v>4</v>
      </c>
      <c r="G210" s="6">
        <v>4</v>
      </c>
      <c r="H210" s="3"/>
    </row>
    <row r="211" spans="1:8" s="4" customFormat="1" ht="12.75">
      <c r="A211" s="96" t="s">
        <v>81</v>
      </c>
      <c r="B211" s="10"/>
      <c r="C211" s="6"/>
      <c r="D211" s="6"/>
      <c r="E211" s="6"/>
      <c r="F211" s="6"/>
      <c r="G211" s="6"/>
      <c r="H211" s="3"/>
    </row>
    <row r="212" spans="1:8" s="4" customFormat="1" ht="25.5">
      <c r="A212" s="97"/>
      <c r="B212" s="10" t="s">
        <v>31</v>
      </c>
      <c r="C212" s="6" t="s">
        <v>24</v>
      </c>
      <c r="D212" s="6">
        <f>E212+F212+G212</f>
        <v>2499.9900000000002</v>
      </c>
      <c r="E212" s="6">
        <v>833.33</v>
      </c>
      <c r="F212" s="6">
        <v>833.33</v>
      </c>
      <c r="G212" s="6">
        <v>833.33</v>
      </c>
      <c r="H212" s="3"/>
    </row>
    <row r="213" spans="1:8" s="4" customFormat="1" ht="25.5">
      <c r="A213" s="97"/>
      <c r="B213" s="10" t="s">
        <v>32</v>
      </c>
      <c r="C213" s="6" t="s">
        <v>52</v>
      </c>
      <c r="D213" s="6">
        <f>E213+F213+G213</f>
        <v>171</v>
      </c>
      <c r="E213" s="6">
        <v>57</v>
      </c>
      <c r="F213" s="6">
        <v>57</v>
      </c>
      <c r="G213" s="6">
        <v>57</v>
      </c>
      <c r="H213" s="3"/>
    </row>
    <row r="214" spans="1:8" s="4" customFormat="1" ht="25.5">
      <c r="A214" s="97"/>
      <c r="B214" s="10" t="s">
        <v>235</v>
      </c>
      <c r="C214" s="6" t="s">
        <v>24</v>
      </c>
      <c r="D214" s="6">
        <f>E214+F214+G214</f>
        <v>1140</v>
      </c>
      <c r="E214" s="6">
        <v>380</v>
      </c>
      <c r="F214" s="6">
        <v>380</v>
      </c>
      <c r="G214" s="6">
        <v>380</v>
      </c>
      <c r="H214" s="3"/>
    </row>
    <row r="215" spans="1:8" s="4" customFormat="1" ht="12.75">
      <c r="A215" s="119" t="s">
        <v>90</v>
      </c>
      <c r="B215" s="10"/>
      <c r="C215" s="3"/>
      <c r="D215" s="3"/>
      <c r="E215" s="3"/>
      <c r="F215" s="3"/>
      <c r="G215" s="3"/>
      <c r="H215" s="3"/>
    </row>
    <row r="216" spans="1:8" s="4" customFormat="1" ht="25.5">
      <c r="A216" s="119"/>
      <c r="B216" s="10" t="s">
        <v>33</v>
      </c>
      <c r="C216" s="6" t="s">
        <v>57</v>
      </c>
      <c r="D216" s="6">
        <f>E216+F216+G216</f>
        <v>330</v>
      </c>
      <c r="E216" s="6">
        <v>110</v>
      </c>
      <c r="F216" s="6">
        <v>110</v>
      </c>
      <c r="G216" s="6">
        <v>110</v>
      </c>
      <c r="H216" s="3"/>
    </row>
    <row r="217" spans="1:8" s="4" customFormat="1" ht="12.75">
      <c r="A217" s="119"/>
      <c r="B217" s="10" t="s">
        <v>34</v>
      </c>
      <c r="C217" s="6" t="s">
        <v>59</v>
      </c>
      <c r="D217" s="6">
        <f>E217+F217+G217</f>
        <v>1140</v>
      </c>
      <c r="E217" s="6">
        <v>380</v>
      </c>
      <c r="F217" s="6">
        <v>380</v>
      </c>
      <c r="G217" s="6">
        <v>380</v>
      </c>
      <c r="H217" s="3"/>
    </row>
    <row r="218" spans="1:8" s="4" customFormat="1" ht="12.75">
      <c r="A218" s="119" t="s">
        <v>89</v>
      </c>
      <c r="B218" s="10"/>
      <c r="C218" s="3"/>
      <c r="D218" s="3"/>
      <c r="E218" s="3"/>
      <c r="F218" s="3"/>
      <c r="G218" s="3"/>
      <c r="H218" s="3"/>
    </row>
    <row r="219" spans="1:8" s="4" customFormat="1" ht="25.5">
      <c r="A219" s="119"/>
      <c r="B219" s="10" t="s">
        <v>43</v>
      </c>
      <c r="C219" s="6" t="s">
        <v>25</v>
      </c>
      <c r="D219" s="6">
        <f>E219+F219+G219</f>
        <v>45.69</v>
      </c>
      <c r="E219" s="6">
        <v>15.23</v>
      </c>
      <c r="F219" s="6">
        <v>15.23</v>
      </c>
      <c r="G219" s="6">
        <v>15.23</v>
      </c>
      <c r="H219" s="3"/>
    </row>
    <row r="220" spans="1:8" s="4" customFormat="1" ht="12.75">
      <c r="A220" s="96" t="s">
        <v>88</v>
      </c>
      <c r="B220" s="10"/>
      <c r="C220" s="6"/>
      <c r="D220" s="6"/>
      <c r="E220" s="6"/>
      <c r="F220" s="6"/>
      <c r="G220" s="6"/>
      <c r="H220" s="3"/>
    </row>
    <row r="221" spans="1:8" s="4" customFormat="1" ht="25.5">
      <c r="A221" s="98"/>
      <c r="B221" s="8" t="s">
        <v>194</v>
      </c>
      <c r="C221" s="6" t="s">
        <v>52</v>
      </c>
      <c r="D221" s="6">
        <f>E221+F221+G221</f>
        <v>3</v>
      </c>
      <c r="E221" s="6">
        <v>1</v>
      </c>
      <c r="F221" s="6">
        <v>1</v>
      </c>
      <c r="G221" s="6">
        <v>1</v>
      </c>
      <c r="H221" s="3"/>
    </row>
    <row r="222" spans="1:8" s="4" customFormat="1" ht="12.75">
      <c r="A222" s="92" t="s">
        <v>131</v>
      </c>
      <c r="B222" s="10"/>
      <c r="C222" s="6"/>
      <c r="D222" s="6"/>
      <c r="E222" s="6"/>
      <c r="F222" s="6"/>
      <c r="G222" s="6"/>
      <c r="H222" s="3"/>
    </row>
    <row r="223" spans="1:8" s="4" customFormat="1" ht="25.5">
      <c r="A223" s="92"/>
      <c r="B223" s="8" t="s">
        <v>182</v>
      </c>
      <c r="C223" s="6" t="s">
        <v>122</v>
      </c>
      <c r="D223" s="6">
        <f>E223</f>
        <v>406.328</v>
      </c>
      <c r="E223" s="9">
        <f>373.536+32.792</f>
        <v>406.328</v>
      </c>
      <c r="F223" s="6"/>
      <c r="G223" s="6"/>
      <c r="H223" s="3"/>
    </row>
    <row r="224" spans="1:8" s="4" customFormat="1" ht="12.75">
      <c r="A224" s="93" t="s">
        <v>104</v>
      </c>
      <c r="B224" s="93"/>
      <c r="C224" s="93"/>
      <c r="D224" s="93"/>
      <c r="E224" s="93"/>
      <c r="F224" s="93"/>
      <c r="G224" s="93"/>
      <c r="H224" s="3"/>
    </row>
    <row r="225" spans="1:8" s="4" customFormat="1" ht="12.75">
      <c r="A225" s="96" t="s">
        <v>71</v>
      </c>
      <c r="B225" s="10"/>
      <c r="C225" s="3"/>
      <c r="D225" s="3"/>
      <c r="E225" s="3"/>
      <c r="F225" s="3"/>
      <c r="G225" s="3"/>
      <c r="H225" s="3"/>
    </row>
    <row r="226" spans="1:8" s="4" customFormat="1" ht="25.5">
      <c r="A226" s="97"/>
      <c r="B226" s="10" t="s">
        <v>37</v>
      </c>
      <c r="C226" s="6" t="s">
        <v>24</v>
      </c>
      <c r="D226" s="18">
        <v>304945</v>
      </c>
      <c r="E226" s="18">
        <v>304945</v>
      </c>
      <c r="F226" s="18">
        <v>339945</v>
      </c>
      <c r="G226" s="18">
        <v>339945</v>
      </c>
      <c r="H226" s="3"/>
    </row>
    <row r="227" spans="1:8" s="4" customFormat="1" ht="25.5">
      <c r="A227" s="97"/>
      <c r="B227" s="10" t="s">
        <v>48</v>
      </c>
      <c r="C227" s="6" t="s">
        <v>54</v>
      </c>
      <c r="D227" s="6">
        <f>E227+F227+G227</f>
        <v>47.817</v>
      </c>
      <c r="E227" s="9">
        <v>15.939</v>
      </c>
      <c r="F227" s="9">
        <v>15.939</v>
      </c>
      <c r="G227" s="9">
        <v>15.939</v>
      </c>
      <c r="H227" s="3"/>
    </row>
    <row r="228" spans="1:8" s="4" customFormat="1" ht="12.75">
      <c r="A228" s="119" t="s">
        <v>81</v>
      </c>
      <c r="B228" s="8"/>
      <c r="C228" s="3"/>
      <c r="D228" s="3"/>
      <c r="E228" s="3"/>
      <c r="F228" s="3"/>
      <c r="G228" s="3"/>
      <c r="H228" s="3"/>
    </row>
    <row r="229" spans="1:8" s="4" customFormat="1" ht="25.5">
      <c r="A229" s="119"/>
      <c r="B229" s="10" t="s">
        <v>45</v>
      </c>
      <c r="C229" s="6" t="s">
        <v>24</v>
      </c>
      <c r="D229" s="41">
        <f>E229+F229+G229</f>
        <v>1214.205</v>
      </c>
      <c r="E229" s="9">
        <v>404.735</v>
      </c>
      <c r="F229" s="9">
        <v>404.735</v>
      </c>
      <c r="G229" s="9">
        <v>404.735</v>
      </c>
      <c r="H229" s="3"/>
    </row>
    <row r="230" spans="1:8" s="4" customFormat="1" ht="25.5">
      <c r="A230" s="119"/>
      <c r="B230" s="65" t="s">
        <v>195</v>
      </c>
      <c r="C230" s="6" t="s">
        <v>52</v>
      </c>
      <c r="D230" s="25">
        <f>E230+F230+G230</f>
        <v>45</v>
      </c>
      <c r="E230" s="18">
        <v>15</v>
      </c>
      <c r="F230" s="18">
        <v>15</v>
      </c>
      <c r="G230" s="18">
        <v>15</v>
      </c>
      <c r="H230" s="3"/>
    </row>
    <row r="231" spans="1:8" s="4" customFormat="1" ht="12.75">
      <c r="A231" s="119"/>
      <c r="B231" s="65" t="s">
        <v>236</v>
      </c>
      <c r="C231" s="6" t="s">
        <v>24</v>
      </c>
      <c r="D231" s="42">
        <f>E231+F231+G231</f>
        <v>5551.0199999999995</v>
      </c>
      <c r="E231" s="19">
        <v>1850.34</v>
      </c>
      <c r="F231" s="19">
        <v>1850.34</v>
      </c>
      <c r="G231" s="19">
        <v>1850.34</v>
      </c>
      <c r="H231" s="3"/>
    </row>
    <row r="232" spans="1:8" s="4" customFormat="1" ht="25.5">
      <c r="A232" s="119"/>
      <c r="B232" s="10" t="s">
        <v>32</v>
      </c>
      <c r="C232" s="6" t="s">
        <v>52</v>
      </c>
      <c r="D232" s="25">
        <f>E232+F232+G232</f>
        <v>543</v>
      </c>
      <c r="E232" s="18">
        <v>181</v>
      </c>
      <c r="F232" s="18">
        <v>181</v>
      </c>
      <c r="G232" s="18">
        <v>181</v>
      </c>
      <c r="H232" s="3"/>
    </row>
    <row r="233" spans="1:8" s="4" customFormat="1" ht="38.25">
      <c r="A233" s="119"/>
      <c r="B233" s="21" t="s">
        <v>196</v>
      </c>
      <c r="C233" s="33" t="s">
        <v>52</v>
      </c>
      <c r="D233" s="51">
        <f>E233+F233+G233</f>
        <v>66</v>
      </c>
      <c r="E233" s="18">
        <v>22</v>
      </c>
      <c r="F233" s="18">
        <v>22</v>
      </c>
      <c r="G233" s="18">
        <v>22</v>
      </c>
      <c r="H233" s="3"/>
    </row>
    <row r="234" spans="1:8" s="4" customFormat="1" ht="12.75">
      <c r="A234" s="119" t="s">
        <v>90</v>
      </c>
      <c r="B234" s="8"/>
      <c r="C234" s="3"/>
      <c r="D234" s="3"/>
      <c r="E234" s="3"/>
      <c r="F234" s="3"/>
      <c r="G234" s="3"/>
      <c r="H234" s="3"/>
    </row>
    <row r="235" spans="1:8" s="4" customFormat="1" ht="25.5">
      <c r="A235" s="119"/>
      <c r="B235" s="10" t="s">
        <v>33</v>
      </c>
      <c r="C235" s="6" t="s">
        <v>57</v>
      </c>
      <c r="D235" s="6">
        <f>E235+F235+G235</f>
        <v>150</v>
      </c>
      <c r="E235" s="18">
        <v>50</v>
      </c>
      <c r="F235" s="18">
        <v>50</v>
      </c>
      <c r="G235" s="18">
        <v>50</v>
      </c>
      <c r="H235" s="3"/>
    </row>
    <row r="236" spans="1:8" s="4" customFormat="1" ht="12.75">
      <c r="A236" s="119"/>
      <c r="B236" s="10" t="s">
        <v>34</v>
      </c>
      <c r="C236" s="6" t="s">
        <v>58</v>
      </c>
      <c r="D236" s="49">
        <f>E236+F236+G236</f>
        <v>968.4000000000001</v>
      </c>
      <c r="E236" s="50">
        <v>322.8</v>
      </c>
      <c r="F236" s="50">
        <v>322.8</v>
      </c>
      <c r="G236" s="50">
        <v>322.8</v>
      </c>
      <c r="H236" s="3"/>
    </row>
    <row r="237" spans="1:8" s="4" customFormat="1" ht="12.75">
      <c r="A237" s="96" t="s">
        <v>193</v>
      </c>
      <c r="B237" s="10"/>
      <c r="C237" s="6"/>
      <c r="D237" s="49"/>
      <c r="E237" s="50"/>
      <c r="F237" s="50"/>
      <c r="G237" s="50"/>
      <c r="H237" s="3"/>
    </row>
    <row r="238" spans="1:8" s="4" customFormat="1" ht="25.5">
      <c r="A238" s="98"/>
      <c r="B238" s="8" t="s">
        <v>237</v>
      </c>
      <c r="C238" s="6" t="s">
        <v>24</v>
      </c>
      <c r="D238" s="18">
        <f>E238+F238+G238</f>
        <v>63000</v>
      </c>
      <c r="E238" s="18">
        <v>21000</v>
      </c>
      <c r="F238" s="18">
        <v>21000</v>
      </c>
      <c r="G238" s="18">
        <v>21000</v>
      </c>
      <c r="H238" s="3"/>
    </row>
    <row r="239" spans="1:8" s="4" customFormat="1" ht="12.75">
      <c r="A239" s="92" t="s">
        <v>131</v>
      </c>
      <c r="B239" s="10"/>
      <c r="C239" s="6"/>
      <c r="D239" s="6"/>
      <c r="E239" s="6"/>
      <c r="F239" s="6"/>
      <c r="G239" s="6"/>
      <c r="H239" s="3"/>
    </row>
    <row r="240" spans="1:8" s="4" customFormat="1" ht="25.5">
      <c r="A240" s="92"/>
      <c r="B240" s="8" t="s">
        <v>182</v>
      </c>
      <c r="C240" s="6" t="s">
        <v>122</v>
      </c>
      <c r="D240" s="6">
        <f>E240</f>
        <v>256.513</v>
      </c>
      <c r="E240" s="6">
        <f>256.513</f>
        <v>256.513</v>
      </c>
      <c r="F240" s="6"/>
      <c r="G240" s="6"/>
      <c r="H240" s="3"/>
    </row>
    <row r="241" spans="1:8" s="4" customFormat="1" ht="12.75">
      <c r="A241" s="93" t="s">
        <v>105</v>
      </c>
      <c r="B241" s="93"/>
      <c r="C241" s="93"/>
      <c r="D241" s="93"/>
      <c r="E241" s="93"/>
      <c r="F241" s="93"/>
      <c r="G241" s="93"/>
      <c r="H241" s="3"/>
    </row>
    <row r="242" spans="1:8" s="4" customFormat="1" ht="12.75">
      <c r="A242" s="96" t="s">
        <v>71</v>
      </c>
      <c r="B242" s="10"/>
      <c r="C242" s="3"/>
      <c r="D242" s="3"/>
      <c r="E242" s="3"/>
      <c r="F242" s="3"/>
      <c r="G242" s="3"/>
      <c r="H242" s="3"/>
    </row>
    <row r="243" spans="1:8" s="4" customFormat="1" ht="12.75">
      <c r="A243" s="97"/>
      <c r="B243" s="120" t="s">
        <v>162</v>
      </c>
      <c r="C243" s="6" t="s">
        <v>54</v>
      </c>
      <c r="D243" s="6">
        <v>101.294</v>
      </c>
      <c r="E243" s="6">
        <v>101.294</v>
      </c>
      <c r="F243" s="6">
        <v>101.294</v>
      </c>
      <c r="G243" s="6">
        <v>101.294</v>
      </c>
      <c r="H243" s="3"/>
    </row>
    <row r="244" spans="1:8" s="4" customFormat="1" ht="12.75">
      <c r="A244" s="97"/>
      <c r="B244" s="120"/>
      <c r="C244" s="6" t="s">
        <v>54</v>
      </c>
      <c r="D244" s="6">
        <v>10.7</v>
      </c>
      <c r="E244" s="6">
        <v>10.7</v>
      </c>
      <c r="F244" s="6">
        <v>10.7</v>
      </c>
      <c r="G244" s="6">
        <v>10.7</v>
      </c>
      <c r="H244" s="3"/>
    </row>
    <row r="245" spans="1:8" s="4" customFormat="1" ht="25.5">
      <c r="A245" s="97"/>
      <c r="B245" s="8" t="s">
        <v>29</v>
      </c>
      <c r="C245" s="6" t="s">
        <v>52</v>
      </c>
      <c r="D245" s="6">
        <v>1</v>
      </c>
      <c r="E245" s="6">
        <v>1</v>
      </c>
      <c r="F245" s="6">
        <v>1</v>
      </c>
      <c r="G245" s="6">
        <v>1</v>
      </c>
      <c r="H245" s="3"/>
    </row>
    <row r="246" spans="1:8" s="4" customFormat="1" ht="12.75">
      <c r="A246" s="119" t="s">
        <v>81</v>
      </c>
      <c r="B246" s="10"/>
      <c r="C246" s="3"/>
      <c r="D246" s="3"/>
      <c r="E246" s="3"/>
      <c r="F246" s="3"/>
      <c r="G246" s="3"/>
      <c r="H246" s="3"/>
    </row>
    <row r="247" spans="1:8" s="4" customFormat="1" ht="25.5">
      <c r="A247" s="119"/>
      <c r="B247" s="46" t="s">
        <v>45</v>
      </c>
      <c r="C247" s="6" t="s">
        <v>24</v>
      </c>
      <c r="D247" s="42">
        <f>E247+F247+G247</f>
        <v>665.16</v>
      </c>
      <c r="E247" s="42">
        <v>221.72</v>
      </c>
      <c r="F247" s="42">
        <v>221.72</v>
      </c>
      <c r="G247" s="42">
        <v>221.72</v>
      </c>
      <c r="H247" s="3"/>
    </row>
    <row r="248" spans="1:8" s="4" customFormat="1" ht="38.25">
      <c r="A248" s="119"/>
      <c r="B248" s="10" t="s">
        <v>47</v>
      </c>
      <c r="C248" s="6" t="s">
        <v>52</v>
      </c>
      <c r="D248" s="6">
        <f>E248+F248+G248</f>
        <v>144</v>
      </c>
      <c r="E248" s="6">
        <v>48</v>
      </c>
      <c r="F248" s="6">
        <v>48</v>
      </c>
      <c r="G248" s="6">
        <v>48</v>
      </c>
      <c r="H248" s="3"/>
    </row>
    <row r="249" spans="1:8" s="4" customFormat="1" ht="25.5">
      <c r="A249" s="119"/>
      <c r="B249" s="10" t="s">
        <v>31</v>
      </c>
      <c r="C249" s="6" t="s">
        <v>24</v>
      </c>
      <c r="D249" s="41">
        <f>E249+F249+G249</f>
        <v>2143.887</v>
      </c>
      <c r="E249" s="41">
        <v>714.629</v>
      </c>
      <c r="F249" s="41">
        <v>714.629</v>
      </c>
      <c r="G249" s="41">
        <v>714.629</v>
      </c>
      <c r="H249" s="3"/>
    </row>
    <row r="250" spans="1:8" s="4" customFormat="1" ht="25.5">
      <c r="A250" s="119"/>
      <c r="B250" s="10" t="s">
        <v>32</v>
      </c>
      <c r="C250" s="6" t="s">
        <v>52</v>
      </c>
      <c r="D250" s="6">
        <f>E250+F250+G250</f>
        <v>462</v>
      </c>
      <c r="E250" s="6">
        <v>154</v>
      </c>
      <c r="F250" s="6">
        <v>154</v>
      </c>
      <c r="G250" s="6">
        <v>154</v>
      </c>
      <c r="H250" s="3"/>
    </row>
    <row r="251" spans="1:8" s="4" customFormat="1" ht="12.75">
      <c r="A251" s="119" t="s">
        <v>90</v>
      </c>
      <c r="B251" s="8"/>
      <c r="C251" s="3"/>
      <c r="D251" s="3"/>
      <c r="E251" s="3"/>
      <c r="F251" s="3"/>
      <c r="G251" s="3"/>
      <c r="H251" s="3"/>
    </row>
    <row r="252" spans="1:8" s="4" customFormat="1" ht="25.5">
      <c r="A252" s="119"/>
      <c r="B252" s="10" t="s">
        <v>49</v>
      </c>
      <c r="C252" s="6" t="s">
        <v>59</v>
      </c>
      <c r="D252" s="6">
        <f>E252+F252+G252</f>
        <v>202.5</v>
      </c>
      <c r="E252" s="6">
        <v>67.5</v>
      </c>
      <c r="F252" s="6">
        <v>67.5</v>
      </c>
      <c r="G252" s="6">
        <v>67.5</v>
      </c>
      <c r="H252" s="3"/>
    </row>
    <row r="253" spans="1:8" s="4" customFormat="1" ht="25.5">
      <c r="A253" s="119"/>
      <c r="B253" s="10" t="s">
        <v>33</v>
      </c>
      <c r="C253" s="6" t="s">
        <v>57</v>
      </c>
      <c r="D253" s="6">
        <f>E253+F253+G253</f>
        <v>282</v>
      </c>
      <c r="E253" s="6">
        <v>94</v>
      </c>
      <c r="F253" s="6">
        <v>94</v>
      </c>
      <c r="G253" s="6">
        <v>94</v>
      </c>
      <c r="H253" s="3"/>
    </row>
    <row r="254" spans="1:8" s="4" customFormat="1" ht="12.75">
      <c r="A254" s="119"/>
      <c r="B254" s="10" t="s">
        <v>34</v>
      </c>
      <c r="C254" s="6" t="s">
        <v>191</v>
      </c>
      <c r="D254" s="6">
        <f>E254+F254+G254</f>
        <v>1653.0149999999999</v>
      </c>
      <c r="E254" s="76">
        <v>551.005</v>
      </c>
      <c r="F254" s="76">
        <v>551.005</v>
      </c>
      <c r="G254" s="76">
        <v>551.005</v>
      </c>
      <c r="H254" s="3"/>
    </row>
    <row r="255" spans="1:8" s="4" customFormat="1" ht="12.75">
      <c r="A255" s="119" t="s">
        <v>76</v>
      </c>
      <c r="B255" s="8"/>
      <c r="C255" s="3"/>
      <c r="D255" s="3"/>
      <c r="E255" s="13"/>
      <c r="F255" s="3"/>
      <c r="G255" s="3"/>
      <c r="H255" s="3"/>
    </row>
    <row r="256" spans="1:8" s="4" customFormat="1" ht="38.25">
      <c r="A256" s="119"/>
      <c r="B256" s="8" t="s">
        <v>50</v>
      </c>
      <c r="C256" s="6" t="s">
        <v>59</v>
      </c>
      <c r="D256" s="6">
        <f>E256+F256+G256</f>
        <v>505.5</v>
      </c>
      <c r="E256" s="76">
        <v>168.5</v>
      </c>
      <c r="F256" s="76">
        <v>168.5</v>
      </c>
      <c r="G256" s="76">
        <v>168.5</v>
      </c>
      <c r="H256" s="3"/>
    </row>
    <row r="257" spans="1:8" s="4" customFormat="1" ht="12.75">
      <c r="A257" s="92" t="s">
        <v>89</v>
      </c>
      <c r="B257" s="10"/>
      <c r="C257" s="6"/>
      <c r="D257" s="6"/>
      <c r="E257" s="6"/>
      <c r="F257" s="6"/>
      <c r="G257" s="6"/>
      <c r="H257" s="3"/>
    </row>
    <row r="258" spans="1:8" s="4" customFormat="1" ht="12.75">
      <c r="A258" s="92"/>
      <c r="B258" s="8" t="s">
        <v>240</v>
      </c>
      <c r="C258" s="6" t="s">
        <v>25</v>
      </c>
      <c r="D258" s="42">
        <f>E258</f>
        <v>5.54</v>
      </c>
      <c r="E258" s="42">
        <v>5.54</v>
      </c>
      <c r="F258" s="6"/>
      <c r="G258" s="6"/>
      <c r="H258" s="3"/>
    </row>
    <row r="259" spans="1:8" s="4" customFormat="1" ht="25.5">
      <c r="A259" s="92"/>
      <c r="B259" s="10" t="s">
        <v>241</v>
      </c>
      <c r="C259" s="75" t="s">
        <v>25</v>
      </c>
      <c r="D259" s="42">
        <f>E259</f>
        <v>5.25</v>
      </c>
      <c r="E259" s="6">
        <v>5.25</v>
      </c>
      <c r="F259" s="6"/>
      <c r="G259" s="6"/>
      <c r="H259" s="3"/>
    </row>
    <row r="260" spans="1:8" s="4" customFormat="1" ht="25.5">
      <c r="A260" s="92"/>
      <c r="B260" s="10" t="s">
        <v>242</v>
      </c>
      <c r="C260" s="75" t="s">
        <v>54</v>
      </c>
      <c r="D260" s="42">
        <f>E260</f>
        <v>1.36</v>
      </c>
      <c r="E260" s="42">
        <v>1.36</v>
      </c>
      <c r="F260" s="6"/>
      <c r="G260" s="6"/>
      <c r="H260" s="3"/>
    </row>
    <row r="261" spans="1:8" s="4" customFormat="1" ht="12.75">
      <c r="A261" s="92" t="s">
        <v>131</v>
      </c>
      <c r="B261" s="10"/>
      <c r="C261" s="6"/>
      <c r="D261" s="6"/>
      <c r="E261" s="6"/>
      <c r="F261" s="6"/>
      <c r="G261" s="6"/>
      <c r="H261" s="3"/>
    </row>
    <row r="262" spans="1:8" s="4" customFormat="1" ht="25.5">
      <c r="A262" s="92"/>
      <c r="B262" s="8" t="s">
        <v>182</v>
      </c>
      <c r="C262" s="6" t="s">
        <v>122</v>
      </c>
      <c r="D262" s="41">
        <v>431.985</v>
      </c>
      <c r="E262" s="41">
        <v>431.985</v>
      </c>
      <c r="F262" s="6"/>
      <c r="G262" s="6"/>
      <c r="H262" s="3"/>
    </row>
    <row r="263" spans="1:8" s="1" customFormat="1" ht="12.75">
      <c r="A263" s="126" t="s">
        <v>94</v>
      </c>
      <c r="B263" s="126"/>
      <c r="C263" s="126"/>
      <c r="D263" s="126"/>
      <c r="E263" s="126"/>
      <c r="F263" s="126"/>
      <c r="G263" s="126"/>
      <c r="H263" s="8"/>
    </row>
    <row r="264" spans="1:8" s="1" customFormat="1" ht="12.75">
      <c r="A264" s="116" t="s">
        <v>51</v>
      </c>
      <c r="B264" s="116"/>
      <c r="C264" s="116"/>
      <c r="D264" s="116"/>
      <c r="E264" s="116"/>
      <c r="F264" s="116"/>
      <c r="G264" s="116"/>
      <c r="H264" s="8"/>
    </row>
    <row r="265" spans="1:8" s="1" customFormat="1" ht="12.75" customHeight="1">
      <c r="A265" s="119" t="s">
        <v>95</v>
      </c>
      <c r="B265" s="5"/>
      <c r="C265" s="3"/>
      <c r="D265" s="40"/>
      <c r="E265" s="40"/>
      <c r="F265" s="40"/>
      <c r="G265" s="40"/>
      <c r="H265" s="8"/>
    </row>
    <row r="266" spans="1:8" s="1" customFormat="1" ht="38.25">
      <c r="A266" s="119"/>
      <c r="B266" s="8" t="s">
        <v>96</v>
      </c>
      <c r="C266" s="3" t="s">
        <v>52</v>
      </c>
      <c r="D266" s="3">
        <f>E266+F266+G266</f>
        <v>3</v>
      </c>
      <c r="E266" s="3">
        <v>1</v>
      </c>
      <c r="F266" s="3">
        <v>1</v>
      </c>
      <c r="G266" s="3">
        <v>1</v>
      </c>
      <c r="H266" s="8"/>
    </row>
    <row r="267" spans="1:8" s="1" customFormat="1" ht="25.5">
      <c r="A267" s="119"/>
      <c r="B267" s="8" t="s">
        <v>182</v>
      </c>
      <c r="C267" s="3" t="s">
        <v>122</v>
      </c>
      <c r="D267" s="3">
        <f>E267</f>
        <v>147.941</v>
      </c>
      <c r="E267" s="3">
        <v>147.941</v>
      </c>
      <c r="F267" s="3"/>
      <c r="G267" s="3"/>
      <c r="H267" s="8"/>
    </row>
    <row r="268" spans="1:8" s="1" customFormat="1" ht="12.75">
      <c r="A268" s="126" t="s">
        <v>97</v>
      </c>
      <c r="B268" s="126"/>
      <c r="C268" s="126"/>
      <c r="D268" s="126"/>
      <c r="E268" s="126"/>
      <c r="F268" s="126"/>
      <c r="G268" s="126"/>
      <c r="H268" s="8"/>
    </row>
    <row r="269" spans="1:8" s="1" customFormat="1" ht="12.75">
      <c r="A269" s="116" t="s">
        <v>51</v>
      </c>
      <c r="B269" s="116"/>
      <c r="C269" s="116"/>
      <c r="D269" s="116"/>
      <c r="E269" s="116"/>
      <c r="F269" s="116"/>
      <c r="G269" s="116"/>
      <c r="H269" s="8"/>
    </row>
    <row r="270" spans="1:8" s="1" customFormat="1" ht="12.75">
      <c r="A270" s="119" t="s">
        <v>98</v>
      </c>
      <c r="B270" s="5"/>
      <c r="C270" s="3"/>
      <c r="D270" s="40"/>
      <c r="E270" s="40"/>
      <c r="F270" s="40"/>
      <c r="G270" s="40"/>
      <c r="H270" s="8"/>
    </row>
    <row r="271" spans="1:8" s="1" customFormat="1" ht="51">
      <c r="A271" s="119"/>
      <c r="B271" s="8" t="s">
        <v>132</v>
      </c>
      <c r="C271" s="3" t="s">
        <v>52</v>
      </c>
      <c r="D271" s="3">
        <f>E271+F271+G271</f>
        <v>300</v>
      </c>
      <c r="E271" s="3">
        <v>100</v>
      </c>
      <c r="F271" s="3">
        <v>100</v>
      </c>
      <c r="G271" s="3">
        <v>100</v>
      </c>
      <c r="H271" s="8"/>
    </row>
    <row r="272" spans="1:8" s="1" customFormat="1" ht="51">
      <c r="A272" s="119"/>
      <c r="B272" s="8" t="s">
        <v>138</v>
      </c>
      <c r="C272" s="6" t="s">
        <v>120</v>
      </c>
      <c r="D272" s="3">
        <f>E272+F272+G272</f>
        <v>5</v>
      </c>
      <c r="E272" s="3">
        <v>5</v>
      </c>
      <c r="F272" s="3"/>
      <c r="G272" s="3"/>
      <c r="H272" s="8"/>
    </row>
    <row r="273" spans="1:8" s="1" customFormat="1" ht="25.5">
      <c r="A273" s="119"/>
      <c r="B273" s="8" t="s">
        <v>182</v>
      </c>
      <c r="C273" s="3" t="s">
        <v>122</v>
      </c>
      <c r="D273" s="3">
        <f>E273</f>
        <v>250.237</v>
      </c>
      <c r="E273" s="48">
        <f>45.343+24.894+180</f>
        <v>250.237</v>
      </c>
      <c r="F273" s="3"/>
      <c r="G273" s="3"/>
      <c r="H273" s="8"/>
    </row>
    <row r="274" spans="1:8" s="1" customFormat="1" ht="12.75" customHeight="1">
      <c r="A274" s="116" t="s">
        <v>210</v>
      </c>
      <c r="B274" s="116"/>
      <c r="C274" s="116"/>
      <c r="D274" s="116"/>
      <c r="E274" s="116"/>
      <c r="F274" s="116"/>
      <c r="G274" s="116"/>
      <c r="H274" s="8"/>
    </row>
    <row r="275" spans="1:8" s="1" customFormat="1" ht="12.75" customHeight="1">
      <c r="A275" s="119" t="s">
        <v>98</v>
      </c>
      <c r="B275" s="5"/>
      <c r="C275" s="3"/>
      <c r="D275" s="40"/>
      <c r="E275" s="40"/>
      <c r="F275" s="40"/>
      <c r="G275" s="40"/>
      <c r="H275" s="8"/>
    </row>
    <row r="276" spans="1:8" s="1" customFormat="1" ht="63.75">
      <c r="A276" s="119"/>
      <c r="B276" s="8" t="s">
        <v>211</v>
      </c>
      <c r="C276" s="3" t="s">
        <v>52</v>
      </c>
      <c r="D276" s="3">
        <f>E276+F276+G276</f>
        <v>1</v>
      </c>
      <c r="E276" s="3">
        <v>1</v>
      </c>
      <c r="F276" s="3"/>
      <c r="G276" s="3"/>
      <c r="H276" s="8"/>
    </row>
    <row r="277" spans="1:8" s="1" customFormat="1" ht="63.75">
      <c r="A277" s="119"/>
      <c r="B277" s="8" t="s">
        <v>249</v>
      </c>
      <c r="C277" s="3" t="s">
        <v>212</v>
      </c>
      <c r="D277" s="3">
        <f>E277+F277+G277</f>
        <v>100</v>
      </c>
      <c r="E277" s="3">
        <v>100</v>
      </c>
      <c r="F277" s="3"/>
      <c r="G277" s="3"/>
      <c r="H277" s="8"/>
    </row>
    <row r="278" spans="1:8" s="1" customFormat="1" ht="12.75" customHeight="1">
      <c r="A278" s="116" t="s">
        <v>213</v>
      </c>
      <c r="B278" s="116"/>
      <c r="C278" s="116"/>
      <c r="D278" s="116"/>
      <c r="E278" s="116"/>
      <c r="F278" s="116"/>
      <c r="G278" s="116"/>
      <c r="H278" s="8"/>
    </row>
    <row r="279" spans="1:8" s="1" customFormat="1" ht="12.75">
      <c r="A279" s="119" t="s">
        <v>98</v>
      </c>
      <c r="B279" s="5"/>
      <c r="C279" s="3"/>
      <c r="D279" s="40"/>
      <c r="E279" s="40"/>
      <c r="F279" s="40"/>
      <c r="G279" s="40"/>
      <c r="H279" s="8"/>
    </row>
    <row r="280" spans="1:8" s="1" customFormat="1" ht="51">
      <c r="A280" s="119"/>
      <c r="B280" s="8" t="s">
        <v>214</v>
      </c>
      <c r="C280" s="3" t="s">
        <v>212</v>
      </c>
      <c r="D280" s="3">
        <f>E280+F280+G280</f>
        <v>100</v>
      </c>
      <c r="E280" s="3">
        <v>100</v>
      </c>
      <c r="F280" s="3"/>
      <c r="G280" s="3"/>
      <c r="H280" s="8"/>
    </row>
    <row r="281" spans="1:8" s="1" customFormat="1" ht="12.75" customHeight="1">
      <c r="A281" s="116" t="s">
        <v>215</v>
      </c>
      <c r="B281" s="116"/>
      <c r="C281" s="116"/>
      <c r="D281" s="116"/>
      <c r="E281" s="116"/>
      <c r="F281" s="116"/>
      <c r="G281" s="116"/>
      <c r="H281" s="8"/>
    </row>
    <row r="282" spans="1:8" s="1" customFormat="1" ht="12.75" customHeight="1">
      <c r="A282" s="119" t="s">
        <v>98</v>
      </c>
      <c r="B282" s="5"/>
      <c r="C282" s="3"/>
      <c r="D282" s="40"/>
      <c r="E282" s="40"/>
      <c r="F282" s="40"/>
      <c r="G282" s="40"/>
      <c r="H282" s="8"/>
    </row>
    <row r="283" spans="1:8" s="1" customFormat="1" ht="63.75">
      <c r="A283" s="119"/>
      <c r="B283" s="8" t="s">
        <v>216</v>
      </c>
      <c r="C283" s="3" t="s">
        <v>212</v>
      </c>
      <c r="D283" s="3">
        <f>E283+F283+G283</f>
        <v>100</v>
      </c>
      <c r="E283" s="3">
        <v>100</v>
      </c>
      <c r="F283" s="3"/>
      <c r="G283" s="3"/>
      <c r="H283" s="8"/>
    </row>
    <row r="284" spans="1:8" ht="12.75" customHeight="1">
      <c r="A284" s="135" t="s">
        <v>91</v>
      </c>
      <c r="B284" s="136"/>
      <c r="C284" s="136"/>
      <c r="D284" s="136"/>
      <c r="E284" s="136"/>
      <c r="F284" s="136"/>
      <c r="G284" s="137"/>
      <c r="H284" s="40"/>
    </row>
    <row r="285" spans="1:8" ht="12.75" customHeight="1">
      <c r="A285" s="123" t="s">
        <v>51</v>
      </c>
      <c r="B285" s="124"/>
      <c r="C285" s="124"/>
      <c r="D285" s="124"/>
      <c r="E285" s="124"/>
      <c r="F285" s="124"/>
      <c r="G285" s="125"/>
      <c r="H285" s="40"/>
    </row>
    <row r="286" spans="1:8" ht="72" customHeight="1">
      <c r="A286" s="119" t="s">
        <v>60</v>
      </c>
      <c r="B286" s="8" t="s">
        <v>92</v>
      </c>
      <c r="C286" s="3" t="s">
        <v>61</v>
      </c>
      <c r="D286" s="3">
        <f>E286+F286+G286</f>
        <v>609</v>
      </c>
      <c r="E286" s="3">
        <v>179</v>
      </c>
      <c r="F286" s="3">
        <v>215</v>
      </c>
      <c r="G286" s="3">
        <v>215</v>
      </c>
      <c r="H286" s="45"/>
    </row>
    <row r="287" spans="1:8" ht="25.5">
      <c r="A287" s="119"/>
      <c r="B287" s="8" t="s">
        <v>251</v>
      </c>
      <c r="C287" s="3" t="s">
        <v>61</v>
      </c>
      <c r="D287" s="3">
        <f>E287+F287+G287</f>
        <v>3</v>
      </c>
      <c r="E287" s="3">
        <v>3</v>
      </c>
      <c r="F287" s="3"/>
      <c r="G287" s="3"/>
      <c r="H287" s="45"/>
    </row>
    <row r="288" spans="1:8" ht="25.5">
      <c r="A288" s="119"/>
      <c r="B288" s="8" t="s">
        <v>182</v>
      </c>
      <c r="C288" s="3" t="s">
        <v>122</v>
      </c>
      <c r="D288" s="3">
        <f>E288</f>
        <v>21.861</v>
      </c>
      <c r="E288" s="48">
        <v>21.861</v>
      </c>
      <c r="F288" s="40"/>
      <c r="G288" s="40"/>
      <c r="H288" s="45"/>
    </row>
    <row r="291" spans="1:7" s="36" customFormat="1" ht="18.75">
      <c r="A291" s="36" t="s">
        <v>116</v>
      </c>
      <c r="C291" s="37"/>
      <c r="F291" s="127" t="s">
        <v>117</v>
      </c>
      <c r="G291" s="127"/>
    </row>
    <row r="292" spans="1:7" s="4" customFormat="1" ht="25.5" customHeight="1">
      <c r="A292" s="39"/>
      <c r="B292" s="38"/>
      <c r="D292" s="38"/>
      <c r="E292" s="38"/>
      <c r="F292" s="38"/>
      <c r="G292" s="38"/>
    </row>
    <row r="293" spans="1:7" s="4" customFormat="1" ht="17.25" customHeight="1">
      <c r="A293" s="39"/>
      <c r="B293" s="38"/>
      <c r="D293" s="38"/>
      <c r="E293" s="38"/>
      <c r="F293" s="38"/>
      <c r="G293" s="38"/>
    </row>
    <row r="294" spans="1:7" s="4" customFormat="1" ht="12.75">
      <c r="A294" s="39"/>
      <c r="B294" s="38"/>
      <c r="D294" s="38"/>
      <c r="E294" s="38"/>
      <c r="F294" s="38"/>
      <c r="G294" s="38"/>
    </row>
  </sheetData>
  <sheetProtection/>
  <mergeCells count="110">
    <mergeCell ref="A46:H46"/>
    <mergeCell ref="A274:G274"/>
    <mergeCell ref="A184:A185"/>
    <mergeCell ref="A160:A161"/>
    <mergeCell ref="A124:A126"/>
    <mergeCell ref="A108:A122"/>
    <mergeCell ref="A263:G263"/>
    <mergeCell ref="A181:A183"/>
    <mergeCell ref="A55:A56"/>
    <mergeCell ref="A199:A202"/>
    <mergeCell ref="A44:G44"/>
    <mergeCell ref="A58:A59"/>
    <mergeCell ref="A48:A53"/>
    <mergeCell ref="A94:A107"/>
    <mergeCell ref="A69:G69"/>
    <mergeCell ref="A68:G68"/>
    <mergeCell ref="A70:A81"/>
    <mergeCell ref="A82:A88"/>
    <mergeCell ref="A61:A62"/>
    <mergeCell ref="A63:G63"/>
    <mergeCell ref="F291:G291"/>
    <mergeCell ref="A47:G47"/>
    <mergeCell ref="A54:G54"/>
    <mergeCell ref="A57:G57"/>
    <mergeCell ref="A284:G284"/>
    <mergeCell ref="A89:A93"/>
    <mergeCell ref="A269:G269"/>
    <mergeCell ref="A270:A273"/>
    <mergeCell ref="A60:G60"/>
    <mergeCell ref="A278:G278"/>
    <mergeCell ref="D11:G11"/>
    <mergeCell ref="C11:C13"/>
    <mergeCell ref="A32:H32"/>
    <mergeCell ref="A17:A31"/>
    <mergeCell ref="B17:B18"/>
    <mergeCell ref="E12:G12"/>
    <mergeCell ref="A15:H15"/>
    <mergeCell ref="B11:B13"/>
    <mergeCell ref="A11:A13"/>
    <mergeCell ref="D12:D13"/>
    <mergeCell ref="E5:G5"/>
    <mergeCell ref="E6:G6"/>
    <mergeCell ref="A9:G9"/>
    <mergeCell ref="A8:G8"/>
    <mergeCell ref="A34:A42"/>
    <mergeCell ref="A43:G43"/>
    <mergeCell ref="A33:G33"/>
    <mergeCell ref="A16:G16"/>
    <mergeCell ref="A286:A288"/>
    <mergeCell ref="A285:G285"/>
    <mergeCell ref="A264:G264"/>
    <mergeCell ref="A268:G268"/>
    <mergeCell ref="A265:A267"/>
    <mergeCell ref="A279:A280"/>
    <mergeCell ref="A281:G281"/>
    <mergeCell ref="A282:A283"/>
    <mergeCell ref="A275:A277"/>
    <mergeCell ref="A203:A204"/>
    <mergeCell ref="A205:A206"/>
    <mergeCell ref="A186:A188"/>
    <mergeCell ref="A190:A194"/>
    <mergeCell ref="A195:A198"/>
    <mergeCell ref="A64:G64"/>
    <mergeCell ref="B109:B110"/>
    <mergeCell ref="A129:A132"/>
    <mergeCell ref="B130:B131"/>
    <mergeCell ref="A123:G123"/>
    <mergeCell ref="A127:A128"/>
    <mergeCell ref="A65:A67"/>
    <mergeCell ref="A133:A135"/>
    <mergeCell ref="A136:A137"/>
    <mergeCell ref="A138:A139"/>
    <mergeCell ref="A140:A141"/>
    <mergeCell ref="A142:G142"/>
    <mergeCell ref="A143:A146"/>
    <mergeCell ref="B145:B146"/>
    <mergeCell ref="A147:A155"/>
    <mergeCell ref="A156:A159"/>
    <mergeCell ref="A162:G162"/>
    <mergeCell ref="A163:A168"/>
    <mergeCell ref="A169:A170"/>
    <mergeCell ref="A171:A172"/>
    <mergeCell ref="A173:A177"/>
    <mergeCell ref="A178:A180"/>
    <mergeCell ref="B192:B193"/>
    <mergeCell ref="A189:G189"/>
    <mergeCell ref="A215:A217"/>
    <mergeCell ref="A207:G207"/>
    <mergeCell ref="A208:A210"/>
    <mergeCell ref="A211:A214"/>
    <mergeCell ref="A218:A219"/>
    <mergeCell ref="A220:A221"/>
    <mergeCell ref="A222:A223"/>
    <mergeCell ref="A241:G241"/>
    <mergeCell ref="A242:A245"/>
    <mergeCell ref="B243:B244"/>
    <mergeCell ref="A224:G224"/>
    <mergeCell ref="A225:A227"/>
    <mergeCell ref="A228:A233"/>
    <mergeCell ref="A234:A236"/>
    <mergeCell ref="A261:A262"/>
    <mergeCell ref="E1:G1"/>
    <mergeCell ref="E2:G2"/>
    <mergeCell ref="E3:G3"/>
    <mergeCell ref="A246:A250"/>
    <mergeCell ref="A251:A254"/>
    <mergeCell ref="A255:A256"/>
    <mergeCell ref="A257:A260"/>
    <mergeCell ref="A237:A238"/>
    <mergeCell ref="A239:A240"/>
  </mergeCells>
  <printOptions/>
  <pageMargins left="1.1811023622047245" right="0.3937007874015748" top="0.7874015748031497" bottom="0.2755905511811024" header="0.3937007874015748" footer="0"/>
  <pageSetup fitToHeight="25" horizontalDpi="600" verticalDpi="600" orientation="landscape" paperSize="9" scale="95" r:id="rId1"/>
  <headerFooter alignWithMargins="0">
    <oddHeader>&amp;C&amp;P</oddHeader>
  </headerFooter>
  <rowBreaks count="3" manualBreakCount="3">
    <brk id="53" max="6" man="1"/>
    <brk id="122" max="6" man="1"/>
    <brk id="2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2014-06-27T06:14:06Z</cp:lastPrinted>
  <dcterms:created xsi:type="dcterms:W3CDTF">1996-10-08T23:32:33Z</dcterms:created>
  <dcterms:modified xsi:type="dcterms:W3CDTF">2014-07-08T11:17:39Z</dcterms:modified>
  <cp:category/>
  <cp:version/>
  <cp:contentType/>
  <cp:contentStatus/>
</cp:coreProperties>
</file>