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5375" windowHeight="8235" tabRatio="479" activeTab="0"/>
  </bookViews>
  <sheets>
    <sheet name="лист" sheetId="1" r:id="rId1"/>
    <sheet name="власні надходж" sheetId="2" state="hidden" r:id="rId2"/>
    <sheet name="в т.ч.погашення" sheetId="3" state="hidden" r:id="rId3"/>
  </sheets>
  <externalReferences>
    <externalReference r:id="rId6"/>
  </externalReferences>
  <definedNames>
    <definedName name="_xlnm.Print_Area" localSheetId="2">'в т.ч.погашення'!$A$1:$G$319</definedName>
    <definedName name="_xlnm.Print_Area" localSheetId="1">'власні надходж'!$A$1:$H$329</definedName>
    <definedName name="_xlnm.Print_Area" localSheetId="0">'лист'!$A$1:$G$311</definedName>
  </definedNames>
  <calcPr fullCalcOnLoad="1"/>
</workbook>
</file>

<file path=xl/sharedStrings.xml><?xml version="1.0" encoding="utf-8"?>
<sst xmlns="http://schemas.openxmlformats.org/spreadsheetml/2006/main" count="2095" uniqueCount="533">
  <si>
    <t xml:space="preserve">Програма "Оздоровлення та відпочинок", затверджена рішенням міської ради від             №  </t>
  </si>
  <si>
    <t>Програма "Фізична культура та спорт", затверджена рішенням міської ради від               №</t>
  </si>
  <si>
    <t xml:space="preserve">Програма підтримки сім'ї та молоді м. Запоріжжя, затверджена рішенням міської ради від              № </t>
  </si>
  <si>
    <t xml:space="preserve">Програма "Фінансова підтримка комунального спортивно-видовищного підприємства "Юність", затверджена рішенням міської ради від          № </t>
  </si>
  <si>
    <t xml:space="preserve">Програма "Фізична культура та спорт", затверджена рішенням міської ради від                  № </t>
  </si>
  <si>
    <t xml:space="preserve">Міська програма "Оцінка вартості пам'яток історії та монументального мистецтва в місті Запоріжжя на 2014 рік"  затверджена рішенням міської ради від            № </t>
  </si>
  <si>
    <t>Міська програма "Загальноміські святкові заходи та акції на 2014 рік" затверджена рішенням міської ради від     №</t>
  </si>
  <si>
    <t xml:space="preserve">Програма створення та ведення містобудівного кадастру міста Запоріжжя, затверджена рішенням міської ради від                 №  </t>
  </si>
  <si>
    <t xml:space="preserve">Програма раціонального використання території та комплексного містобудівного розвитку міста , затверджена рішенням міської ради від     №   </t>
  </si>
  <si>
    <t xml:space="preserve">Міська програма "Розвиток культури і мистецтв у місті Запоріжжя на 2013-2015 роки", затверджена рішенням міської ради від         № </t>
  </si>
  <si>
    <t>Програма використання коштів депутатського фонду, затверджена рішенням міської ради від 30.01.2013 № 8 (зі змінами) - погашення заборгованості за минулий рік</t>
  </si>
  <si>
    <t xml:space="preserve">Міська програма "Поліпшення кінообслуговування населення міста Запоріжжя на 2013-2015 роки" затверджена рішенням міської ради від          №  </t>
  </si>
  <si>
    <t>"Програма надання медичної допомоги хворим на цукровий діабет" на період  2013-2015 років затверджена рішенням міської ради від 30.01.2013 № 21</t>
  </si>
  <si>
    <t xml:space="preserve">Міська цільова програма роботи і розвитку газети Запорізької міської ради "Запорозька Січ"(зі змінами), затверджена рішенням міської ради від     № </t>
  </si>
  <si>
    <t xml:space="preserve">Програма забезпечення проведення аукціонів з продажу права оренди та у власність земельних ділянок на території м.Запоріжжя, затверджена рішенням міської ради від     № </t>
  </si>
  <si>
    <t xml:space="preserve">обсяг власних надходжень,що включені до складу видатків </t>
  </si>
  <si>
    <t>-</t>
  </si>
  <si>
    <t>власні надходження, що включені в програму</t>
  </si>
  <si>
    <t>ліквідація надзвичайних ситуацій</t>
  </si>
  <si>
    <t xml:space="preserve">Програма "Інвентаризація та державна реєстрація об'єктів права комунальної власності територіальної громади м. Запоріжжя на 2014 рік", затверджена рішенням міської ради від 31.01.2014 № 15 </t>
  </si>
  <si>
    <t>Програма "Освіта", затверджена рішенням міської ради від 31.01.2014 № 27</t>
  </si>
  <si>
    <t xml:space="preserve">Програма "Оздоровлення та відпочинок", затверджена рішенням міської ради від 31.01.2014 №27 </t>
  </si>
  <si>
    <t>Програма "Позашкільна освіта", затверджена рішенням міської ради від 31.01.2014 № 27</t>
  </si>
  <si>
    <t>Програма підтримки сім'ї та молоді м. Запоріжжя, затверджена рішенням міської ради від 31.01.2014 № 27</t>
  </si>
  <si>
    <t>Програма "Оздоровлення та відпочинок", затверджена рішенням міської ради від 31.01.2014 № 27</t>
  </si>
  <si>
    <t>Програма "Фізична культура та спорт", затверджена рішенням міської ради від 31.01.2014 № 27</t>
  </si>
  <si>
    <t>Програма економічного і соціального розвитку м.Запоріжжя на 2014 рік, затверджена рішенням міської ради від 31.01.2014 №4</t>
  </si>
  <si>
    <t>Програма "Фізична культура та спорт", затверджена рішенням міської ради від 31.01.2014 №27</t>
  </si>
  <si>
    <t>Програма "Про забезпечення екологічної безпеки міста на 2014-2016 роки", затверджена рішенням міської ради від    31.01.2014 № 8</t>
  </si>
  <si>
    <t>Цільова комплексна програма забезпечення молоді міста Запоріжжя житлом, затверджена рішенням міської ради від 31.01.2014 № 27</t>
  </si>
  <si>
    <t>"Програма надання медичної допомоги окремим верствам населення" на період  2013-2015 років, затверджена рішенням міської ради від 31.01.2014 № 26</t>
  </si>
  <si>
    <t>"Програма надання медичної допомоги хворим на цукровий діабет" на період  2013-2015 років, затверджена рішенням міської ради від 31.01.2014 № 26</t>
  </si>
  <si>
    <t>Міська комплексна програма соціального захисту населення міста Запоріжжя, затверджена рішенням міської ради від 31.01.2014 № 24</t>
  </si>
  <si>
    <t>Міська програма "Загальноміські святкові заходи та акції на 2014 рік", затверджена рішенням міської ради від 31.01.2014 №25</t>
  </si>
  <si>
    <t xml:space="preserve">Програма раціонального використання території та комплексного містобудівного розвитку міста , затверджена рішенням міської ради від 31.01.2014 № 22  </t>
  </si>
  <si>
    <t xml:space="preserve">Програма раціонального використання території та комплексного містобудівного розвитку міста , затверджена рішенням міської ради від 31.01.2014 №22  </t>
  </si>
  <si>
    <t xml:space="preserve">Програма "Інвентаризація та державна реєстрація об'єктів права комунальної власності територіальної громади м. Запоріжжя на 2014 рік", затверджена рішенням міської ради від 31.01.2014 №15 </t>
  </si>
  <si>
    <t xml:space="preserve">Програма забезпечення проведення аукціонів з продажу права оренди та у власність земельних ділянок на території м.Запоріжжя, затверджена рішенням міської ради від 31.01.2014 №21 </t>
  </si>
  <si>
    <t xml:space="preserve">Міська цільова програма запобігання і ліквідації надзвичайних ситуацій техногенного та природного характеру, організація рятування на водах на 2014-2016 роки, затверджена рішенням міської ради від 31.01.2014  №10 </t>
  </si>
  <si>
    <t xml:space="preserve">Міська цільова програма "Будівництво, реконструкція та ліквідація аварійного стану об'єктів міста Запоріжжя на 2014-2016 роки", затверджена рішенням міської ради від 31.01.2014 №5 </t>
  </si>
  <si>
    <t xml:space="preserve">Програма підтримки діяльності органів самоорганізації населення міста Запоріжжя, затверджена рішенням міської ради від 31.01.2014  №30 </t>
  </si>
  <si>
    <t xml:space="preserve"> Програма "Фінансування заходів з дератизації відкритих стацій та дезінсекції анофелогенних водоймищ м.Запоріжжя ", затверджена рішенням міської ради від 31.01.2014 №29 </t>
  </si>
  <si>
    <t>Програма "Освіта", затверджена рішенням міської ради від 31.01.2014 №27</t>
  </si>
  <si>
    <t>Міська комплексна програма соціального захисту населення міста Запоріжжя, затверджена рішенням міської ради від 31.01.2014 №24</t>
  </si>
  <si>
    <t>Програма зайнятості населення міста Запоріжжя на період до 2017 року, затверджена рішенням міської ради від 29.05.2013 №13 (зі змінами)</t>
  </si>
  <si>
    <t>Програма "Про забезпечення екологічної безпеки міста на 2014-2016 роки", затверджена рішенням міської ради від 31.01.2014 №8</t>
  </si>
  <si>
    <t xml:space="preserve">Програма підтримки діяльності органів самоорганізації населення міста Запоріжжя, затверджена рішенням міської ради від 31.01.2014 №30 </t>
  </si>
  <si>
    <t>Програма економічного і соціального розвитку м.Запоріжжя на 2014 рік, затверджена рішенням міської ради від   31.01.2014 №4</t>
  </si>
  <si>
    <t>Програма сприяння органів місцевого самоврядування призову громадян у 2013 році, затверджена рішенням міської ради від 23.02.2012 № 19 зі змінами (погашення заборгованості за минулий рік)</t>
  </si>
  <si>
    <t>Компенсаційні виплати на пільговий проїзд електротранспортом окремим категоріям громадян</t>
  </si>
  <si>
    <t>Фінансова підтримка об'єктів житлово-комунального господарства</t>
  </si>
  <si>
    <t>Програма "Організація та проведення заходів щодо відзначення загальнодержавних, міських та районних свят на 2014-2016 роки", затверджена рішенням міської ради від 31.01.2014 №28</t>
  </si>
  <si>
    <t>Міська цільова програма роботи і розвитку газети Запорізької міської ради "Запорозька Січ", затверджена рішенням міської ради від 30.01.2013 №14 (зі змінами)</t>
  </si>
  <si>
    <t xml:space="preserve">Міська цільова програма надання автотранспортних та господарських послуг структурним підрозділам та виконавчому комітету міської ради, затверджена рішенням міської ради від 30.01.2013 №11 (зі змінами)  </t>
  </si>
  <si>
    <t>Програма "Фінансова підтримка комунального спортивно-видовищного підприємства "Юність", затверджена рішенням міської ради від 31.01.2014 №27</t>
  </si>
  <si>
    <t>Програма економічного і соціального розвитку м.Запоріжжя на 2014 рік, затверджена рішенням міської ради від  31.01.2014 №4</t>
  </si>
  <si>
    <t>Міська програма "Розвиток культури і мистецтв у місті Запоріжжя на 2013-2015 роки", затверджена рішенням міської ради від 30.01.2013 №40 (зі змінами)</t>
  </si>
  <si>
    <t xml:space="preserve">Міська програма "Поліпшення кінообслуговування населення міста Запоріжжя на 2013-2015 роки", затверджена рішенням міської ради від 30.01.2013 №40 (зі змінами)  </t>
  </si>
  <si>
    <t>Міська програма "Оцінка вартості пам'яток історії та монументального мистецтва в місті Запоріжжя на 2014 рік"  затверджена рішенням міської ради від 31.01.2014 №25</t>
  </si>
  <si>
    <t>Програма реконструкції ринку Соцміста КП "Запоріжринок" по вул.Рекордній, 2  у м.Запоріжжя на 2014 рік, затверджена рішенням міської ради від 31.01.2014 №16</t>
  </si>
  <si>
    <t>Програма проведення в м.Запоріжжі Покровського ярмарку, затверджена рішенням міської ради від 24.12.2012 № 35 зі змінами (у тому числі погашення заборгованості за минулий рік)</t>
  </si>
  <si>
    <t xml:space="preserve"> Програма сприяння розвитку малого та середнього підприємництва у місті Запоріжжі на 2013-2015 роки, затверджена рішенням міської ради від 25.02.2013 №21 зі змінами (в тому числі погашення заборгованості минулого року)</t>
  </si>
  <si>
    <t>Міська цільова програма "Забезпечення належної, стабільної роботи і розвитку комунального підприємства "Муніципальна телевізійна мережа" (Телеканал "МТМ")", затверджена рішенням міської ради від 25.02.2013 №32 (зі змінами)</t>
  </si>
  <si>
    <t>Міська цільова програма "Забезпечення належної та безперебійної роботи Запорізького комунального підприємства міського електротранспорту "Запоріжелектротранс", затверджена рішенням міської ради від 25.02.2013 №30 (зі змінами)</t>
  </si>
  <si>
    <t>Міська цільова програма "Забезпечення належної та безперебійної роботи Запорізького комунального підприємства міського електротранспорту "Запоріжелектротранс",  затверджена рішенням міської ради від 25.02.2013 №30 (зі змінами)</t>
  </si>
  <si>
    <t>Фінансова підтримка громадських організацій інвалідів та ветеранів</t>
  </si>
  <si>
    <t>Інші культурно-освітні заклади та заходи</t>
  </si>
  <si>
    <t>Лікарні</t>
  </si>
  <si>
    <t>Поліклініки і амбулаторії</t>
  </si>
  <si>
    <t>Загальні та спеціалізовані стоматологічні поліклініки</t>
  </si>
  <si>
    <t>Централізовані бухгалтерії</t>
  </si>
  <si>
    <t>091209</t>
  </si>
  <si>
    <t>250908</t>
  </si>
  <si>
    <t>Надання пільгового довгострокового кредиту громадянам на будівництво (реконструкцію) та придбання житла</t>
  </si>
  <si>
    <t>070401</t>
  </si>
  <si>
    <t>Позашкільні заклади освіти, заходи із позашкільної роботи з дітьми</t>
  </si>
  <si>
    <t>Соціальні програми і заходи державних органів у справах  молоді</t>
  </si>
  <si>
    <t>240601</t>
  </si>
  <si>
    <t>Кінематографія</t>
  </si>
  <si>
    <t>120100</t>
  </si>
  <si>
    <t>Телебачення та радіомовлення</t>
  </si>
  <si>
    <t>170102</t>
  </si>
  <si>
    <t>Код типової відомчої класифікації видатків</t>
  </si>
  <si>
    <t>Код тимчасової класифікації видатків та кредитування</t>
  </si>
  <si>
    <t>Назва головного розпорядника коштів, найменування коду тимчасової класифікації видатків та кредитування місцевих бюджетів</t>
  </si>
  <si>
    <t>Департамент фінансової та бюджетної політики Запорізької міської ради</t>
  </si>
  <si>
    <t>Виконавчий комітет міської ради</t>
  </si>
  <si>
    <t>150118</t>
  </si>
  <si>
    <t>Районна адміністрація Запорізької міської ради по Ленінському району</t>
  </si>
  <si>
    <t>160101</t>
  </si>
  <si>
    <t>Землеустрій</t>
  </si>
  <si>
    <t>Районна адміністрація Запорізької міської ради по Хортицькому району</t>
  </si>
  <si>
    <t>Районна адміністрація Запорізької міської ради по Орджонікідзевському району</t>
  </si>
  <si>
    <t>Районна адміністрація Запорізької міської ради по Жовтневому району</t>
  </si>
  <si>
    <t>Районна адміністрація Запорізької міської ради по Шевченківському району</t>
  </si>
  <si>
    <t>Районна адміністрація Запорізької міської ради по Заводському району</t>
  </si>
  <si>
    <t>Районна адміністрація Запорізької міської ради по Комунарському району</t>
  </si>
  <si>
    <t>Департамент освіти і науки, молоді та спорту Запорізької міської ради</t>
  </si>
  <si>
    <t>Управління з питань охорони здоров'я Запорізької міської ради</t>
  </si>
  <si>
    <t>Управління соціального захисту населення Запорізької міської ради</t>
  </si>
  <si>
    <t>Управління з питань попередження надзвичайних ситуацій та цивільного захисту населення Запорізької міської ради</t>
  </si>
  <si>
    <t>Департамент комунальної власності та приватизації Запорізької міської ради</t>
  </si>
  <si>
    <t>Управління культури і мистецтв Запорізької міської ради</t>
  </si>
  <si>
    <t>Департамент архітектури та містобудування Запорізької міської ради</t>
  </si>
  <si>
    <t>Управління з питань екологічної безпеки Запорізької міської ради</t>
  </si>
  <si>
    <t>Управління з питань транспортного забезпечення та зв'язку Запорізької міської ради</t>
  </si>
  <si>
    <t>Департамент економічного розвитку Запорізької міської ради</t>
  </si>
  <si>
    <t>Управління з питань земельних відносин Запорізької міської ради</t>
  </si>
  <si>
    <t>Загальний фонд</t>
  </si>
  <si>
    <t>Найменування програми</t>
  </si>
  <si>
    <t>Сума</t>
  </si>
  <si>
    <t>Спеціальний фонд</t>
  </si>
  <si>
    <t xml:space="preserve">Разом </t>
  </si>
  <si>
    <t>(грн.)</t>
  </si>
  <si>
    <t>Всього</t>
  </si>
  <si>
    <t>070101</t>
  </si>
  <si>
    <t>070201</t>
  </si>
  <si>
    <t>070202</t>
  </si>
  <si>
    <t>091108</t>
  </si>
  <si>
    <t>240900</t>
  </si>
  <si>
    <t>080101</t>
  </si>
  <si>
    <t>080300</t>
  </si>
  <si>
    <t>080500</t>
  </si>
  <si>
    <t>081004</t>
  </si>
  <si>
    <t>081009</t>
  </si>
  <si>
    <t>250404</t>
  </si>
  <si>
    <t>120201</t>
  </si>
  <si>
    <t>091101</t>
  </si>
  <si>
    <t>091102</t>
  </si>
  <si>
    <t>091103</t>
  </si>
  <si>
    <t>170603</t>
  </si>
  <si>
    <t>Інші заходи у сфері електротранспорту</t>
  </si>
  <si>
    <t>150101</t>
  </si>
  <si>
    <t>Капітальні вкладення</t>
  </si>
  <si>
    <t>090412</t>
  </si>
  <si>
    <t>170203</t>
  </si>
  <si>
    <t>210105</t>
  </si>
  <si>
    <t>Видатки на запобігання та ліквідацію надзвичайних ситуацій та наслідків стихійного лиха</t>
  </si>
  <si>
    <t>210110</t>
  </si>
  <si>
    <t xml:space="preserve">Заходи з організації рятування на водах </t>
  </si>
  <si>
    <t>Інші видатки</t>
  </si>
  <si>
    <t>Інші видатки на соціальний захист населення</t>
  </si>
  <si>
    <t>100203</t>
  </si>
  <si>
    <t>Благоустрій міст, сіл, селищ</t>
  </si>
  <si>
    <t>170703</t>
  </si>
  <si>
    <t>Видатки на проведення робіт, пов'язаних із будівництвом, реконструкцією, ремонтом і утриманням автомобільних доріг</t>
  </si>
  <si>
    <t>180409</t>
  </si>
  <si>
    <t>150121</t>
  </si>
  <si>
    <t>Заходи з упередження аварій та запобігання техногенних катастроф у житлово-комунальному господарстві та на інших аварійних об'єктах комунальної власності</t>
  </si>
  <si>
    <t>250344</t>
  </si>
  <si>
    <t>180404</t>
  </si>
  <si>
    <t>Заходи з оздоровлення та відпочинку дітей, крім заходів на оздоровлення дітей,що здійснюються за рахунок коштів на оздоровлення громадян, які постраждали внаслідок Чорнобильської катастрофи</t>
  </si>
  <si>
    <t>Періодичні видання (газети і журнали)</t>
  </si>
  <si>
    <t>Цільові фонди, утворені органами місцевого самоврядування</t>
  </si>
  <si>
    <t>Охорона та раціональне використання природних ресурсів</t>
  </si>
  <si>
    <t>Дошкільні заклади освіти</t>
  </si>
  <si>
    <t>Загальноосвітні школи (в т.ч.школа-дитячий садок, інтернат при школі), спеціалізовані школи, ліцеї, гімназії, колегіуми)</t>
  </si>
  <si>
    <t>Вечірні (змінні) школи</t>
  </si>
  <si>
    <t>130107</t>
  </si>
  <si>
    <t>080203</t>
  </si>
  <si>
    <t>081002</t>
  </si>
  <si>
    <t>Інші заходи по охороні здоров'я</t>
  </si>
  <si>
    <t>100102</t>
  </si>
  <si>
    <t>Капітальний ремонт житлового фонду місцевих органів влади</t>
  </si>
  <si>
    <t>Благоустрій сіл, селищ, міст</t>
  </si>
  <si>
    <t>170602</t>
  </si>
  <si>
    <t>Програма по похованню померлих безрідних та невідомих громадян міста на 2012-2014 роки</t>
  </si>
  <si>
    <t>70806</t>
  </si>
  <si>
    <t>Інші заклади освіти</t>
  </si>
  <si>
    <t>підтр.призову та забезп.тер.оборони міста на 2014 рік</t>
  </si>
  <si>
    <t xml:space="preserve">Програма підтримки муніципального кредитного рейтингу, затверджена рішенням міської ради від 31.01.2014  №6 </t>
  </si>
  <si>
    <t>Програма підтримки призову на військову строкову службу та забезпечення територіальної оборони міста на 2014 рік, затверджена рішенням міської ради від 10.09.2014 № 53</t>
  </si>
  <si>
    <r>
      <t xml:space="preserve">                                     </t>
    </r>
    <r>
      <rPr>
        <b/>
        <u val="single"/>
        <sz val="22"/>
        <rFont val="Times New Roman"/>
        <family val="1"/>
      </rPr>
      <t>10.09.2014 №18</t>
    </r>
  </si>
  <si>
    <t>Програма будівництва та реконструкції об'єктів міста Запоріжжя на 2012 рік</t>
  </si>
  <si>
    <t>Програма придбання житла для багатодітної родини на 2012 рік</t>
  </si>
  <si>
    <t>Програма посилення контролю за станом громадського порядку  на 2012 рік</t>
  </si>
  <si>
    <t>Надання медичної допомоги населенню в міських лікарнях на період  2012-2014 роки</t>
  </si>
  <si>
    <t>Надання первинної медико-санітарної допомоги населенню в самостійних поліклініках міста на період 2012-2014 роки</t>
  </si>
  <si>
    <t>Програма компенсації пільгових перевезень окремих категорій громадян автомобільним транспортом до садово-огородніх ділянок на 2012-2014 роки</t>
  </si>
  <si>
    <t>03</t>
  </si>
  <si>
    <t>90</t>
  </si>
  <si>
    <t>91</t>
  </si>
  <si>
    <t>92</t>
  </si>
  <si>
    <t>93</t>
  </si>
  <si>
    <t>94</t>
  </si>
  <si>
    <t>95</t>
  </si>
  <si>
    <t>96</t>
  </si>
  <si>
    <t>10</t>
  </si>
  <si>
    <t>14</t>
  </si>
  <si>
    <t>15</t>
  </si>
  <si>
    <t>67</t>
  </si>
  <si>
    <t>40</t>
  </si>
  <si>
    <t>45</t>
  </si>
  <si>
    <t>32</t>
  </si>
  <si>
    <t>24</t>
  </si>
  <si>
    <t>65</t>
  </si>
  <si>
    <t>48</t>
  </si>
  <si>
    <t>60</t>
  </si>
  <si>
    <t>75</t>
  </si>
  <si>
    <t>73</t>
  </si>
  <si>
    <t>56</t>
  </si>
  <si>
    <t>130110</t>
  </si>
  <si>
    <t>Фінансова підтримка спортивних споруд</t>
  </si>
  <si>
    <t>130102</t>
  </si>
  <si>
    <t>Проведення навчально-тренувальних зборів і змагань</t>
  </si>
  <si>
    <t>110102</t>
  </si>
  <si>
    <t>Театри</t>
  </si>
  <si>
    <t>110201</t>
  </si>
  <si>
    <t>Бібліотеки</t>
  </si>
  <si>
    <t>091204</t>
  </si>
  <si>
    <t>Територіальні центри соціального обслуговування (надання соціальних послуг)</t>
  </si>
  <si>
    <t>010116</t>
  </si>
  <si>
    <t>Органи місцевого самоврядування</t>
  </si>
  <si>
    <t>110205</t>
  </si>
  <si>
    <t>Школи естетичного виховання дітей</t>
  </si>
  <si>
    <t>110204</t>
  </si>
  <si>
    <t>Палаци і будинки культури, клуби та інші заклади клубного типу</t>
  </si>
  <si>
    <t>Здійснення ефективної реалізації районною адміністрацією Запорізької міської ради по Ленінському району виконання власних та делегованих повноважень у 2012-2014 роках</t>
  </si>
  <si>
    <t>Здійснення ефективної реалізації районною адміністрацією Запорізької міської ради по Шевченківському району виконання власних та делегованих повноважень у 2012-2014 роках</t>
  </si>
  <si>
    <t>Управління розвитку підприємництва та дозвільних послуг Запорізької міської ради</t>
  </si>
  <si>
    <t>Керівництво і управління в галузі охорони здоров"я міста Запоріжжя на період 2012-2014 роки</t>
  </si>
  <si>
    <t>Ефективне управління у галузі техногенно-екологічної безпеки, цивільного захисту та надзвичайних ситуацій у 2012-2014 роках</t>
  </si>
  <si>
    <t>20</t>
  </si>
  <si>
    <t>Здійснення повноважень органів місцевого самоврядування у справах дітей на 2012-2014 роки</t>
  </si>
  <si>
    <t>Здійснення повноважень органів місцевого самоврядування в частині постійного самоврядного контролю у сфері благоустрою міста Запоріжжя на 2012-2014 роки</t>
  </si>
  <si>
    <t>Керівництво і управління в галузі культури та мистецтв м.Запоріжжя на 2012-2014 роки</t>
  </si>
  <si>
    <t>Служба (управління) у справах дітей Запорізької міської ради</t>
  </si>
  <si>
    <t>Керівництво і управління в галузі охорони навколишнього середовища на 2012-2014 роки</t>
  </si>
  <si>
    <t>33</t>
  </si>
  <si>
    <t>Управління реєстрації та єдиного реєстру Запорізької міської ради</t>
  </si>
  <si>
    <t>Забезпечення ефективного управління пасажирським транспортом загального користування та створення сприятливих умов для фкнкціонування транспортної інфраструктури у місті Запоріжжі на 2012-2014 роки</t>
  </si>
  <si>
    <t>Забезпечення керівництва та управління в галузі бюджету та фінансів на 2012-2014 роки</t>
  </si>
  <si>
    <t>Інспекція з благоустрою Запорізької міської ради</t>
  </si>
  <si>
    <t>23</t>
  </si>
  <si>
    <t>Управління з питань правового забезпечення роботи галузей міського господарства Запорізької міської ради</t>
  </si>
  <si>
    <t>Керівництво і управління у сфері правового забезпечення роботи галузей міського господарства Запорізької міської ради на період 2012-2014 роки</t>
  </si>
  <si>
    <t>Програма "Здійснення ефективного управління в галузі освіти і науки, молоді та спорту на 2012-2014 роки"</t>
  </si>
  <si>
    <t>Утримання та навчально-тренувальна робота дитячо-юнацьких спортивних шкіл</t>
  </si>
  <si>
    <t>Видатки на проведення виборів народних депутатів Автономної Республіки Крим, місцевих рад, сільських, селищних, міських голів</t>
  </si>
  <si>
    <t>76</t>
  </si>
  <si>
    <t>Обслуговування  боргу</t>
  </si>
  <si>
    <t>Субвенція з місцевого бюджету до державного бюджету на виконання програм соціально-економічного  та культурного розвитку регіонів</t>
  </si>
  <si>
    <t>Програма підтримки громадських ініціатив в м.Запоріжжі на 2012 рік</t>
  </si>
  <si>
    <t xml:space="preserve">                                     Додаток 8</t>
  </si>
  <si>
    <t xml:space="preserve">                                     до рішення міської ради</t>
  </si>
  <si>
    <t xml:space="preserve">Програма будівництва  об'єкту благоустрою (мобільної туалетної кабіни) в парку Металургів м.Запоріжжя на 2012 рік  </t>
  </si>
  <si>
    <t>Секретар міської ради</t>
  </si>
  <si>
    <t>Р.О.Таран</t>
  </si>
  <si>
    <t>Програма благоустрою міста та фінансування комунальних підприємств на поповнення обігових коштів, статутних капіталів і придбання обладнання та матеріалів на 2012-2014 роки</t>
  </si>
  <si>
    <t>Програма забезпечення громадської безпеки і профілактики злочинності у м.Запоріжжі, розвитку матеріально-технічної бази підрозділу ВВ МВС України військової частини 3033 на 2012 рік</t>
  </si>
  <si>
    <t>Житлове будівництво та придбання житла для окремих категорій населення</t>
  </si>
  <si>
    <t>"Програма розвитку охорони здоров'я міста Запоріжжя" на період 2013-2015 роки, затверджена рішенням міської ради від 31.01.2014 № 26 (зі змінами)</t>
  </si>
  <si>
    <r>
      <t xml:space="preserve">Програма розвитку земельних відносин у місті Запоріжжя на 2014 рік, затверджена рішенням </t>
    </r>
    <r>
      <rPr>
        <sz val="11"/>
        <rFont val="Times New Roman"/>
        <family val="1"/>
      </rPr>
      <t>міської ради від 26.03.2014 № 7</t>
    </r>
  </si>
  <si>
    <t>Програма  використання коштів цільового фонду міської ради на 2014 рік, затверджена рішенням міської ради від 31.01.2014 №7 (зі змінами)</t>
  </si>
  <si>
    <t>180410</t>
  </si>
  <si>
    <t>Інші заходи, пов'язані з економічною діяльністю</t>
  </si>
  <si>
    <t>170103</t>
  </si>
  <si>
    <t>Інші заходи у сфері автомобільного транспорту</t>
  </si>
  <si>
    <t>Міська цільова програма впровадження та забезпечення працездатності систем об'єктивного відеоспостереження у м.Запоріжжі, затверджена рішенням міської ради від 31.01.2014 №12 (зі змінами)</t>
  </si>
  <si>
    <t>Програма створення та ведення містобудівного кадастру міста Запоріжжя, затверджена рішенням міської ради від 31.01.2014 №20 (зі змінами)</t>
  </si>
  <si>
    <t>Програма "Фінансування заходів із придбання житла для окремих категорій населення у 2012 році"</t>
  </si>
  <si>
    <t>інші видатки</t>
  </si>
  <si>
    <t>150107</t>
  </si>
  <si>
    <t>Житлове будівництво і придбання житла  військовослужбовцям та особам рядового і начальницького складу, звільненим у запас або відставку за станом здоров'я, віком, вислугою років та у зв'язку 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обов'язків, а також учасникам бойових дій в Афганістані та воєнних конфліктів</t>
  </si>
  <si>
    <t>Фінансування енергозберігаючих заходів</t>
  </si>
  <si>
    <t>171000</t>
  </si>
  <si>
    <t>Діяльність і послуги, не віднесені до інших категорій</t>
  </si>
  <si>
    <t>100101</t>
  </si>
  <si>
    <t>Житлово-експлуатаційне господарство</t>
  </si>
  <si>
    <t>Підтримка малого і середнього підприємництва</t>
  </si>
  <si>
    <t xml:space="preserve">Видатки на запобігання та ліквідацію надзвичайних ситуацій та наслідків стихійного лиха </t>
  </si>
  <si>
    <t>Компенсацйні виплати на пільговий проїзд електротранспортом окремим категоріям громадян</t>
  </si>
  <si>
    <t>Цільові фонди, утворені Верховною Радою Автономної Республіки Крим, органами місцевого самоврядування і місцевими органами виконавчої влади</t>
  </si>
  <si>
    <t>Управління комунального господарства та дорожнього будівництва Запорізької міської ради</t>
  </si>
  <si>
    <t>41</t>
  </si>
  <si>
    <t>Внески органів влади Автономної Республіки Крим та органів місцевого самоврядування у статутні капітали суб'єктів підприємницької діяльності</t>
  </si>
  <si>
    <t>Департамент житлово-комунального господарства Запорізької міської ради</t>
  </si>
  <si>
    <t xml:space="preserve">Програма розвитку та утримання житлово-комунального господарства м.Запоріжжя на 2013-2015 роки </t>
  </si>
  <si>
    <t>Програма "Освіта"</t>
  </si>
  <si>
    <t>Міська комплексна програма соціального захисту населення міста Запоріжжя</t>
  </si>
  <si>
    <t>Перинатальні центри, пологові будинки</t>
  </si>
  <si>
    <t>Забезпечення централізованих заходів з лікування хворих на цукровий та нецукровий діабет</t>
  </si>
  <si>
    <t>Програма розвитку та утримання житлово-комунального господарства м.Запоріжжя на 2013-2015 роки ( в тому числі погашення заборгованості минулого року)</t>
  </si>
  <si>
    <t xml:space="preserve">Компенсаційні виплати на пільговий проїзд автомобільним транспортом окремим категоріям громадян </t>
  </si>
  <si>
    <t>Компенсаційні виплати на пільговий проїзд окремих категорій громадян на водному транспорті</t>
  </si>
  <si>
    <t>Утримання центрів соціальних служб для сім'ї, дітей та молоді</t>
  </si>
  <si>
    <t>Програми і заходи центрів соціальних служб для сім'ї, дітей та молоді</t>
  </si>
  <si>
    <t>Соціальні програми і заходи державних органів у справах молоді</t>
  </si>
  <si>
    <t>130112</t>
  </si>
  <si>
    <t>130106</t>
  </si>
  <si>
    <t>Проведення навчально-тренувальних зборів і змагань з неолімпійських видів спорту</t>
  </si>
  <si>
    <t>Програма підтримки сім'ї та молоді м. Запоріжжя, затверджена рішенням міської ради від 25.02.2013 № 25</t>
  </si>
  <si>
    <t>Програма "Фізична культура та спорт", затверджена рішенням міської ради від 25.02.2013 № 25</t>
  </si>
  <si>
    <t>"Програма надання медичної допомоги окремим верствам населення" на період  2013-2015 роківзатверджена рішенням міської ради від 30.01.2013 № 21</t>
  </si>
  <si>
    <t>"Програма надання медичної допомоги хворим на цукровий діабет" на період  2013-2015 роківзатверджена рішенням міської ради від 30.01.2013 № 21</t>
  </si>
  <si>
    <t xml:space="preserve">Міська комплексна програма соціального захисту населення міста Запоріжжя затверджена рішенням міської ради від 30.01.2013 № 24 </t>
  </si>
  <si>
    <t xml:space="preserve">Міська комплексна програма соціального захисту населення міста Запоріжжязатверджена рішенням міської ради від 30.01.2013 № 24 </t>
  </si>
  <si>
    <t>Міська програма "Розвиток культури і мистецтв у місті Запоріжжя на 2013-2015 роки", затверджена рішенням міської ради від 30.01.2013 № 40</t>
  </si>
  <si>
    <t>Міська програма "Розвиток культури і мистецтв у місті Запоріжжя на 2013-2015 роки" затверджена рішенням міської ради від 30.01.2013 № 40</t>
  </si>
  <si>
    <t>Міська програма "Поліпшення кінообслуговування населення міста Запоріжжя на 2013-2015 роки" затверджена рішенням міської ради від 30.01.2013 № 40</t>
  </si>
  <si>
    <t>Міська програма "Оцінка вартості пам'яток історії та монументального мистецтва в місті Запоріжжя на 2013 рік"  затверджена рішенням міської ради від 30.01.2013 № 40</t>
  </si>
  <si>
    <t>Програма проведення в м.Запоріжжі Покровського ярмарку, затверджена рішенням міської ради від 24.12.2012 № 35</t>
  </si>
  <si>
    <t>Програма економічного і соціального розвитку м.Запоріжжя на 2013 рік, затверджена рішенням міської ради від 24.12.2012 № 8</t>
  </si>
  <si>
    <t>Міська цільова програма "Забезпечення належної та безперебійної роботи Запорізького комунального підприємства міського електротранспорту "Запоріжелектротранс", затверджена рішенням міської ради від 25.02.2013 № 30</t>
  </si>
  <si>
    <t>Програма підтримки діяльності органів самоорганізації населення міста Запоріжжя, затверджена рішенням міської ради від 30.01.2013 № 26</t>
  </si>
  <si>
    <t>Міська цільова програма забезпечення погашення заборгованості при реалізації Програми придбання житла для воїнів-інтернаціоналістів у 2012 році, затверджена рішенням міської ради від 30.01.2013 № 13</t>
  </si>
  <si>
    <t>Програма "Фінансова підтримка комунального спортивно-видовищного підприємства "Юність", затверджена рішенням міської ради від 30.01.2013 № 25</t>
  </si>
  <si>
    <t>Міська цільова Програма "Фінансова допомога комунальному підприємству "Управління капітального будівництва" у 2013 році", затверджена рішенням міської ради від 30.01.2013 № 6</t>
  </si>
  <si>
    <t>Міська цільова Програма "Фінансування заходів з дератизації відкритих стацій та дезінсекції анофелогенних водоймищ м.Запоріжжя на 2013 рік", затверджена рішенням міської ради від 30.01.2013 № 41</t>
  </si>
  <si>
    <t>Програма "Здійснення заходів щодо проведення незалежної оцінки об'єктів м.Запоріжжя на 2012 рік" (погашення заборгованості минулого року), затверджена рішенням міської ради від 23.02.2013 № 52</t>
  </si>
  <si>
    <t>Програма сприяння діяльності ветеранів спорту у здійсненні фізкультурно-спортивних заходів на 2013 рік, затверджена рішенням міської ради від 25.02.2013 № 51</t>
  </si>
  <si>
    <t>100106</t>
  </si>
  <si>
    <t>Капітальний ремонт житлового фонду об'єднань співвласників багатоквартирних будинків</t>
  </si>
  <si>
    <t>Програма сприяння органів місцевого самоврядування призову громадян у 2013 році, затверджена рішенням міської ради від 23.02.2012 № 19 (зі змінами)</t>
  </si>
  <si>
    <t>Програма "Позашкільна освіта", затверджена рішенням міської ради від 25.02.2013 № 25 (зі змінами)</t>
  </si>
  <si>
    <t>Програма використання коштів депутатського фонду, затверджена рішенням міської ради від 30.01.2013 № 8 (зі змінами)</t>
  </si>
  <si>
    <t>деп.фонд пот.</t>
  </si>
  <si>
    <t>деп.фонд кред.заб.</t>
  </si>
  <si>
    <t>Екон.і соц.розвиток</t>
  </si>
  <si>
    <t>інвентаризація</t>
  </si>
  <si>
    <t>газета ЗАПОРІЗЬКА СІЧ</t>
  </si>
  <si>
    <t>цільовий фонд</t>
  </si>
  <si>
    <t>РОЗВИТОК ЖКГ</t>
  </si>
  <si>
    <t>Держ.пам"ятні дати</t>
  </si>
  <si>
    <t>ОСВІТА</t>
  </si>
  <si>
    <t>Оздор.та відпочинок</t>
  </si>
  <si>
    <t>Позашкільна освіта</t>
  </si>
  <si>
    <t>Підтримки сім"ї та молоді</t>
  </si>
  <si>
    <t>Фіз.культ.і спорт</t>
  </si>
  <si>
    <t>фін.підтримка ЮНІСТЬ</t>
  </si>
  <si>
    <t>Розвиток туризму</t>
  </si>
  <si>
    <t>Ціл.компл.прогр.заб.молоді житлом</t>
  </si>
  <si>
    <t>Ендопротезування</t>
  </si>
  <si>
    <t>Мед.допом.окремим верствам нас.</t>
  </si>
  <si>
    <t>Мед.допом.на цукровий діабет</t>
  </si>
  <si>
    <t>Зайнятість</t>
  </si>
  <si>
    <t>Кінообслуговування</t>
  </si>
  <si>
    <t>Загальноміські святкові заходи та акції</t>
  </si>
  <si>
    <t>Оцінка вартості пам"яток історії</t>
  </si>
  <si>
    <t>реконст.ринку Соцміста</t>
  </si>
  <si>
    <t>Ярмарка</t>
  </si>
  <si>
    <t>сприяння розвитку малого та серед.підпр.-ва</t>
  </si>
  <si>
    <t>Міська прогр.на первинний внесок</t>
  </si>
  <si>
    <t>Рац.вик-ня та містобуд.розв.</t>
  </si>
  <si>
    <t>Аукціони</t>
  </si>
  <si>
    <t>розв.Земел.відносин</t>
  </si>
  <si>
    <t>Орг.перевезень в автотрансп.до сад.-город.</t>
  </si>
  <si>
    <t>Запоріжелектротранс</t>
  </si>
  <si>
    <t>Аеропорт</t>
  </si>
  <si>
    <t>Буд.та лікв.авар.стану об"єктів</t>
  </si>
  <si>
    <t>Муніц.кредит.рейт.</t>
  </si>
  <si>
    <t>Підтримки самоорган.насел.</t>
  </si>
  <si>
    <t>Дератизація та дезінсекція</t>
  </si>
  <si>
    <t>Призов</t>
  </si>
  <si>
    <t>Орг.та пров.зах.щодо свят</t>
  </si>
  <si>
    <t>Програма розвитку туризму у місті Запоріжжя на 2014 - 2016 роки, затверджена рішенням міської ради від 23.04.2014 № 20</t>
  </si>
  <si>
    <t>Міська цільова програма "Організація перевезень мешканців міста Запоріжжя, які мають пільги на проїзд в пасажирському автомобільному транспорті, до садово-городніх ділянок у сезон 2014 року", затверджена рішенням міської ради від 23.04.2014 № 26</t>
  </si>
  <si>
    <t>Міська цільова програма відзначення в м.Запоріжжі державних пам"ятних дат та історичних подій у 2014 році, затверджена рішенням міської ради від 23.04.2014 № 17</t>
  </si>
  <si>
    <t>Міська програма надання цільової фінансової підтримки громадянам на первинний внесок для отримання іпотечних житлових кредитів на будівництво чи придбання доступного житла на території м.Запоріжжя на 2014 - 2016 роки, затверджена рішенням міської ради від 23.04.2014  № 11</t>
  </si>
  <si>
    <t>11 кошик</t>
  </si>
  <si>
    <t>Містобуд.кадастр</t>
  </si>
  <si>
    <t>РАЗОМ</t>
  </si>
  <si>
    <t>власні надходження бюджетних установ</t>
  </si>
  <si>
    <t>розв ОХОРОНИ ЗДОРОВ"Я</t>
  </si>
  <si>
    <t>Утримання центрів соціальних служб для сім"ї, дітей та молоді</t>
  </si>
  <si>
    <t>Міська цільова програма забезпечення участі Запорізької міської ради  в Асоціації міст України, Всеукраїнській громадській організації "Асоціація фінансистів України" , затверджена рішенням міської ради від 25.02.2013 №14 (зі змінами)</t>
  </si>
  <si>
    <t xml:space="preserve">Програма використання коштів депутатського фонду у 2014 році, затверджена рішенням міської ради від 31.01.2014 №48 (зі змінами) </t>
  </si>
  <si>
    <t>Програма економічного і соціального розвитку м.Запоріжжя на 2013 рік, затверджена рішенням міської ради від 24.12.2012 № 8 (зі змінами)</t>
  </si>
  <si>
    <t>Міська цільова програма впровадження та забезпечення працездатності систем об'єктивного відеоспостередження у м.Запоріжжі, затверджена рішенням міської ради від 24.12.2012 №15 (зі змінами)</t>
  </si>
  <si>
    <t>Програма реконструкція об'єктів соціальної сфери міста Запоріжжя на 2012-2014 роки, затверджена рішенням міської ради від 24.12.2012 № 43 (зі змінами)</t>
  </si>
  <si>
    <t>Програма розвитку та утримання житлово-комунального господарства м.Запоріжжя на 2013-2015 роки, затверджена рішенням міської ради від 30.01.2013 № 17 (зі змінами)</t>
  </si>
  <si>
    <t>Міська цільова програма запобігання та ліквідації надзвичайних ситуацій техногенного та природного характеру, організація рятування на водах на 2013-2015 роки, затверджена рішенням міської ради від 30.01.2013 № 16 (зі змінами)</t>
  </si>
  <si>
    <t>Міська цільова Програма "Будівництво, реконструкція та ліквідація аварійного стану об'єктів міста Запоріжжя на 2013-2015 роки", затверджена рішенням міської ради від 30.01.2013 № 6 (зі змінами)</t>
  </si>
  <si>
    <t>Програма "Організація та проведення заходів щодо відзначення загальнодержавних, міських та районних свят на 2013 рік", затверджена рішенням міської ради від 27.03.2013   № 8</t>
  </si>
  <si>
    <t>Програма "Освіта", затверджена рішенням міської ради від 25.02.2013 № 25 (зі змінами)</t>
  </si>
  <si>
    <t>Методична робота, інші заходи у сфері народної освіти</t>
  </si>
  <si>
    <t>070802</t>
  </si>
  <si>
    <t>070805</t>
  </si>
  <si>
    <t>Групи централізованого господарського обслуговування</t>
  </si>
  <si>
    <t>Програма "Оздоровлення та відпочинок", затверджена рішенням міської ради від 25.02.2013 № 25 (зі змінами)</t>
  </si>
  <si>
    <t>Програма  використання коштів цільового фонду міської ради на 2013 рік, затверджена рішенням міської ради від 24.12.2012 № 12 (зі змінами)</t>
  </si>
  <si>
    <t>Міська цільова програма "Забезпечення належної та безперебійної роботи комунального підприємства "Міжнародний аеропорт Запоріжжя", затверджена рішенням міської ради від 30.01.2013 № 20 (зі змінами)</t>
  </si>
  <si>
    <t>Програма "Інвентаризація та державна реєстрація об'єктів права комунальної власності територіальної громади м. Запоріжжя на 2013 рік", затверджена рішенням міської ради від 24.04.2013 № 13</t>
  </si>
  <si>
    <t>070804</t>
  </si>
  <si>
    <t>Централізовані бухгалтерії обласних, міських, районних відділів освіти</t>
  </si>
  <si>
    <t>080800</t>
  </si>
  <si>
    <t>Центри первинної медичної (медико-санітарної) допомоги</t>
  </si>
  <si>
    <t>100209</t>
  </si>
  <si>
    <r>
      <t>Заходи, пов</t>
    </r>
    <r>
      <rPr>
        <sz val="12"/>
        <rFont val="Arial"/>
        <family val="2"/>
      </rPr>
      <t>'</t>
    </r>
    <r>
      <rPr>
        <sz val="12"/>
        <rFont val="Times New Roman"/>
        <family val="1"/>
      </rPr>
      <t>язані з поліпшенням питної води</t>
    </r>
  </si>
  <si>
    <t>Інші субвенції</t>
  </si>
  <si>
    <t xml:space="preserve">Програма "Про забезпечення екологічної безпеки міста на 2013-2015 роки", затверджена рішенням міської ради від 24.12.2012 № 23 (зі змінами) </t>
  </si>
  <si>
    <t>Програма забезпечення проведення аукціонів з продажу права оренди та у власність земельних ділянок на території м.Запоріжжя на 2013-2015 роки, затверджена рішенням міської ради від 24.12.2012 № 84</t>
  </si>
  <si>
    <t>"Програма розвитку охорони здоров'я міста Запоріжжя" на період 2013-2015 роки, затверджена рішенням міської ради від 30.01.2013 № 21 (зі змінами)</t>
  </si>
  <si>
    <t>Програма "Розвитку ендопротезування великих суглобів в місті Запоріжжі на 2013-2017 роки"затверджена рішенням міської ради від 24.12.2012 № 54</t>
  </si>
  <si>
    <t>26</t>
  </si>
  <si>
    <t>Відділ охорони культурної спадщини Запорізької міської ради</t>
  </si>
  <si>
    <t>Міська цільова програма "Забезпечення належної, стабільної роботи і розвитку комунального підприємства "Муніципальна телевізійна мережа" (Телеканал "МТМ")", затверджена рішенням міської ради від 25.02.2013 № 32 (зі змінами)</t>
  </si>
  <si>
    <t>Програма "Інвентаризація та державна реєстрація об'єктів права комунальної власності територіальної громади м. Запоріжжя на 2013 рік", затверджена рішенням міської ради від 24.04.2013 №13</t>
  </si>
  <si>
    <t>Міська цільова програма забезпечення участі Запорізької міської ради  в Асоціації міст України, Всеукраїнській громадській організації "Асоціація фінансистів України" та Асоціації "Международная Ассамблея столиц и крупных городов", затверджена рішенням міської ради від 25.02.2013 №14</t>
  </si>
  <si>
    <t>Міська програма "Загальноміські святкові заходи та акції на 2013 рік" затверджена рішенням міської ради від 30.01.2013 №40</t>
  </si>
  <si>
    <t>Програма економічного і соціального розвитку м.Запоріжжя на 2013 рік, затверджена рішенням міської ради від 24.12.2012 №8 (зі змінами)</t>
  </si>
  <si>
    <t>Програма розвитку земельних відносин у місті Запоріжжя на 2013 рік, затверджена рішенням міської ради від 25.02.2013 №26</t>
  </si>
  <si>
    <t>250913</t>
  </si>
  <si>
    <t>Витрати, пов'язані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</si>
  <si>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Міська цільова програма "Про підвищення безпеки дорожнього руху на автомобільних шляхах міста Запоріжжя", затверджена рішенням міської ради від 20.08.2013 №16</t>
  </si>
  <si>
    <t>Програма зайнятості населення міста Запоріжжя на період до 2017 року, затверджена рішенням міської ради від 29.05.2013 № 13</t>
  </si>
  <si>
    <t>Міська цільова програма "Про підвищення безпеки дорожнього руху на автомобільних шляхах міста Запоріжжя", затверджена рішенням міської ради від 20.08.2013 №16 (зі змінами)</t>
  </si>
  <si>
    <t xml:space="preserve">                                     ___________ № _________</t>
  </si>
  <si>
    <t>Програма "Фінансова підтримка КНВП "Екоцентр" на погашення податкового боргу на 2013 рік", затверджена рішенням міської ради від 27.03.2013 № 34</t>
  </si>
  <si>
    <t>Програма створення та ведення містобудівного кадастру міста Запоріжжя на 2013-2015 роки, затверджена рішенням міської ради від 25.02.2013 № 28 (зі змінами)</t>
  </si>
  <si>
    <t>Програма раціонального використання території та комплексного містобудівного розвитку міста на 2013-2015 роки, затверджена рішенням міської ради від 25.02.2013 № 27 (зі змінами)</t>
  </si>
  <si>
    <t>Програма обслуговування боргу бюджету міста та підтримки муніципального кредитного рейтингу, затверджена рішенням міської ради від 25.02.2013 № 11 (зі змінами)</t>
  </si>
  <si>
    <t>Програма розвитку та утримання житлово-комунального господарства м.Запоріжжя на 2014-2016 роки, затверджена рішенням міської ради від 31.01.2014 № 9 (зі змінами)</t>
  </si>
  <si>
    <t>Програма розвитку та утримання житлово-комунального господарства м.Запоріжжя на 2014-2016 роки, затверджена рішенням міської ради від 31.01.2014 №9 (зі змінами)</t>
  </si>
  <si>
    <t>Міська цільова програма надання фінансової підтримки комунальному підприємству "Центр управління інформаційними техннологіями на 2013 рік", затверджена рішенням міської ради від 29.11.2013 № 45</t>
  </si>
  <si>
    <t>Програма економічного і соціального розвитку м.Запоріжжя на 2014 рік (в тому числі погашення заборгованості минулого року)</t>
  </si>
  <si>
    <t>Міська цільова програма впровадження та забезпечення працездатності систем об'єктивного відеоспостередження у м.Запоріжжі (в тому числі погашення заборгованості минулого року)</t>
  </si>
  <si>
    <t>Програма використання коштів депутатського фонду ( в тому числі погашення заборгованості минулого року)</t>
  </si>
  <si>
    <t>Міська цільова програма роботи й розвитку газети Запорізької міської ради "Запорозька Січ" (в тому числі погашення заборгованості минулого року)</t>
  </si>
  <si>
    <t>Програма  використання коштів цільового фонду міської ради на 2014 рік (в тому числі погашення кредиторської заборгованості минулого року)</t>
  </si>
  <si>
    <t>Міська цільова програма надання автотранспортних та господарських послуг структурним підрозділам та виконавчому комітету міської ради ( в тому числі погашення кредиторської заборгованості)</t>
  </si>
  <si>
    <t>Програма "Освіта" (в тому числі погашення кредиторської заборгованості)</t>
  </si>
  <si>
    <t>Програма "Позашкільна освіта" (в тому числі погашення кредиторської заборгованості)</t>
  </si>
  <si>
    <t>Програма "Фізична культура та спорт" (в тому числі погашення заборгованості минулого року)</t>
  </si>
  <si>
    <t>Програма підтримки сім'ї та молоді м. Запоріжжя ( в тому числі погашення кредиторської заборгованості)</t>
  </si>
  <si>
    <t>Програма "Фізична культура та спорт"(в тому сичлі погашення кредиторської заборгованості)</t>
  </si>
  <si>
    <t>Програма "Про забезпечення екологічної безпеки міста на 2013-2015 роки" ( в тому числі погашення заборгованості минулого року)</t>
  </si>
  <si>
    <t>"Програма розвитку охорони здоров'я міста Запоріжжя" на період 2013-2015 років (в тому числі погашення заборгованості минулого року)</t>
  </si>
  <si>
    <t>Міська комплексна програма соціального захисту населення міста Запоріжжя (в тому числі погашення заборгованості минулого року)</t>
  </si>
  <si>
    <t>Програма "Здійснення соціальної роботи з дітьми, молоддю та сім'ями м. Запоріжжя, які опинились у складних життєвих обставинах та потребують сторонньої допомоги" (в тому числі погашення заборгованості минулого року)</t>
  </si>
  <si>
    <t>Міська програма "Розвиток культури і мистецтв у місті Запоріжжя на 2013-2015 роки"  (в тому числі погашення  заборгованості минулого року)</t>
  </si>
  <si>
    <t>Міська програма "Розвиток культури і мистецтв у місті Запоріжжя на 2013-2015 роки"  (в тому числі погашення заборгованості минулого року)</t>
  </si>
  <si>
    <t>Програма реконструкції ринку Соцміста КП "Запоріжринок" по вул.Рекордна, 2  у м.Запоріжжя на 2014 рік (в тому числі погашення забргованості минулого року)</t>
  </si>
  <si>
    <t xml:space="preserve"> Програма сприяння розвитку малого та середнього підприємництва у місті Запоріжжі на 2013-2015 роки ( в тому числі погашення заборгованості минулого року)</t>
  </si>
  <si>
    <t>Міська цільова програма житлового будівництва та придбання житла для окремих категорій населення на 2013-2015 роки ( в тому числі погашення заборгованості минулого року)</t>
  </si>
  <si>
    <t>Міська програма надання цільової фінансової підтримки громадянам на первинний внесок для отримання іпотечних житлових кредитів на будівництво чи придбання доступного житла на території м.Запоріжжі на 2013-2015 року ( в тому числі погашення заборгованості минулого року)</t>
  </si>
  <si>
    <t>Міська цільова програма підвищення ефективності та посилення контролю за станом громадського порядку (в тому числі погашення заборгованості минулого року)</t>
  </si>
  <si>
    <t>Перелік місцевих програм, які фінансуватимуться за рахунок коштів бюджету міста у 2014 році</t>
  </si>
  <si>
    <t xml:space="preserve">Програма "Організація та проведення заходів щодо відзначення загальнодержавних, міських та районних свят ", затверджена рішенням міської ради від     № </t>
  </si>
  <si>
    <t xml:space="preserve">Програма підтримки діяльності органів самоорганізації населення міста Запоріжжя, затверджена рішенням міської ради від       № </t>
  </si>
  <si>
    <t>Програма сприяння органів місцевого самоврядування призову громадян у 2013 році, затверджена рішенням міської ради від 23.02.2012 № 19 зі змінами (у тому числі погашення заборгованості за минулий рік)</t>
  </si>
  <si>
    <t>Програма проведення в м.Запоріжжі Покровського ярмарку, затверджена рішенням міської ради від 24.12.2012 № 35 зі змінами ( у тому числі погашення заборгованості за минулий рік)</t>
  </si>
  <si>
    <t>Програма зайнятості населення міста Запоріжжя на період до 2017 року, затверджена рішенням міської ради від 29.05.2013 № 13 (зі змінами)</t>
  </si>
  <si>
    <t>комітети</t>
  </si>
  <si>
    <t>призов</t>
  </si>
  <si>
    <t>свята</t>
  </si>
  <si>
    <t>дератизація</t>
  </si>
  <si>
    <t>інвентариз</t>
  </si>
  <si>
    <t>охорона</t>
  </si>
  <si>
    <t xml:space="preserve">Програма підтримки муніципального кредитного рейтингу, затверджена рішенням міської ради від   № </t>
  </si>
  <si>
    <t xml:space="preserve">Програма "Про забезпечення екологічної безпеки міста на 2014-2016 роки", затверджена рішенням міської ради від     № </t>
  </si>
  <si>
    <t>ярмарка</t>
  </si>
  <si>
    <t>зайнятість</t>
  </si>
  <si>
    <t xml:space="preserve">спец не считает </t>
  </si>
  <si>
    <t xml:space="preserve">рейтинг </t>
  </si>
  <si>
    <t xml:space="preserve">Міська цільова програма надання автотранспортних та господарських послуг структурним підрозділам та виконавчому комітету міської ради, затверджена рішенням міської ради від    №  </t>
  </si>
  <si>
    <t>автогосп</t>
  </si>
  <si>
    <t xml:space="preserve">Програма  використання коштів цільового фонду міської ради на 2014 рік, затверджена рішенням міської ради від  № </t>
  </si>
  <si>
    <t xml:space="preserve">Програма  використання коштів цільового фонду міської ради на 2014 рік, затверджена рішенням міської ради від № </t>
  </si>
  <si>
    <t>газета СІЧ</t>
  </si>
  <si>
    <t>Міська цільова програма впровадження та забезпечення працездатності систем об'єктивного відео спостереження у м.Запоріжжі, затверджена рішенням міської ради від     №</t>
  </si>
  <si>
    <t>Міська цільова програма забезпечення участі Запорізької міської ради  в Асоціації міст України, Всеукраїнській громадській організації "Асоціація фінансистів України" та Асоціації "Международная Ассамблея столиц и крупных городов", затверджена рішенням міської ради від       №</t>
  </si>
  <si>
    <t>асоціація городов</t>
  </si>
  <si>
    <t>відео спостереж</t>
  </si>
  <si>
    <t>телеканал МТМ</t>
  </si>
  <si>
    <t>сприяння підприємництво</t>
  </si>
  <si>
    <t>целевой фонд</t>
  </si>
  <si>
    <t xml:space="preserve">Програма "Інвентаризація та державна реєстрація об'єктів права комунальної власності територіальної громади м. Запоріжжя на 2014 рік", затверджена рішенням міської ради від   №  </t>
  </si>
  <si>
    <t xml:space="preserve">Програма "Інвентаризація та державна реєстрація об'єктів права комунальної власності територіальної громади м. Запоріжжя на 2014 рік", затверджена рішенням міської ради від             № </t>
  </si>
  <si>
    <t>070803</t>
  </si>
  <si>
    <t>раціон використ</t>
  </si>
  <si>
    <t>аукціони</t>
  </si>
  <si>
    <t>кадастр</t>
  </si>
  <si>
    <t xml:space="preserve"> Програма "Фінансування заходів з дератизації відкритих стацій та дезінсекції анофелогенних водоймищ м.Запоріжжя ", затверджена рішенням міської ради від     № </t>
  </si>
  <si>
    <t>розв і утриман ЖКХ</t>
  </si>
  <si>
    <t>освіта</t>
  </si>
  <si>
    <t>оздор та відпочинок</t>
  </si>
  <si>
    <t>позашкільна</t>
  </si>
  <si>
    <t>фізкультура</t>
  </si>
  <si>
    <t>підтримка сімї та молоді</t>
  </si>
  <si>
    <t>розв ОХОРОНИ ЗДОРОВЯ</t>
  </si>
  <si>
    <t>розв КУЛЬТУРИ і Мистецтв</t>
  </si>
  <si>
    <t>кінообслуговування</t>
  </si>
  <si>
    <t>святкові заходи та акції</t>
  </si>
  <si>
    <t>МКП  соцзахисту</t>
  </si>
  <si>
    <t>реконструк обєктів соц сфери</t>
  </si>
  <si>
    <t>ЗапоріжЕлектроТранс</t>
  </si>
  <si>
    <t>АЕРОПОРТ</t>
  </si>
  <si>
    <t>безпека дорож руху на шляхах</t>
  </si>
  <si>
    <t>ЕКОбезпека</t>
  </si>
  <si>
    <t xml:space="preserve">Міська цільова програма "Забезпечення належної, стабільної роботи і розвитку комунального підприємства "Муніципальна телевізійна мережа" (Телеканал "МТМ")", затверджена рішенням міської ради від      № </t>
  </si>
  <si>
    <t>Міська цільова програма впровадження та забезпечення працездатності систем об'єктивного відеоспостереження у м.Запоріжжі, затверджена рішенням міської ради від     №</t>
  </si>
  <si>
    <t>150202</t>
  </si>
  <si>
    <t xml:space="preserve">Міська комплексна програма соціального захисту населення міста Запоріжжя, затверджена рішенням міської ради від      №   </t>
  </si>
  <si>
    <t xml:space="preserve">Міська комплексна програма соціального захисту населення міста Запоріжжя, затверджена рішенням міської ради від     №   </t>
  </si>
  <si>
    <t>Програма реконструкції ринку Соцміста КП "Запоріжринок" по вул.Рекордній, 2  у м.Запоріжжя на 2014 рік, затверджена рішенням міської ради від      №</t>
  </si>
  <si>
    <t>Міська цільова програма підвищення ефективності та посилення контролю за станом громадського порядку, затверджена рішенням міської ради від 24.04.2013 №38 (у тому числі погашення заборгованості минулого року)</t>
  </si>
  <si>
    <t>Розробка схем та проектних рішень масового застосування</t>
  </si>
  <si>
    <t>Програма економічного і соціального розвитку м.Запоріжжя на 2014 рік, затверджена рішенням міської ради від      №</t>
  </si>
  <si>
    <t xml:space="preserve">"Програма розвитку охорони здоров'я міста Запоріжжя" на період 2014-2016 роки, затверджена рішенням міської ради від     № </t>
  </si>
  <si>
    <t>081003</t>
  </si>
  <si>
    <t>Служби технічного нагляду за будівництвом та капітальним ремонтом, централізовані бухгалтерії,</t>
  </si>
  <si>
    <t xml:space="preserve">Програма розвитку та утримання житлово-комунального господарства м.Запоріжжя на 2014-2016 роки, затверджена рішенням міської ради від     № </t>
  </si>
  <si>
    <t>100103</t>
  </si>
  <si>
    <t>Фінансова підтримка обєктів житлово-комунального господарства</t>
  </si>
  <si>
    <t xml:space="preserve">Міська програма надання цільової фінансової підтримки громадянам на первинний внесок для отримання іпотечних житлових кредитів на будівництво чи придбання доступного житла на території м.Запоріжжі на 2014-2016 рік затвердженого рішенням міської ради від     №  </t>
  </si>
  <si>
    <t xml:space="preserve">Міська цільова програма "Забезпечення належної та безперебійної роботи Запорізького комунального підприємства міського електротранспорту "Запоріжелектротранс", затверджена рішенням міської ради від     №  </t>
  </si>
  <si>
    <t xml:space="preserve">Міська цільова програма "Забезпечення належної та безперебійної роботи комунального підприємства "Міжнародний аеропорт Запоріжжя", затверджена рішенням міської ради від    №  </t>
  </si>
  <si>
    <t xml:space="preserve">Міська цільова програма запобігання та ліквідації надзвичайних ситуацій техногенного та природного характеру, організація рятування на водах на 2014-2016 роки, затверджена рішенням міської ради від      № </t>
  </si>
  <si>
    <t xml:space="preserve">Міська цільова Програма "Будівництво, реконструкція та ліквідація аварійного стану об'єктів міста Запоріжжя на 2014-2016 роки", затверджена рішенням міської ради від      № </t>
  </si>
  <si>
    <t>Цільова комплексна програма забезпечення молоді міста Запоріжжя житлом, затверджена рішенням міської ради від      №</t>
  </si>
  <si>
    <t xml:space="preserve">Програма "Освіта", затверджена рішенням міської ради від            № </t>
  </si>
  <si>
    <t xml:space="preserve">Програма "Позашкільна освіта", затверджена рішенням міської ради від             № </t>
  </si>
  <si>
    <t xml:space="preserve">Програма "Фізична культура та спорт", затверджена рішенням міської ради від             № </t>
  </si>
  <si>
    <t xml:space="preserve">Програма "Освіта", затверджена рішенням міської ради від       № </t>
  </si>
  <si>
    <t xml:space="preserve">Програма "Позашкільна освіта", затверджена рішенням міської ради від          № </t>
  </si>
  <si>
    <t xml:space="preserve">Програма "Фізична культура та спорт", затверджена рішенням міської ради від        № </t>
  </si>
  <si>
    <t xml:space="preserve">Міська комплексна програма соціального захисту населення міста Запоріжжя, затверджена рішенням міської ради від       № </t>
  </si>
  <si>
    <t xml:space="preserve">Міська комплексна програма соціального захисту населення міста Запоріжжя, затверджена рішенням міської ради від          № </t>
  </si>
  <si>
    <t xml:space="preserve">Міська комплексна програма соціального захисту населення міста Запоріжжя, затверджена рішенням міської ради від            № </t>
  </si>
  <si>
    <t>Міська програма "Загальноміські святкові заходи та акції на 2014 рік" затверджена рішенням міської ради від        №</t>
  </si>
  <si>
    <t xml:space="preserve">Програма розвитку та утримання житлово-комунального господарства м.Запоріжжя на 2014-2016 роки, затверджена рішенням міської ради від              № </t>
  </si>
  <si>
    <t xml:space="preserve">Програма розвитку та утримання житлово-комунального господарства м.Запоріжжя на 2014-2016 роки, затверджена рішенням міської ради від             № </t>
  </si>
  <si>
    <t xml:space="preserve">Програма розвитку та утримання житлово-комунального господарства м.Запоріжжя на 2014-2016 роки, затверджена рішенням міської ради від           № </t>
  </si>
  <si>
    <t xml:space="preserve">Програма розвитку та утримання житлово-комунального господарства м.Запоріжжя на 2014-2016 роки, затверджена рішенням міської ради від         № </t>
  </si>
  <si>
    <t xml:space="preserve">Програма розвитку та утримання житлово-комунального господарства м.Запоріжжя на 2014-2016 роки, затверджена рішенням міської ради від      № </t>
  </si>
  <si>
    <t xml:space="preserve">Програма розвитку та утримання житлово-комунального господарства м.Запоріжжя на 2014-2016 роки, затверджена рішенням міської ради від            № </t>
  </si>
  <si>
    <t xml:space="preserve">Міська цільова програма житлового будівництва та придбання житла для окремих категорій населення на 2014-2016 роки, затверджена рішенням міської ради від          № </t>
  </si>
  <si>
    <t xml:space="preserve">Програма розвитку та утримання житлово-комунального господарства м.Запоріжжя на 2014-2016 роки, затверджена рішенням міської ради від        № </t>
  </si>
  <si>
    <t xml:space="preserve">Програма розвитку та утримання житлово-комунального господарства м.Запоріжжя на 2014-2016 роки, затверджена рішенням міської ради від       № </t>
  </si>
  <si>
    <t xml:space="preserve">Програма "Освіта", затверджена рішенням міської ради від          №   </t>
  </si>
  <si>
    <t xml:space="preserve">Програма "Оздоровлення та відпочинок", затверджена рішенням міської ради від           №  </t>
  </si>
  <si>
    <t>Програма "Позашкільна освіта", затверджена рішенням міської ради від            №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</si>
</sst>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0.0"/>
    <numFmt numFmtId="191" formatCode="0.00000000"/>
    <numFmt numFmtId="192" formatCode="0.0000000"/>
    <numFmt numFmtId="193" formatCode="0.000000"/>
    <numFmt numFmtId="194" formatCode="0.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5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8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Times New Roman"/>
      <family val="1"/>
    </font>
    <font>
      <sz val="16"/>
      <name val="Arial Cyr"/>
      <family val="0"/>
    </font>
    <font>
      <sz val="10"/>
      <name val="Arial Cyr"/>
      <family val="0"/>
    </font>
    <font>
      <sz val="20"/>
      <name val="Times New Roman"/>
      <family val="1"/>
    </font>
    <font>
      <sz val="22"/>
      <name val="Times New Roman"/>
      <family val="1"/>
    </font>
    <font>
      <sz val="12"/>
      <color indexed="61"/>
      <name val="Times New Roman"/>
      <family val="1"/>
    </font>
    <font>
      <u val="single"/>
      <sz val="12"/>
      <name val="Times New Roman"/>
      <family val="1"/>
    </font>
    <font>
      <sz val="12"/>
      <color indexed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sz val="12"/>
      <color indexed="10"/>
      <name val="Times New Roman"/>
      <family val="1"/>
    </font>
    <font>
      <b/>
      <sz val="22"/>
      <name val="Times New Roman"/>
      <family val="1"/>
    </font>
    <font>
      <sz val="24"/>
      <name val="Times New Roman"/>
      <family val="1"/>
    </font>
    <font>
      <sz val="12"/>
      <color indexed="56"/>
      <name val="Times New Roman"/>
      <family val="1"/>
    </font>
    <font>
      <sz val="12"/>
      <color indexed="14"/>
      <name val="Times New Roman"/>
      <family val="1"/>
    </font>
    <font>
      <sz val="12"/>
      <color indexed="18"/>
      <name val="Times New Roman"/>
      <family val="1"/>
    </font>
    <font>
      <sz val="12"/>
      <color indexed="62"/>
      <name val="Times New Roman"/>
      <family val="1"/>
    </font>
    <font>
      <sz val="12"/>
      <color indexed="36"/>
      <name val="Times New Roman"/>
      <family val="1"/>
    </font>
    <font>
      <sz val="12"/>
      <color indexed="9"/>
      <name val="Times New Roman"/>
      <family val="1"/>
    </font>
    <font>
      <sz val="8"/>
      <name val="Arial"/>
      <family val="2"/>
    </font>
    <font>
      <sz val="12"/>
      <color indexed="30"/>
      <name val="Times New Roman"/>
      <family val="1"/>
    </font>
    <font>
      <b/>
      <sz val="11"/>
      <name val="Times New Roman"/>
      <family val="1"/>
    </font>
    <font>
      <b/>
      <sz val="12"/>
      <color indexed="56"/>
      <name val="Times New Roman"/>
      <family val="1"/>
    </font>
    <font>
      <b/>
      <sz val="16"/>
      <name val="Arial Cyr"/>
      <family val="0"/>
    </font>
    <font>
      <sz val="12"/>
      <color indexed="60"/>
      <name val="Times New Roman"/>
      <family val="1"/>
    </font>
    <font>
      <sz val="14"/>
      <color indexed="30"/>
      <name val="Times New Roman"/>
      <family val="1"/>
    </font>
    <font>
      <sz val="14"/>
      <color indexed="10"/>
      <name val="Times New Roman"/>
      <family val="1"/>
    </font>
    <font>
      <sz val="12"/>
      <color indexed="17"/>
      <name val="Times New Roman"/>
      <family val="1"/>
    </font>
    <font>
      <b/>
      <sz val="12"/>
      <color indexed="17"/>
      <name val="Times New Roman"/>
      <family val="1"/>
    </font>
    <font>
      <b/>
      <sz val="14"/>
      <color indexed="30"/>
      <name val="Times New Roman"/>
      <family val="1"/>
    </font>
    <font>
      <b/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2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8" borderId="0" applyNumberFormat="0" applyBorder="0" applyAlignment="0" applyProtection="0"/>
    <xf numFmtId="0" fontId="39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0" fontId="41" fillId="7" borderId="1" applyNumberFormat="0" applyAlignment="0" applyProtection="0"/>
    <xf numFmtId="0" fontId="42" fillId="20" borderId="2" applyNumberFormat="0" applyAlignment="0" applyProtection="0"/>
    <xf numFmtId="0" fontId="43" fillId="20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1" borderId="7" applyNumberFormat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51" fillId="3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5" fillId="4" borderId="0" applyNumberFormat="0" applyBorder="0" applyAlignment="0" applyProtection="0"/>
  </cellStyleXfs>
  <cellXfs count="25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right" vertical="center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1" fontId="1" fillId="0" borderId="0" xfId="0" applyNumberFormat="1" applyFont="1" applyAlignment="1">
      <alignment wrapText="1"/>
    </xf>
    <xf numFmtId="0" fontId="7" fillId="0" borderId="0" xfId="0" applyFont="1" applyAlignment="1">
      <alignment/>
    </xf>
    <xf numFmtId="1" fontId="1" fillId="0" borderId="10" xfId="0" applyNumberFormat="1" applyFont="1" applyFill="1" applyBorder="1" applyAlignment="1">
      <alignment vertic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10" xfId="0" applyFont="1" applyFill="1" applyBorder="1" applyAlignment="1">
      <alignment horizontal="right" vertical="center"/>
    </xf>
    <xf numFmtId="0" fontId="1" fillId="0" borderId="10" xfId="0" applyFont="1" applyFill="1" applyBorder="1" applyAlignment="1">
      <alignment vertical="center"/>
    </xf>
    <xf numFmtId="1" fontId="1" fillId="0" borderId="10" xfId="0" applyNumberFormat="1" applyFont="1" applyFill="1" applyBorder="1" applyAlignment="1">
      <alignment horizontal="righ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right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right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1" fontId="2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wrapText="1"/>
    </xf>
    <xf numFmtId="1" fontId="2" fillId="0" borderId="10" xfId="0" applyNumberFormat="1" applyFont="1" applyFill="1" applyBorder="1" applyAlignment="1">
      <alignment vertical="center"/>
    </xf>
    <xf numFmtId="188" fontId="1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1" fontId="11" fillId="0" borderId="10" xfId="0" applyNumberFormat="1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1" fontId="11" fillId="0" borderId="10" xfId="0" applyNumberFormat="1" applyFon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wrapText="1"/>
    </xf>
    <xf numFmtId="1" fontId="12" fillId="0" borderId="10" xfId="0" applyNumberFormat="1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13" fillId="0" borderId="0" xfId="0" applyFont="1" applyAlignment="1">
      <alignment wrapText="1"/>
    </xf>
    <xf numFmtId="1" fontId="13" fillId="0" borderId="0" xfId="0" applyNumberFormat="1" applyFont="1" applyAlignment="1">
      <alignment wrapText="1"/>
    </xf>
    <xf numFmtId="1" fontId="1" fillId="0" borderId="0" xfId="0" applyNumberFormat="1" applyFont="1" applyFill="1" applyAlignment="1">
      <alignment vertical="center" wrapText="1"/>
    </xf>
    <xf numFmtId="1" fontId="1" fillId="0" borderId="0" xfId="0" applyNumberFormat="1" applyFont="1" applyAlignment="1">
      <alignment horizontal="center" vertical="center" wrapText="1"/>
    </xf>
    <xf numFmtId="1" fontId="1" fillId="0" borderId="0" xfId="0" applyNumberFormat="1" applyFont="1" applyFill="1" applyAlignment="1">
      <alignment horizontal="center" vertical="center" wrapText="1"/>
    </xf>
    <xf numFmtId="1" fontId="2" fillId="0" borderId="0" xfId="0" applyNumberFormat="1" applyFont="1" applyFill="1" applyAlignment="1">
      <alignment horizontal="center" vertical="center" wrapText="1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" fillId="24" borderId="0" xfId="0" applyFont="1" applyFill="1" applyAlignment="1">
      <alignment horizontal="center" vertical="center" wrapText="1"/>
    </xf>
    <xf numFmtId="1" fontId="1" fillId="24" borderId="0" xfId="0" applyNumberFormat="1" applyFont="1" applyFill="1" applyAlignment="1">
      <alignment horizontal="center" vertical="center" wrapText="1"/>
    </xf>
    <xf numFmtId="0" fontId="1" fillId="25" borderId="0" xfId="0" applyFont="1" applyFill="1" applyAlignment="1">
      <alignment horizontal="center" vertical="center" wrapText="1"/>
    </xf>
    <xf numFmtId="0" fontId="20" fillId="0" borderId="0" xfId="0" applyFont="1" applyAlignment="1">
      <alignment/>
    </xf>
    <xf numFmtId="0" fontId="18" fillId="0" borderId="10" xfId="0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vertical="center" wrapText="1"/>
    </xf>
    <xf numFmtId="0" fontId="10" fillId="0" borderId="0" xfId="0" applyFont="1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1" fontId="22" fillId="0" borderId="10" xfId="0" applyNumberFormat="1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1" fontId="24" fillId="0" borderId="10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20" fillId="0" borderId="0" xfId="0" applyFont="1" applyFill="1" applyAlignment="1">
      <alignment wrapText="1"/>
    </xf>
    <xf numFmtId="188" fontId="20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right" wrapText="1"/>
    </xf>
    <xf numFmtId="1" fontId="17" fillId="0" borderId="0" xfId="0" applyNumberFormat="1" applyFont="1" applyFill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1" fontId="18" fillId="24" borderId="0" xfId="0" applyNumberFormat="1" applyFont="1" applyFill="1" applyAlignment="1">
      <alignment horizontal="center" vertical="center" wrapText="1"/>
    </xf>
    <xf numFmtId="1" fontId="15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" fontId="28" fillId="25" borderId="10" xfId="0" applyNumberFormat="1" applyFont="1" applyFill="1" applyBorder="1" applyAlignment="1">
      <alignment vertical="center" wrapText="1"/>
    </xf>
    <xf numFmtId="1" fontId="1" fillId="25" borderId="10" xfId="0" applyNumberFormat="1" applyFont="1" applyFill="1" applyBorder="1" applyAlignment="1">
      <alignment horizontal="right" vertical="center" wrapText="1"/>
    </xf>
    <xf numFmtId="1" fontId="1" fillId="25" borderId="10" xfId="0" applyNumberFormat="1" applyFont="1" applyFill="1" applyBorder="1" applyAlignment="1">
      <alignment vertical="center" wrapText="1"/>
    </xf>
    <xf numFmtId="0" fontId="1" fillId="25" borderId="0" xfId="0" applyFont="1" applyFill="1" applyAlignment="1">
      <alignment wrapText="1"/>
    </xf>
    <xf numFmtId="0" fontId="10" fillId="25" borderId="0" xfId="0" applyFont="1" applyFill="1" applyAlignment="1">
      <alignment/>
    </xf>
    <xf numFmtId="0" fontId="9" fillId="25" borderId="0" xfId="0" applyFont="1" applyFill="1" applyAlignment="1">
      <alignment/>
    </xf>
    <xf numFmtId="0" fontId="1" fillId="25" borderId="0" xfId="0" applyFont="1" applyFill="1" applyBorder="1" applyAlignment="1">
      <alignment horizontal="center" vertical="center" wrapText="1"/>
    </xf>
    <xf numFmtId="0" fontId="3" fillId="25" borderId="0" xfId="0" applyFont="1" applyFill="1" applyAlignment="1">
      <alignment wrapText="1"/>
    </xf>
    <xf numFmtId="0" fontId="15" fillId="25" borderId="0" xfId="0" applyFont="1" applyFill="1" applyAlignment="1">
      <alignment wrapText="1"/>
    </xf>
    <xf numFmtId="0" fontId="1" fillId="25" borderId="0" xfId="0" applyFont="1" applyFill="1" applyAlignment="1">
      <alignment horizontal="right" wrapText="1"/>
    </xf>
    <xf numFmtId="0" fontId="6" fillId="25" borderId="10" xfId="0" applyFont="1" applyFill="1" applyBorder="1" applyAlignment="1">
      <alignment horizontal="center" vertical="center" wrapText="1"/>
    </xf>
    <xf numFmtId="0" fontId="1" fillId="25" borderId="10" xfId="0" applyFont="1" applyFill="1" applyBorder="1" applyAlignment="1">
      <alignment horizontal="center" vertical="center" wrapText="1"/>
    </xf>
    <xf numFmtId="49" fontId="2" fillId="25" borderId="10" xfId="0" applyNumberFormat="1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center" wrapText="1"/>
    </xf>
    <xf numFmtId="1" fontId="2" fillId="25" borderId="10" xfId="0" applyNumberFormat="1" applyFont="1" applyFill="1" applyBorder="1" applyAlignment="1">
      <alignment horizontal="right" vertical="center" wrapText="1"/>
    </xf>
    <xf numFmtId="1" fontId="2" fillId="25" borderId="10" xfId="0" applyNumberFormat="1" applyFont="1" applyFill="1" applyBorder="1" applyAlignment="1">
      <alignment vertical="center" wrapText="1"/>
    </xf>
    <xf numFmtId="1" fontId="1" fillId="25" borderId="0" xfId="0" applyNumberFormat="1" applyFont="1" applyFill="1" applyAlignment="1">
      <alignment horizontal="center" vertical="center" wrapText="1"/>
    </xf>
    <xf numFmtId="0" fontId="1" fillId="25" borderId="10" xfId="0" applyFont="1" applyFill="1" applyBorder="1" applyAlignment="1">
      <alignment vertical="center" wrapText="1"/>
    </xf>
    <xf numFmtId="0" fontId="11" fillId="25" borderId="10" xfId="0" applyFont="1" applyFill="1" applyBorder="1" applyAlignment="1">
      <alignment horizontal="center" vertical="center" wrapText="1"/>
    </xf>
    <xf numFmtId="1" fontId="11" fillId="25" borderId="10" xfId="0" applyNumberFormat="1" applyFont="1" applyFill="1" applyBorder="1" applyAlignment="1">
      <alignment vertical="center" wrapText="1"/>
    </xf>
    <xf numFmtId="1" fontId="22" fillId="25" borderId="10" xfId="0" applyNumberFormat="1" applyFont="1" applyFill="1" applyBorder="1" applyAlignment="1">
      <alignment vertical="center" wrapText="1"/>
    </xf>
    <xf numFmtId="0" fontId="1" fillId="25" borderId="10" xfId="0" applyFont="1" applyFill="1" applyBorder="1" applyAlignment="1">
      <alignment horizontal="right" vertical="center" wrapText="1"/>
    </xf>
    <xf numFmtId="49" fontId="1" fillId="25" borderId="10" xfId="0" applyNumberFormat="1" applyFont="1" applyFill="1" applyBorder="1" applyAlignment="1">
      <alignment horizontal="center" vertical="center" wrapText="1"/>
    </xf>
    <xf numFmtId="0" fontId="1" fillId="25" borderId="10" xfId="0" applyFont="1" applyFill="1" applyBorder="1" applyAlignment="1">
      <alignment horizontal="center" vertical="center"/>
    </xf>
    <xf numFmtId="0" fontId="1" fillId="25" borderId="10" xfId="0" applyFont="1" applyFill="1" applyBorder="1" applyAlignment="1">
      <alignment vertical="center"/>
    </xf>
    <xf numFmtId="1" fontId="1" fillId="25" borderId="10" xfId="0" applyNumberFormat="1" applyFont="1" applyFill="1" applyBorder="1" applyAlignment="1">
      <alignment vertical="center"/>
    </xf>
    <xf numFmtId="1" fontId="25" fillId="25" borderId="10" xfId="0" applyNumberFormat="1" applyFont="1" applyFill="1" applyBorder="1" applyAlignment="1">
      <alignment vertical="center" wrapText="1"/>
    </xf>
    <xf numFmtId="0" fontId="28" fillId="25" borderId="10" xfId="0" applyFont="1" applyFill="1" applyBorder="1" applyAlignment="1">
      <alignment horizontal="center" vertical="center" wrapText="1"/>
    </xf>
    <xf numFmtId="1" fontId="28" fillId="25" borderId="10" xfId="0" applyNumberFormat="1" applyFont="1" applyFill="1" applyBorder="1" applyAlignment="1">
      <alignment vertical="center" wrapText="1"/>
    </xf>
    <xf numFmtId="0" fontId="1" fillId="25" borderId="11" xfId="0" applyFont="1" applyFill="1" applyBorder="1" applyAlignment="1">
      <alignment horizontal="center" vertical="center" wrapText="1"/>
    </xf>
    <xf numFmtId="0" fontId="26" fillId="25" borderId="10" xfId="0" applyFont="1" applyFill="1" applyBorder="1" applyAlignment="1">
      <alignment horizontal="center" vertical="center" wrapText="1"/>
    </xf>
    <xf numFmtId="49" fontId="1" fillId="25" borderId="10" xfId="0" applyNumberFormat="1" applyFont="1" applyFill="1" applyBorder="1" applyAlignment="1">
      <alignment horizontal="center" vertical="center"/>
    </xf>
    <xf numFmtId="0" fontId="28" fillId="25" borderId="10" xfId="0" applyFont="1" applyFill="1" applyBorder="1" applyAlignment="1">
      <alignment horizontal="center" vertical="center" wrapText="1"/>
    </xf>
    <xf numFmtId="0" fontId="21" fillId="25" borderId="0" xfId="0" applyFont="1" applyFill="1" applyAlignment="1">
      <alignment horizontal="center" vertical="center" wrapText="1"/>
    </xf>
    <xf numFmtId="1" fontId="25" fillId="25" borderId="10" xfId="0" applyNumberFormat="1" applyFont="1" applyFill="1" applyBorder="1" applyAlignment="1">
      <alignment vertical="center"/>
    </xf>
    <xf numFmtId="1" fontId="28" fillId="25" borderId="10" xfId="0" applyNumberFormat="1" applyFont="1" applyFill="1" applyBorder="1" applyAlignment="1">
      <alignment vertical="center"/>
    </xf>
    <xf numFmtId="1" fontId="32" fillId="25" borderId="10" xfId="0" applyNumberFormat="1" applyFont="1" applyFill="1" applyBorder="1" applyAlignment="1">
      <alignment vertical="center"/>
    </xf>
    <xf numFmtId="0" fontId="2" fillId="25" borderId="10" xfId="0" applyFont="1" applyFill="1" applyBorder="1" applyAlignment="1">
      <alignment vertical="center" wrapText="1"/>
    </xf>
    <xf numFmtId="0" fontId="2" fillId="25" borderId="10" xfId="0" applyFont="1" applyFill="1" applyBorder="1" applyAlignment="1">
      <alignment horizontal="right" vertical="center" wrapText="1"/>
    </xf>
    <xf numFmtId="0" fontId="11" fillId="25" borderId="10" xfId="0" applyFont="1" applyFill="1" applyBorder="1" applyAlignment="1">
      <alignment horizontal="right" vertical="center" wrapText="1"/>
    </xf>
    <xf numFmtId="1" fontId="2" fillId="25" borderId="0" xfId="0" applyNumberFormat="1" applyFont="1" applyFill="1" applyAlignment="1">
      <alignment horizontal="center" vertical="center" wrapText="1"/>
    </xf>
    <xf numFmtId="0" fontId="2" fillId="25" borderId="0" xfId="0" applyFont="1" applyFill="1" applyAlignment="1">
      <alignment horizontal="center" vertical="center" wrapText="1"/>
    </xf>
    <xf numFmtId="0" fontId="1" fillId="25" borderId="0" xfId="0" applyFont="1" applyFill="1" applyAlignment="1">
      <alignment vertical="center" wrapText="1"/>
    </xf>
    <xf numFmtId="1" fontId="1" fillId="25" borderId="0" xfId="0" applyNumberFormat="1" applyFont="1" applyFill="1" applyAlignment="1">
      <alignment vertical="center" wrapText="1"/>
    </xf>
    <xf numFmtId="0" fontId="1" fillId="25" borderId="0" xfId="0" applyFont="1" applyFill="1" applyAlignment="1">
      <alignment horizontal="center" wrapText="1"/>
    </xf>
    <xf numFmtId="1" fontId="1" fillId="25" borderId="0" xfId="0" applyNumberFormat="1" applyFont="1" applyFill="1" applyAlignment="1">
      <alignment horizontal="center" wrapText="1"/>
    </xf>
    <xf numFmtId="1" fontId="18" fillId="25" borderId="0" xfId="0" applyNumberFormat="1" applyFont="1" applyFill="1" applyAlignment="1">
      <alignment wrapText="1"/>
    </xf>
    <xf numFmtId="0" fontId="20" fillId="25" borderId="0" xfId="0" applyFont="1" applyFill="1" applyAlignment="1">
      <alignment wrapText="1"/>
    </xf>
    <xf numFmtId="0" fontId="20" fillId="25" borderId="0" xfId="0" applyFont="1" applyFill="1" applyAlignment="1">
      <alignment/>
    </xf>
    <xf numFmtId="0" fontId="7" fillId="25" borderId="0" xfId="0" applyFont="1" applyFill="1" applyAlignment="1">
      <alignment/>
    </xf>
    <xf numFmtId="1" fontId="1" fillId="25" borderId="0" xfId="0" applyNumberFormat="1" applyFont="1" applyFill="1" applyAlignment="1">
      <alignment wrapText="1"/>
    </xf>
    <xf numFmtId="0" fontId="33" fillId="25" borderId="0" xfId="0" applyFont="1" applyFill="1" applyAlignment="1">
      <alignment wrapText="1"/>
    </xf>
    <xf numFmtId="1" fontId="33" fillId="25" borderId="0" xfId="0" applyNumberFormat="1" applyFont="1" applyFill="1" applyAlignment="1">
      <alignment wrapText="1"/>
    </xf>
    <xf numFmtId="0" fontId="34" fillId="25" borderId="0" xfId="0" applyFont="1" applyFill="1" applyAlignment="1">
      <alignment wrapText="1"/>
    </xf>
    <xf numFmtId="1" fontId="34" fillId="25" borderId="0" xfId="0" applyNumberFormat="1" applyFont="1" applyFill="1" applyAlignment="1">
      <alignment wrapText="1"/>
    </xf>
    <xf numFmtId="0" fontId="1" fillId="25" borderId="12" xfId="0" applyFont="1" applyFill="1" applyBorder="1" applyAlignment="1">
      <alignment horizontal="center" vertical="center" wrapText="1"/>
    </xf>
    <xf numFmtId="49" fontId="1" fillId="25" borderId="12" xfId="0" applyNumberFormat="1" applyFont="1" applyFill="1" applyBorder="1" applyAlignment="1">
      <alignment horizontal="center" vertical="center" wrapText="1"/>
    </xf>
    <xf numFmtId="0" fontId="1" fillId="24" borderId="0" xfId="0" applyFont="1" applyFill="1" applyAlignment="1">
      <alignment wrapText="1"/>
    </xf>
    <xf numFmtId="0" fontId="35" fillId="25" borderId="0" xfId="0" applyFont="1" applyFill="1" applyAlignment="1">
      <alignment wrapText="1"/>
    </xf>
    <xf numFmtId="0" fontId="1" fillId="25" borderId="0" xfId="0" applyFont="1" applyFill="1" applyBorder="1" applyAlignment="1">
      <alignment wrapText="1"/>
    </xf>
    <xf numFmtId="0" fontId="3" fillId="25" borderId="0" xfId="0" applyFont="1" applyFill="1" applyBorder="1" applyAlignment="1">
      <alignment wrapText="1"/>
    </xf>
    <xf numFmtId="1" fontId="1" fillId="25" borderId="0" xfId="0" applyNumberFormat="1" applyFont="1" applyFill="1" applyBorder="1" applyAlignment="1">
      <alignment horizontal="center" vertical="center" wrapText="1"/>
    </xf>
    <xf numFmtId="0" fontId="21" fillId="25" borderId="0" xfId="0" applyFont="1" applyFill="1" applyBorder="1" applyAlignment="1">
      <alignment horizontal="center" vertical="center" wrapText="1"/>
    </xf>
    <xf numFmtId="0" fontId="2" fillId="25" borderId="0" xfId="0" applyFont="1" applyFill="1" applyBorder="1" applyAlignment="1">
      <alignment horizontal="center" vertical="center" wrapText="1"/>
    </xf>
    <xf numFmtId="0" fontId="1" fillId="25" borderId="0" xfId="0" applyFont="1" applyFill="1" applyBorder="1" applyAlignment="1">
      <alignment vertical="center" wrapText="1"/>
    </xf>
    <xf numFmtId="0" fontId="7" fillId="25" borderId="0" xfId="0" applyFont="1" applyFill="1" applyBorder="1" applyAlignment="1">
      <alignment/>
    </xf>
    <xf numFmtId="0" fontId="1" fillId="24" borderId="0" xfId="0" applyFont="1" applyFill="1" applyBorder="1" applyAlignment="1">
      <alignment wrapText="1"/>
    </xf>
    <xf numFmtId="0" fontId="33" fillId="25" borderId="0" xfId="0" applyFont="1" applyFill="1" applyBorder="1" applyAlignment="1">
      <alignment wrapText="1"/>
    </xf>
    <xf numFmtId="0" fontId="34" fillId="25" borderId="0" xfId="0" applyFont="1" applyFill="1" applyBorder="1" applyAlignment="1">
      <alignment wrapText="1"/>
    </xf>
    <xf numFmtId="0" fontId="2" fillId="25" borderId="0" xfId="0" applyFont="1" applyFill="1" applyAlignment="1">
      <alignment wrapText="1"/>
    </xf>
    <xf numFmtId="0" fontId="29" fillId="25" borderId="0" xfId="0" applyFont="1" applyFill="1" applyAlignment="1">
      <alignment wrapText="1"/>
    </xf>
    <xf numFmtId="0" fontId="30" fillId="25" borderId="0" xfId="0" applyFont="1" applyFill="1" applyAlignment="1">
      <alignment horizontal="center" vertical="center" wrapText="1"/>
    </xf>
    <xf numFmtId="0" fontId="31" fillId="25" borderId="0" xfId="0" applyFont="1" applyFill="1" applyAlignment="1">
      <alignment/>
    </xf>
    <xf numFmtId="0" fontId="2" fillId="24" borderId="0" xfId="0" applyFont="1" applyFill="1" applyAlignment="1">
      <alignment wrapText="1"/>
    </xf>
    <xf numFmtId="1" fontId="2" fillId="25" borderId="0" xfId="0" applyNumberFormat="1" applyFont="1" applyFill="1" applyAlignment="1">
      <alignment wrapText="1"/>
    </xf>
    <xf numFmtId="0" fontId="36" fillId="25" borderId="0" xfId="0" applyFont="1" applyFill="1" applyAlignment="1">
      <alignment wrapText="1"/>
    </xf>
    <xf numFmtId="0" fontId="37" fillId="25" borderId="0" xfId="0" applyFont="1" applyFill="1" applyAlignment="1">
      <alignment wrapText="1"/>
    </xf>
    <xf numFmtId="0" fontId="38" fillId="25" borderId="0" xfId="0" applyFont="1" applyFill="1" applyAlignment="1">
      <alignment wrapText="1"/>
    </xf>
    <xf numFmtId="1" fontId="2" fillId="25" borderId="0" xfId="0" applyNumberFormat="1" applyFont="1" applyFill="1" applyAlignment="1">
      <alignment vertical="center" wrapText="1"/>
    </xf>
    <xf numFmtId="0" fontId="2" fillId="25" borderId="0" xfId="0" applyFont="1" applyFill="1" applyBorder="1" applyAlignment="1">
      <alignment wrapText="1"/>
    </xf>
    <xf numFmtId="1" fontId="36" fillId="25" borderId="0" xfId="0" applyNumberFormat="1" applyFont="1" applyFill="1" applyAlignment="1">
      <alignment wrapText="1"/>
    </xf>
    <xf numFmtId="0" fontId="36" fillId="25" borderId="0" xfId="0" applyFont="1" applyFill="1" applyBorder="1" applyAlignment="1">
      <alignment wrapText="1"/>
    </xf>
    <xf numFmtId="1" fontId="1" fillId="25" borderId="10" xfId="0" applyNumberFormat="1" applyFont="1" applyFill="1" applyBorder="1" applyAlignment="1">
      <alignment horizontal="right" vertical="center" wrapText="1"/>
    </xf>
    <xf numFmtId="1" fontId="28" fillId="25" borderId="10" xfId="0" applyNumberFormat="1" applyFont="1" applyFill="1" applyBorder="1" applyAlignment="1">
      <alignment vertical="center" wrapText="1"/>
    </xf>
    <xf numFmtId="1" fontId="28" fillId="25" borderId="10" xfId="0" applyNumberFormat="1" applyFont="1" applyFill="1" applyBorder="1" applyAlignment="1">
      <alignment horizontal="right" vertical="center" wrapText="1"/>
    </xf>
    <xf numFmtId="0" fontId="1" fillId="25" borderId="0" xfId="0" applyFont="1" applyFill="1" applyAlignment="1">
      <alignment wrapText="1"/>
    </xf>
    <xf numFmtId="0" fontId="1" fillId="25" borderId="10" xfId="0" applyFont="1" applyFill="1" applyBorder="1" applyAlignment="1">
      <alignment horizontal="center" vertical="center" wrapText="1"/>
    </xf>
    <xf numFmtId="1" fontId="2" fillId="25" borderId="10" xfId="0" applyNumberFormat="1" applyFont="1" applyFill="1" applyBorder="1" applyAlignment="1">
      <alignment horizontal="right" vertical="center" wrapText="1"/>
    </xf>
    <xf numFmtId="0" fontId="1" fillId="25" borderId="10" xfId="0" applyFont="1" applyFill="1" applyBorder="1" applyAlignment="1">
      <alignment horizontal="right" vertical="center"/>
    </xf>
    <xf numFmtId="1" fontId="1" fillId="25" borderId="10" xfId="0" applyNumberFormat="1" applyFont="1" applyFill="1" applyBorder="1" applyAlignment="1">
      <alignment horizontal="right" vertical="center"/>
    </xf>
    <xf numFmtId="1" fontId="11" fillId="25" borderId="10" xfId="0" applyNumberFormat="1" applyFont="1" applyFill="1" applyBorder="1" applyAlignment="1">
      <alignment horizontal="right" vertical="center" wrapText="1"/>
    </xf>
    <xf numFmtId="1" fontId="11" fillId="25" borderId="10" xfId="0" applyNumberFormat="1" applyFont="1" applyFill="1" applyBorder="1" applyAlignment="1">
      <alignment vertical="center" wrapText="1"/>
    </xf>
    <xf numFmtId="1" fontId="1" fillId="25" borderId="10" xfId="0" applyNumberFormat="1" applyFont="1" applyFill="1" applyBorder="1" applyAlignment="1">
      <alignment vertical="center" wrapText="1"/>
    </xf>
    <xf numFmtId="0" fontId="1" fillId="25" borderId="10" xfId="0" applyFont="1" applyFill="1" applyBorder="1" applyAlignment="1">
      <alignment horizontal="right" vertical="center" wrapText="1"/>
    </xf>
    <xf numFmtId="1" fontId="28" fillId="25" borderId="10" xfId="0" applyNumberFormat="1" applyFont="1" applyFill="1" applyBorder="1" applyAlignment="1">
      <alignment horizontal="right" vertical="center" wrapText="1"/>
    </xf>
    <xf numFmtId="1" fontId="2" fillId="25" borderId="10" xfId="0" applyNumberFormat="1" applyFont="1" applyFill="1" applyBorder="1" applyAlignment="1">
      <alignment vertical="center" wrapText="1"/>
    </xf>
    <xf numFmtId="0" fontId="11" fillId="25" borderId="10" xfId="0" applyFont="1" applyFill="1" applyBorder="1" applyAlignment="1">
      <alignment vertical="center" wrapText="1"/>
    </xf>
    <xf numFmtId="0" fontId="28" fillId="25" borderId="10" xfId="0" applyFont="1" applyFill="1" applyBorder="1" applyAlignment="1">
      <alignment vertical="center" wrapText="1"/>
    </xf>
    <xf numFmtId="0" fontId="1" fillId="25" borderId="10" xfId="0" applyFont="1" applyFill="1" applyBorder="1" applyAlignment="1">
      <alignment vertical="center" wrapText="1"/>
    </xf>
    <xf numFmtId="1" fontId="21" fillId="25" borderId="10" xfId="0" applyNumberFormat="1" applyFont="1" applyFill="1" applyBorder="1" applyAlignment="1">
      <alignment vertical="center" wrapText="1"/>
    </xf>
    <xf numFmtId="0" fontId="28" fillId="25" borderId="10" xfId="0" applyFont="1" applyFill="1" applyBorder="1" applyAlignment="1">
      <alignment horizontal="right" vertical="center" wrapText="1"/>
    </xf>
    <xf numFmtId="0" fontId="28" fillId="25" borderId="10" xfId="0" applyFont="1" applyFill="1" applyBorder="1" applyAlignment="1">
      <alignment vertical="center" wrapText="1"/>
    </xf>
    <xf numFmtId="1" fontId="1" fillId="25" borderId="10" xfId="0" applyNumberFormat="1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right" vertical="center" wrapText="1"/>
    </xf>
    <xf numFmtId="1" fontId="1" fillId="25" borderId="0" xfId="0" applyNumberFormat="1" applyFont="1" applyFill="1" applyAlignment="1">
      <alignment horizontal="center" wrapText="1"/>
    </xf>
    <xf numFmtId="188" fontId="20" fillId="25" borderId="0" xfId="0" applyNumberFormat="1" applyFont="1" applyFill="1" applyBorder="1" applyAlignment="1">
      <alignment/>
    </xf>
    <xf numFmtId="1" fontId="1" fillId="25" borderId="0" xfId="0" applyNumberFormat="1" applyFont="1" applyFill="1" applyAlignment="1">
      <alignment wrapText="1"/>
    </xf>
    <xf numFmtId="1" fontId="33" fillId="25" borderId="0" xfId="0" applyNumberFormat="1" applyFont="1" applyFill="1" applyAlignment="1">
      <alignment wrapText="1"/>
    </xf>
    <xf numFmtId="1" fontId="34" fillId="25" borderId="0" xfId="0" applyNumberFormat="1" applyFont="1" applyFill="1" applyAlignment="1">
      <alignment wrapText="1"/>
    </xf>
    <xf numFmtId="1" fontId="36" fillId="25" borderId="0" xfId="0" applyNumberFormat="1" applyFont="1" applyFill="1" applyAlignment="1">
      <alignment wrapText="1"/>
    </xf>
    <xf numFmtId="1" fontId="2" fillId="25" borderId="0" xfId="0" applyNumberFormat="1" applyFont="1" applyFill="1" applyAlignment="1">
      <alignment wrapText="1"/>
    </xf>
    <xf numFmtId="1" fontId="1" fillId="25" borderId="10" xfId="0" applyNumberFormat="1" applyFont="1" applyFill="1" applyBorder="1" applyAlignment="1">
      <alignment vertical="center"/>
    </xf>
    <xf numFmtId="1" fontId="28" fillId="25" borderId="10" xfId="0" applyNumberFormat="1" applyFont="1" applyFill="1" applyBorder="1" applyAlignment="1">
      <alignment vertical="center" wrapText="1"/>
    </xf>
    <xf numFmtId="0" fontId="1" fillId="25" borderId="10" xfId="0" applyFont="1" applyFill="1" applyBorder="1" applyAlignment="1">
      <alignment vertical="center"/>
    </xf>
    <xf numFmtId="1" fontId="32" fillId="25" borderId="10" xfId="0" applyNumberFormat="1" applyFont="1" applyFill="1" applyBorder="1" applyAlignment="1">
      <alignment vertical="center" wrapText="1"/>
    </xf>
    <xf numFmtId="0" fontId="1" fillId="25" borderId="0" xfId="0" applyFont="1" applyFill="1" applyAlignment="1">
      <alignment horizontal="center" vertical="center" wrapText="1"/>
    </xf>
    <xf numFmtId="0" fontId="11" fillId="25" borderId="10" xfId="0" applyFont="1" applyFill="1" applyBorder="1" applyAlignment="1">
      <alignment horizontal="right" vertical="center" wrapText="1"/>
    </xf>
    <xf numFmtId="0" fontId="10" fillId="25" borderId="0" xfId="0" applyFont="1" applyFill="1" applyAlignment="1">
      <alignment/>
    </xf>
    <xf numFmtId="0" fontId="1" fillId="25" borderId="0" xfId="0" applyFont="1" applyFill="1" applyAlignment="1">
      <alignment vertical="center" wrapText="1"/>
    </xf>
    <xf numFmtId="1" fontId="1" fillId="25" borderId="0" xfId="0" applyNumberFormat="1" applyFont="1" applyFill="1" applyAlignment="1">
      <alignment vertical="center" wrapText="1"/>
    </xf>
    <xf numFmtId="1" fontId="31" fillId="25" borderId="0" xfId="0" applyNumberFormat="1" applyFont="1" applyFill="1" applyAlignment="1">
      <alignment/>
    </xf>
    <xf numFmtId="1" fontId="7" fillId="25" borderId="0" xfId="0" applyNumberFormat="1" applyFont="1" applyFill="1" applyAlignment="1">
      <alignment/>
    </xf>
    <xf numFmtId="0" fontId="1" fillId="25" borderId="13" xfId="0" applyFont="1" applyFill="1" applyBorder="1" applyAlignment="1">
      <alignment horizontal="center" vertical="center" wrapText="1"/>
    </xf>
    <xf numFmtId="1" fontId="28" fillId="25" borderId="10" xfId="0" applyNumberFormat="1" applyFont="1" applyFill="1" applyBorder="1" applyAlignment="1">
      <alignment vertical="center" wrapText="1"/>
    </xf>
    <xf numFmtId="0" fontId="28" fillId="25" borderId="10" xfId="0" applyFont="1" applyFill="1" applyBorder="1" applyAlignment="1">
      <alignment horizontal="center" vertical="center" wrapText="1"/>
    </xf>
    <xf numFmtId="49" fontId="1" fillId="25" borderId="13" xfId="0" applyNumberFormat="1" applyFont="1" applyFill="1" applyBorder="1" applyAlignment="1">
      <alignment horizontal="center" vertical="center"/>
    </xf>
    <xf numFmtId="49" fontId="1" fillId="25" borderId="14" xfId="0" applyNumberFormat="1" applyFont="1" applyFill="1" applyBorder="1" applyAlignment="1">
      <alignment horizontal="center" vertical="center" wrapText="1"/>
    </xf>
    <xf numFmtId="0" fontId="11" fillId="25" borderId="11" xfId="0" applyFont="1" applyFill="1" applyBorder="1" applyAlignment="1">
      <alignment horizontal="center" vertical="center" wrapText="1"/>
    </xf>
    <xf numFmtId="0" fontId="28" fillId="25" borderId="11" xfId="0" applyFont="1" applyFill="1" applyBorder="1" applyAlignment="1">
      <alignment horizontal="center" vertical="center" wrapText="1"/>
    </xf>
    <xf numFmtId="49" fontId="1" fillId="25" borderId="13" xfId="0" applyNumberFormat="1" applyFont="1" applyFill="1" applyBorder="1" applyAlignment="1">
      <alignment horizontal="center" vertical="center" wrapText="1"/>
    </xf>
    <xf numFmtId="1" fontId="1" fillId="25" borderId="13" xfId="0" applyNumberFormat="1" applyFont="1" applyFill="1" applyBorder="1" applyAlignment="1">
      <alignment horizontal="center" vertical="center" wrapText="1"/>
    </xf>
    <xf numFmtId="0" fontId="1" fillId="25" borderId="15" xfId="0" applyFont="1" applyFill="1" applyBorder="1" applyAlignment="1">
      <alignment horizontal="center" vertical="center" wrapText="1"/>
    </xf>
    <xf numFmtId="0" fontId="1" fillId="25" borderId="16" xfId="0" applyFont="1" applyFill="1" applyBorder="1" applyAlignment="1">
      <alignment vertical="center" wrapText="1"/>
    </xf>
    <xf numFmtId="0" fontId="1" fillId="25" borderId="17" xfId="0" applyFont="1" applyFill="1" applyBorder="1" applyAlignment="1">
      <alignment vertical="center" wrapText="1"/>
    </xf>
    <xf numFmtId="0" fontId="1" fillId="25" borderId="14" xfId="0" applyFont="1" applyFill="1" applyBorder="1" applyAlignment="1">
      <alignment horizontal="center" vertical="center" wrapText="1"/>
    </xf>
    <xf numFmtId="1" fontId="28" fillId="25" borderId="13" xfId="0" applyNumberFormat="1" applyFont="1" applyFill="1" applyBorder="1" applyAlignment="1">
      <alignment horizontal="center" vertical="center" wrapText="1"/>
    </xf>
    <xf numFmtId="0" fontId="1" fillId="25" borderId="18" xfId="0" applyFont="1" applyFill="1" applyBorder="1" applyAlignment="1">
      <alignment horizontal="center" vertical="center" wrapText="1"/>
    </xf>
    <xf numFmtId="0" fontId="1" fillId="25" borderId="15" xfId="0" applyFont="1" applyFill="1" applyBorder="1" applyAlignment="1">
      <alignment horizontal="center" vertical="center" wrapText="1"/>
    </xf>
    <xf numFmtId="49" fontId="1" fillId="25" borderId="12" xfId="0" applyNumberFormat="1" applyFont="1" applyFill="1" applyBorder="1" applyAlignment="1">
      <alignment horizontal="center" vertical="center" wrapText="1"/>
    </xf>
    <xf numFmtId="0" fontId="0" fillId="25" borderId="13" xfId="0" applyFill="1" applyBorder="1" applyAlignment="1">
      <alignment horizontal="center" vertical="center" wrapText="1"/>
    </xf>
    <xf numFmtId="49" fontId="1" fillId="25" borderId="19" xfId="0" applyNumberFormat="1" applyFont="1" applyFill="1" applyBorder="1" applyAlignment="1">
      <alignment horizontal="center" vertical="center" wrapText="1"/>
    </xf>
    <xf numFmtId="0" fontId="0" fillId="25" borderId="19" xfId="0" applyFill="1" applyBorder="1" applyAlignment="1">
      <alignment wrapText="1"/>
    </xf>
    <xf numFmtId="0" fontId="1" fillId="25" borderId="12" xfId="0" applyFont="1" applyFill="1" applyBorder="1" applyAlignment="1">
      <alignment horizontal="center" vertical="center" wrapText="1"/>
    </xf>
    <xf numFmtId="0" fontId="1" fillId="25" borderId="19" xfId="0" applyFont="1" applyFill="1" applyBorder="1" applyAlignment="1">
      <alignment horizontal="center" vertical="center" wrapText="1"/>
    </xf>
    <xf numFmtId="0" fontId="1" fillId="25" borderId="13" xfId="0" applyFont="1" applyFill="1" applyBorder="1" applyAlignment="1">
      <alignment horizontal="center" vertical="center" wrapText="1"/>
    </xf>
    <xf numFmtId="0" fontId="1" fillId="25" borderId="12" xfId="0" applyFont="1" applyFill="1" applyBorder="1" applyAlignment="1">
      <alignment horizontal="center" vertical="center"/>
    </xf>
    <xf numFmtId="0" fontId="1" fillId="25" borderId="19" xfId="0" applyFont="1" applyFill="1" applyBorder="1" applyAlignment="1">
      <alignment horizontal="center" vertical="center"/>
    </xf>
    <xf numFmtId="0" fontId="1" fillId="25" borderId="13" xfId="0" applyFont="1" applyFill="1" applyBorder="1" applyAlignment="1">
      <alignment horizontal="center" vertical="center"/>
    </xf>
    <xf numFmtId="0" fontId="19" fillId="25" borderId="0" xfId="0" applyFont="1" applyFill="1" applyAlignment="1">
      <alignment horizontal="center" wrapText="1"/>
    </xf>
    <xf numFmtId="0" fontId="1" fillId="25" borderId="10" xfId="0" applyFont="1" applyFill="1" applyBorder="1" applyAlignment="1">
      <alignment horizontal="center" vertical="center" wrapText="1"/>
    </xf>
    <xf numFmtId="49" fontId="1" fillId="25" borderId="10" xfId="0" applyNumberFormat="1" applyFont="1" applyFill="1" applyBorder="1" applyAlignment="1">
      <alignment horizontal="center" vertical="center" wrapText="1"/>
    </xf>
    <xf numFmtId="0" fontId="0" fillId="25" borderId="13" xfId="0" applyFill="1" applyBorder="1" applyAlignment="1">
      <alignment wrapText="1"/>
    </xf>
    <xf numFmtId="49" fontId="1" fillId="25" borderId="13" xfId="0" applyNumberFormat="1" applyFont="1" applyFill="1" applyBorder="1" applyAlignment="1">
      <alignment horizontal="center" vertical="center" wrapText="1"/>
    </xf>
    <xf numFmtId="49" fontId="1" fillId="25" borderId="16" xfId="0" applyNumberFormat="1" applyFont="1" applyFill="1" applyBorder="1" applyAlignment="1">
      <alignment horizontal="center" vertical="center" wrapText="1"/>
    </xf>
    <xf numFmtId="49" fontId="1" fillId="25" borderId="17" xfId="0" applyNumberFormat="1" applyFont="1" applyFill="1" applyBorder="1" applyAlignment="1">
      <alignment horizontal="center" vertical="center" wrapText="1"/>
    </xf>
    <xf numFmtId="0" fontId="1" fillId="25" borderId="10" xfId="0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0" fontId="10" fillId="25" borderId="0" xfId="0" applyFont="1" applyFill="1" applyAlignment="1">
      <alignment horizontal="left" wrapText="1"/>
    </xf>
    <xf numFmtId="1" fontId="1" fillId="25" borderId="12" xfId="0" applyNumberFormat="1" applyFont="1" applyFill="1" applyBorder="1" applyAlignment="1">
      <alignment horizontal="center" vertical="center" wrapText="1"/>
    </xf>
    <xf numFmtId="1" fontId="1" fillId="25" borderId="13" xfId="0" applyNumberFormat="1" applyFont="1" applyFill="1" applyBorder="1" applyAlignment="1">
      <alignment horizontal="center" vertical="center" wrapText="1"/>
    </xf>
    <xf numFmtId="0" fontId="0" fillId="25" borderId="19" xfId="0" applyFill="1" applyBorder="1" applyAlignment="1">
      <alignment/>
    </xf>
    <xf numFmtId="0" fontId="0" fillId="25" borderId="13" xfId="0" applyFill="1" applyBorder="1" applyAlignment="1">
      <alignment/>
    </xf>
    <xf numFmtId="49" fontId="1" fillId="25" borderId="14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UDZHET\&#1044;&#1086;&#1076;%208%20&#1074;&#1110;&#1076;%2027.06.2014%20&#8470;%203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"/>
      <sheetName val="власні надходж"/>
      <sheetName val="в т.ч.погашення"/>
    </sheetNames>
    <sheetDataSet>
      <sheetData sheetId="0">
        <row r="11">
          <cell r="G11">
            <v>5805444</v>
          </cell>
        </row>
        <row r="12">
          <cell r="G12">
            <v>294787</v>
          </cell>
        </row>
        <row r="13">
          <cell r="G13">
            <v>1315</v>
          </cell>
        </row>
        <row r="14">
          <cell r="G14">
            <v>528500</v>
          </cell>
        </row>
        <row r="15">
          <cell r="G15">
            <v>41424</v>
          </cell>
        </row>
        <row r="16">
          <cell r="G16">
            <v>415760</v>
          </cell>
        </row>
        <row r="17">
          <cell r="G17">
            <v>328420</v>
          </cell>
        </row>
        <row r="18">
          <cell r="G18">
            <v>295150</v>
          </cell>
        </row>
        <row r="19">
          <cell r="G19">
            <v>317875</v>
          </cell>
        </row>
        <row r="20">
          <cell r="G20">
            <v>3453113</v>
          </cell>
        </row>
        <row r="21">
          <cell r="G21">
            <v>91000</v>
          </cell>
        </row>
        <row r="22">
          <cell r="G22">
            <v>38100</v>
          </cell>
        </row>
        <row r="23">
          <cell r="G23">
            <v>130750262</v>
          </cell>
        </row>
        <row r="24">
          <cell r="G24">
            <v>14000</v>
          </cell>
        </row>
        <row r="25">
          <cell r="G25">
            <v>885</v>
          </cell>
        </row>
        <row r="26">
          <cell r="G26">
            <v>26803427</v>
          </cell>
        </row>
        <row r="27">
          <cell r="G27">
            <v>181243</v>
          </cell>
        </row>
        <row r="28">
          <cell r="G28">
            <v>666000</v>
          </cell>
        </row>
        <row r="29">
          <cell r="G29">
            <v>209486</v>
          </cell>
        </row>
        <row r="30">
          <cell r="G30">
            <v>33968201</v>
          </cell>
        </row>
        <row r="31">
          <cell r="G31">
            <v>650033</v>
          </cell>
        </row>
        <row r="32">
          <cell r="G32">
            <v>791285</v>
          </cell>
        </row>
        <row r="33">
          <cell r="G33">
            <v>2020410</v>
          </cell>
        </row>
        <row r="34">
          <cell r="G34">
            <v>322041</v>
          </cell>
        </row>
        <row r="35">
          <cell r="G35">
            <v>1636</v>
          </cell>
        </row>
        <row r="36">
          <cell r="G36">
            <v>5234</v>
          </cell>
        </row>
        <row r="37">
          <cell r="G37">
            <v>14800</v>
          </cell>
        </row>
        <row r="38">
          <cell r="G38">
            <v>30000</v>
          </cell>
        </row>
        <row r="39">
          <cell r="G39">
            <v>30911959</v>
          </cell>
        </row>
        <row r="40">
          <cell r="G40">
            <v>14599</v>
          </cell>
        </row>
        <row r="41">
          <cell r="G41">
            <v>73700</v>
          </cell>
        </row>
        <row r="42">
          <cell r="G42">
            <v>38395</v>
          </cell>
        </row>
        <row r="43">
          <cell r="G43">
            <v>2108</v>
          </cell>
        </row>
        <row r="44">
          <cell r="G44">
            <v>49000</v>
          </cell>
        </row>
        <row r="45">
          <cell r="G45">
            <v>430000</v>
          </cell>
        </row>
        <row r="46">
          <cell r="G46">
            <v>1684</v>
          </cell>
        </row>
        <row r="47">
          <cell r="G47">
            <v>154430</v>
          </cell>
        </row>
        <row r="48">
          <cell r="G48">
            <v>10998</v>
          </cell>
        </row>
        <row r="49">
          <cell r="G49">
            <v>8769</v>
          </cell>
        </row>
        <row r="50">
          <cell r="G50">
            <v>715537</v>
          </cell>
        </row>
        <row r="51">
          <cell r="G51">
            <v>4377290</v>
          </cell>
        </row>
        <row r="52">
          <cell r="G52">
            <v>261537</v>
          </cell>
        </row>
        <row r="53">
          <cell r="G53">
            <v>102389</v>
          </cell>
        </row>
        <row r="54">
          <cell r="G54">
            <v>727209</v>
          </cell>
        </row>
        <row r="55">
          <cell r="G55">
            <v>4000</v>
          </cell>
        </row>
        <row r="56">
          <cell r="G56">
            <v>23788</v>
          </cell>
        </row>
        <row r="57">
          <cell r="G57">
            <v>680477</v>
          </cell>
        </row>
        <row r="58">
          <cell r="G58">
            <v>48500</v>
          </cell>
        </row>
        <row r="59">
          <cell r="G59">
            <v>1046</v>
          </cell>
        </row>
        <row r="60">
          <cell r="G60">
            <v>518061</v>
          </cell>
        </row>
        <row r="61">
          <cell r="G61">
            <v>20030938</v>
          </cell>
        </row>
        <row r="62">
          <cell r="G62">
            <v>1248451</v>
          </cell>
        </row>
        <row r="63">
          <cell r="G63">
            <v>1065845</v>
          </cell>
        </row>
        <row r="64">
          <cell r="G64">
            <v>367000</v>
          </cell>
        </row>
        <row r="65">
          <cell r="G65">
            <v>589354</v>
          </cell>
        </row>
        <row r="66">
          <cell r="G66">
            <v>2564517</v>
          </cell>
        </row>
        <row r="67">
          <cell r="G67">
            <v>50000</v>
          </cell>
        </row>
        <row r="68">
          <cell r="G68">
            <v>70307124</v>
          </cell>
        </row>
        <row r="69">
          <cell r="G69">
            <v>7000</v>
          </cell>
        </row>
        <row r="70">
          <cell r="G70">
            <v>2829</v>
          </cell>
        </row>
        <row r="71">
          <cell r="G71">
            <v>19379866</v>
          </cell>
        </row>
        <row r="72">
          <cell r="G72">
            <v>1111000</v>
          </cell>
        </row>
        <row r="73">
          <cell r="G73">
            <v>351700</v>
          </cell>
        </row>
        <row r="74">
          <cell r="G74">
            <v>930000</v>
          </cell>
        </row>
        <row r="75">
          <cell r="G75">
            <v>9003</v>
          </cell>
        </row>
        <row r="76">
          <cell r="G76">
            <v>5450085</v>
          </cell>
        </row>
        <row r="77">
          <cell r="G77">
            <v>221000</v>
          </cell>
        </row>
        <row r="78">
          <cell r="G78">
            <v>63670</v>
          </cell>
        </row>
        <row r="79">
          <cell r="G79">
            <v>794375</v>
          </cell>
        </row>
        <row r="80">
          <cell r="G80">
            <v>28156</v>
          </cell>
        </row>
        <row r="81">
          <cell r="G81">
            <v>2720069</v>
          </cell>
        </row>
        <row r="82">
          <cell r="G82">
            <v>6000</v>
          </cell>
        </row>
        <row r="83">
          <cell r="G83">
            <v>19000</v>
          </cell>
        </row>
        <row r="84">
          <cell r="G84">
            <v>8964712</v>
          </cell>
        </row>
        <row r="85">
          <cell r="G85">
            <v>4380</v>
          </cell>
        </row>
        <row r="87">
          <cell r="G87">
            <v>10572186</v>
          </cell>
        </row>
        <row r="88">
          <cell r="G88">
            <v>11600</v>
          </cell>
        </row>
        <row r="89">
          <cell r="G89">
            <v>55200</v>
          </cell>
        </row>
        <row r="90">
          <cell r="G90">
            <v>3146037</v>
          </cell>
        </row>
        <row r="91">
          <cell r="G91">
            <v>16261256</v>
          </cell>
        </row>
        <row r="92">
          <cell r="G92">
            <v>25398836</v>
          </cell>
        </row>
        <row r="93">
          <cell r="G93">
            <v>909035</v>
          </cell>
        </row>
        <row r="94">
          <cell r="G94">
            <v>5519</v>
          </cell>
        </row>
        <row r="95">
          <cell r="G95">
            <v>239</v>
          </cell>
        </row>
        <row r="96">
          <cell r="G96">
            <v>186978</v>
          </cell>
        </row>
        <row r="97">
          <cell r="G97">
            <v>5001494</v>
          </cell>
        </row>
        <row r="98">
          <cell r="G98">
            <v>48384</v>
          </cell>
        </row>
        <row r="99">
          <cell r="G99">
            <v>26900</v>
          </cell>
        </row>
        <row r="100">
          <cell r="G100">
            <v>70920</v>
          </cell>
        </row>
        <row r="101">
          <cell r="G101">
            <v>8307</v>
          </cell>
        </row>
        <row r="102">
          <cell r="G102">
            <v>983144</v>
          </cell>
        </row>
        <row r="103">
          <cell r="G103">
            <v>30000</v>
          </cell>
        </row>
        <row r="104">
          <cell r="G104">
            <v>8005565</v>
          </cell>
        </row>
        <row r="105">
          <cell r="G105">
            <v>3959170</v>
          </cell>
        </row>
        <row r="106">
          <cell r="G106">
            <v>4518281</v>
          </cell>
        </row>
        <row r="107">
          <cell r="G107">
            <v>174150</v>
          </cell>
        </row>
        <row r="108">
          <cell r="G108">
            <v>500000</v>
          </cell>
        </row>
        <row r="109">
          <cell r="G109">
            <v>870750</v>
          </cell>
        </row>
        <row r="111">
          <cell r="G111">
            <v>100000</v>
          </cell>
        </row>
        <row r="112">
          <cell r="G112">
            <v>7000</v>
          </cell>
        </row>
        <row r="113">
          <cell r="G113">
            <v>7000</v>
          </cell>
        </row>
        <row r="114">
          <cell r="G114">
            <v>8819725</v>
          </cell>
        </row>
        <row r="115">
          <cell r="G115">
            <v>160175</v>
          </cell>
        </row>
        <row r="116">
          <cell r="G116">
            <v>279</v>
          </cell>
        </row>
        <row r="117">
          <cell r="G117">
            <v>1142302</v>
          </cell>
        </row>
        <row r="118">
          <cell r="G118">
            <v>59518</v>
          </cell>
        </row>
        <row r="119">
          <cell r="G119">
            <v>75000</v>
          </cell>
        </row>
        <row r="120">
          <cell r="G120">
            <v>2511</v>
          </cell>
        </row>
        <row r="121">
          <cell r="G121">
            <v>2184202</v>
          </cell>
        </row>
        <row r="122">
          <cell r="G122">
            <v>5829</v>
          </cell>
        </row>
        <row r="123">
          <cell r="G123">
            <v>4920</v>
          </cell>
        </row>
        <row r="124">
          <cell r="G124">
            <v>47000</v>
          </cell>
        </row>
        <row r="125">
          <cell r="G125">
            <v>1817736</v>
          </cell>
        </row>
        <row r="126">
          <cell r="G126">
            <v>2232</v>
          </cell>
        </row>
        <row r="127">
          <cell r="G127">
            <v>3000</v>
          </cell>
        </row>
        <row r="128">
          <cell r="G128">
            <v>13000</v>
          </cell>
        </row>
        <row r="129">
          <cell r="G129">
            <v>993217</v>
          </cell>
        </row>
        <row r="130">
          <cell r="G130">
            <v>13116</v>
          </cell>
        </row>
        <row r="131">
          <cell r="G131">
            <v>1614838</v>
          </cell>
        </row>
        <row r="132">
          <cell r="G132">
            <v>421047</v>
          </cell>
        </row>
        <row r="133">
          <cell r="G133">
            <v>118000</v>
          </cell>
        </row>
        <row r="134">
          <cell r="G134">
            <v>5280</v>
          </cell>
        </row>
        <row r="135">
          <cell r="G135">
            <v>136523</v>
          </cell>
        </row>
        <row r="136">
          <cell r="G136">
            <v>2131926</v>
          </cell>
        </row>
        <row r="137">
          <cell r="G137">
            <v>14000</v>
          </cell>
        </row>
        <row r="138">
          <cell r="G138">
            <v>986200</v>
          </cell>
        </row>
        <row r="139">
          <cell r="G139">
            <v>490726</v>
          </cell>
        </row>
        <row r="140">
          <cell r="G140">
            <v>641000</v>
          </cell>
        </row>
        <row r="141">
          <cell r="G141">
            <v>293617342</v>
          </cell>
        </row>
        <row r="142">
          <cell r="G142">
            <v>35000</v>
          </cell>
        </row>
        <row r="143">
          <cell r="G143">
            <v>746</v>
          </cell>
        </row>
        <row r="145">
          <cell r="G145">
            <v>167540</v>
          </cell>
        </row>
        <row r="146">
          <cell r="G146">
            <v>10506698</v>
          </cell>
        </row>
        <row r="147">
          <cell r="G147">
            <v>57300</v>
          </cell>
        </row>
        <row r="148">
          <cell r="G148">
            <v>64035</v>
          </cell>
        </row>
        <row r="149">
          <cell r="G149">
            <v>52730721</v>
          </cell>
        </row>
        <row r="150">
          <cell r="G150">
            <v>66475</v>
          </cell>
        </row>
        <row r="151">
          <cell r="G151">
            <v>457000</v>
          </cell>
        </row>
        <row r="152">
          <cell r="G152">
            <v>449300</v>
          </cell>
        </row>
        <row r="153">
          <cell r="G153">
            <v>1780846</v>
          </cell>
        </row>
        <row r="154">
          <cell r="G154">
            <v>76078250</v>
          </cell>
        </row>
        <row r="155">
          <cell r="G155">
            <v>71000</v>
          </cell>
        </row>
        <row r="156">
          <cell r="G156">
            <v>30000</v>
          </cell>
        </row>
        <row r="157">
          <cell r="G157">
            <v>42629917</v>
          </cell>
        </row>
        <row r="158">
          <cell r="G158">
            <v>17235</v>
          </cell>
        </row>
        <row r="159">
          <cell r="G159">
            <v>10000</v>
          </cell>
        </row>
        <row r="160">
          <cell r="G160">
            <v>2043610</v>
          </cell>
        </row>
        <row r="161">
          <cell r="G161">
            <v>987691</v>
          </cell>
        </row>
        <row r="162">
          <cell r="G162">
            <v>57501367</v>
          </cell>
        </row>
        <row r="163">
          <cell r="G163">
            <v>16042173</v>
          </cell>
        </row>
        <row r="165">
          <cell r="G165">
            <v>3750578</v>
          </cell>
        </row>
        <row r="166">
          <cell r="G166">
            <v>26925192</v>
          </cell>
        </row>
        <row r="167">
          <cell r="G167">
            <v>885808</v>
          </cell>
        </row>
        <row r="168">
          <cell r="G168">
            <v>3000</v>
          </cell>
        </row>
        <row r="169">
          <cell r="G169">
            <v>68159</v>
          </cell>
        </row>
        <row r="170">
          <cell r="G170">
            <v>28000</v>
          </cell>
        </row>
        <row r="171">
          <cell r="G171">
            <v>40159</v>
          </cell>
        </row>
        <row r="172">
          <cell r="G172">
            <v>3220281</v>
          </cell>
        </row>
        <row r="173">
          <cell r="G173">
            <v>14000</v>
          </cell>
        </row>
        <row r="174">
          <cell r="G174">
            <v>1550464</v>
          </cell>
        </row>
        <row r="175">
          <cell r="G175">
            <v>24055</v>
          </cell>
        </row>
        <row r="176">
          <cell r="G176">
            <v>1431275</v>
          </cell>
        </row>
        <row r="177">
          <cell r="G177">
            <v>100000</v>
          </cell>
        </row>
        <row r="178">
          <cell r="G178">
            <v>100487</v>
          </cell>
        </row>
        <row r="180">
          <cell r="G180">
            <v>1082906</v>
          </cell>
        </row>
        <row r="181">
          <cell r="G181">
            <v>119600</v>
          </cell>
        </row>
        <row r="182">
          <cell r="G182">
            <v>963306</v>
          </cell>
        </row>
        <row r="183">
          <cell r="G183">
            <v>45249826</v>
          </cell>
        </row>
        <row r="184">
          <cell r="G184">
            <v>21000</v>
          </cell>
        </row>
        <row r="185">
          <cell r="G185">
            <v>45228826</v>
          </cell>
        </row>
        <row r="186">
          <cell r="G186">
            <v>38971121</v>
          </cell>
        </row>
        <row r="187">
          <cell r="G187">
            <v>7000</v>
          </cell>
        </row>
        <row r="188">
          <cell r="G188">
            <v>2846214</v>
          </cell>
        </row>
        <row r="189">
          <cell r="G189">
            <v>335149</v>
          </cell>
        </row>
        <row r="190">
          <cell r="G190">
            <v>24665000</v>
          </cell>
        </row>
        <row r="191">
          <cell r="G191">
            <v>2355141</v>
          </cell>
        </row>
        <row r="193">
          <cell r="G193">
            <v>1540480</v>
          </cell>
        </row>
        <row r="194">
          <cell r="G194">
            <v>1941415</v>
          </cell>
        </row>
        <row r="195">
          <cell r="G195">
            <v>122723</v>
          </cell>
        </row>
        <row r="196">
          <cell r="G196">
            <v>5059999</v>
          </cell>
        </row>
        <row r="197">
          <cell r="G197">
            <v>13037067</v>
          </cell>
        </row>
        <row r="198">
          <cell r="G198">
            <v>7000</v>
          </cell>
        </row>
        <row r="199">
          <cell r="G199">
            <v>9590682</v>
          </cell>
        </row>
        <row r="200">
          <cell r="G200">
            <v>3438195</v>
          </cell>
        </row>
        <row r="201">
          <cell r="G201">
            <v>1190</v>
          </cell>
        </row>
        <row r="202">
          <cell r="G202">
            <v>17467916</v>
          </cell>
        </row>
        <row r="203">
          <cell r="G203">
            <v>35000</v>
          </cell>
        </row>
        <row r="204">
          <cell r="G204">
            <v>7565769</v>
          </cell>
        </row>
        <row r="205">
          <cell r="G205">
            <v>9368147</v>
          </cell>
        </row>
        <row r="206">
          <cell r="G206">
            <v>499000</v>
          </cell>
        </row>
        <row r="207">
          <cell r="G207">
            <v>115802</v>
          </cell>
        </row>
        <row r="208">
          <cell r="G208">
            <v>70000</v>
          </cell>
        </row>
        <row r="209">
          <cell r="G209">
            <v>2602</v>
          </cell>
        </row>
        <row r="210">
          <cell r="G210">
            <v>43200</v>
          </cell>
        </row>
        <row r="211">
          <cell r="G211">
            <v>0</v>
          </cell>
        </row>
        <row r="212">
          <cell r="G212">
            <v>0</v>
          </cell>
        </row>
        <row r="213">
          <cell r="G213">
            <v>0</v>
          </cell>
        </row>
        <row r="214">
          <cell r="G214">
            <v>0</v>
          </cell>
        </row>
        <row r="215">
          <cell r="G215">
            <v>1204887</v>
          </cell>
        </row>
        <row r="216">
          <cell r="G216">
            <v>93112</v>
          </cell>
        </row>
        <row r="217">
          <cell r="G217">
            <v>624800</v>
          </cell>
        </row>
        <row r="218">
          <cell r="G218">
            <v>467</v>
          </cell>
        </row>
        <row r="219">
          <cell r="G219">
            <v>155037</v>
          </cell>
        </row>
        <row r="220">
          <cell r="G220">
            <v>66308</v>
          </cell>
        </row>
        <row r="221">
          <cell r="G221">
            <v>233800</v>
          </cell>
        </row>
        <row r="222">
          <cell r="G222">
            <v>5100</v>
          </cell>
        </row>
        <row r="223">
          <cell r="G223">
            <v>25298</v>
          </cell>
        </row>
        <row r="224">
          <cell r="G224">
            <v>965</v>
          </cell>
        </row>
        <row r="225">
          <cell r="G225">
            <v>834769</v>
          </cell>
        </row>
        <row r="226">
          <cell r="G226">
            <v>27827</v>
          </cell>
        </row>
        <row r="227">
          <cell r="G227">
            <v>694658</v>
          </cell>
        </row>
        <row r="228">
          <cell r="G228">
            <v>396</v>
          </cell>
        </row>
        <row r="229">
          <cell r="G229">
            <v>10680</v>
          </cell>
        </row>
        <row r="230">
          <cell r="G230">
            <v>10800</v>
          </cell>
        </row>
        <row r="231">
          <cell r="G231">
            <v>63900</v>
          </cell>
        </row>
        <row r="232">
          <cell r="G232">
            <v>5100</v>
          </cell>
        </row>
        <row r="233">
          <cell r="G233">
            <v>21408</v>
          </cell>
        </row>
        <row r="234">
          <cell r="G234">
            <v>6581907</v>
          </cell>
        </row>
        <row r="235">
          <cell r="G235">
            <v>96275</v>
          </cell>
        </row>
        <row r="236">
          <cell r="G236">
            <v>1494882</v>
          </cell>
        </row>
        <row r="237">
          <cell r="G237">
            <v>4696756</v>
          </cell>
        </row>
        <row r="238">
          <cell r="G238">
            <v>13183</v>
          </cell>
        </row>
        <row r="239">
          <cell r="G239">
            <v>108138</v>
          </cell>
        </row>
        <row r="240">
          <cell r="G240">
            <v>66600</v>
          </cell>
        </row>
        <row r="241">
          <cell r="G241">
            <v>58720</v>
          </cell>
        </row>
        <row r="242">
          <cell r="G242">
            <v>2756</v>
          </cell>
        </row>
        <row r="243">
          <cell r="G243">
            <v>33032</v>
          </cell>
        </row>
        <row r="244">
          <cell r="G244">
            <v>11565</v>
          </cell>
        </row>
        <row r="245">
          <cell r="G245">
            <v>2247375</v>
          </cell>
        </row>
        <row r="246">
          <cell r="G246">
            <v>63142</v>
          </cell>
        </row>
        <row r="247">
          <cell r="G247">
            <v>927997</v>
          </cell>
        </row>
        <row r="248">
          <cell r="G248">
            <v>1028731</v>
          </cell>
        </row>
        <row r="249">
          <cell r="G249">
            <v>22725</v>
          </cell>
        </row>
        <row r="250">
          <cell r="G250">
            <v>111797</v>
          </cell>
        </row>
        <row r="251">
          <cell r="G251">
            <v>16686</v>
          </cell>
        </row>
        <row r="252">
          <cell r="G252">
            <v>47006</v>
          </cell>
        </row>
        <row r="253">
          <cell r="G253">
            <v>4133</v>
          </cell>
        </row>
        <row r="254">
          <cell r="G254">
            <v>23096</v>
          </cell>
        </row>
        <row r="255">
          <cell r="G255">
            <v>2062</v>
          </cell>
        </row>
        <row r="256">
          <cell r="G256">
            <v>1669029</v>
          </cell>
        </row>
        <row r="257">
          <cell r="G257">
            <v>7791</v>
          </cell>
        </row>
        <row r="258">
          <cell r="G258">
            <v>27975</v>
          </cell>
        </row>
        <row r="259">
          <cell r="G259">
            <v>1160749</v>
          </cell>
        </row>
        <row r="260">
          <cell r="G260">
            <v>50140</v>
          </cell>
        </row>
        <row r="261">
          <cell r="G261">
            <v>245113</v>
          </cell>
        </row>
        <row r="262">
          <cell r="G262">
            <v>122028</v>
          </cell>
        </row>
        <row r="263">
          <cell r="G263">
            <v>3100</v>
          </cell>
        </row>
        <row r="264">
          <cell r="G264">
            <v>18610</v>
          </cell>
        </row>
        <row r="265">
          <cell r="G265">
            <v>32058</v>
          </cell>
        </row>
        <row r="266">
          <cell r="G266">
            <v>1465</v>
          </cell>
        </row>
        <row r="267">
          <cell r="G267">
            <v>1328116</v>
          </cell>
        </row>
        <row r="268">
          <cell r="G268">
            <v>21000</v>
          </cell>
        </row>
        <row r="269">
          <cell r="G269">
            <v>3758</v>
          </cell>
        </row>
        <row r="270">
          <cell r="G270">
            <v>1048852</v>
          </cell>
        </row>
        <row r="271">
          <cell r="G271">
            <v>76479</v>
          </cell>
        </row>
        <row r="272">
          <cell r="G272">
            <v>72092</v>
          </cell>
        </row>
        <row r="273">
          <cell r="G273">
            <v>43038</v>
          </cell>
        </row>
        <row r="274">
          <cell r="G274">
            <v>2067</v>
          </cell>
        </row>
        <row r="275">
          <cell r="G275">
            <v>26781</v>
          </cell>
        </row>
        <row r="276">
          <cell r="G276">
            <v>33132</v>
          </cell>
        </row>
        <row r="277">
          <cell r="G277">
            <v>917</v>
          </cell>
        </row>
        <row r="278">
          <cell r="G278">
            <v>1246177</v>
          </cell>
        </row>
        <row r="279">
          <cell r="G279">
            <v>339</v>
          </cell>
        </row>
        <row r="280">
          <cell r="G280">
            <v>27975</v>
          </cell>
        </row>
        <row r="281">
          <cell r="G281">
            <v>969608</v>
          </cell>
        </row>
        <row r="282">
          <cell r="G282">
            <v>100929</v>
          </cell>
        </row>
        <row r="283">
          <cell r="G283">
            <v>90000</v>
          </cell>
        </row>
        <row r="284">
          <cell r="G284">
            <v>3500</v>
          </cell>
        </row>
        <row r="285">
          <cell r="G285">
            <v>19000</v>
          </cell>
        </row>
        <row r="286">
          <cell r="G286">
            <v>32792</v>
          </cell>
        </row>
        <row r="287">
          <cell r="G287">
            <v>2034</v>
          </cell>
        </row>
        <row r="288">
          <cell r="G288">
            <v>671162997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2"/>
  <sheetViews>
    <sheetView tabSelected="1" view="pageBreakPreview" zoomScale="85" zoomScaleSheetLayoutView="85" zoomScalePageLayoutView="0" workbookViewId="0" topLeftCell="A1">
      <selection activeCell="E4" sqref="E4"/>
    </sheetView>
  </sheetViews>
  <sheetFormatPr defaultColWidth="9.140625" defaultRowHeight="12.75"/>
  <cols>
    <col min="1" max="1" width="9.28125" style="78" customWidth="1"/>
    <col min="2" max="2" width="35.8515625" style="78" customWidth="1"/>
    <col min="3" max="3" width="62.8515625" style="78" customWidth="1"/>
    <col min="4" max="4" width="12.57421875" style="160" customWidth="1"/>
    <col min="5" max="5" width="62.7109375" style="78" customWidth="1"/>
    <col min="6" max="6" width="13.421875" style="160" customWidth="1"/>
    <col min="7" max="7" width="15.28125" style="78" customWidth="1"/>
    <col min="8" max="8" width="16.28125" style="144" customWidth="1"/>
    <col min="9" max="9" width="14.421875" style="144" customWidth="1"/>
    <col min="10" max="10" width="12.7109375" style="78" customWidth="1"/>
    <col min="11" max="11" width="12.140625" style="78" customWidth="1"/>
    <col min="12" max="12" width="13.7109375" style="78" customWidth="1"/>
    <col min="13" max="13" width="11.57421875" style="134" customWidth="1"/>
    <col min="14" max="14" width="12.7109375" style="78" customWidth="1"/>
    <col min="15" max="16384" width="9.140625" style="78" customWidth="1"/>
  </cols>
  <sheetData>
    <row r="1" spans="5:7" ht="55.5" customHeight="1">
      <c r="E1" s="79" t="s">
        <v>243</v>
      </c>
      <c r="G1" s="80"/>
    </row>
    <row r="2" spans="5:7" ht="28.5" customHeight="1">
      <c r="E2" s="79" t="s">
        <v>244</v>
      </c>
      <c r="G2" s="80"/>
    </row>
    <row r="3" spans="3:7" ht="39.75" customHeight="1">
      <c r="C3" s="81"/>
      <c r="E3" s="79" t="s">
        <v>172</v>
      </c>
      <c r="G3" s="80"/>
    </row>
    <row r="5" spans="1:13" s="82" customFormat="1" ht="28.5" customHeight="1">
      <c r="A5" s="223" t="s">
        <v>437</v>
      </c>
      <c r="B5" s="223"/>
      <c r="C5" s="223"/>
      <c r="D5" s="223"/>
      <c r="E5" s="223"/>
      <c r="F5" s="223"/>
      <c r="G5" s="223"/>
      <c r="H5" s="145"/>
      <c r="I5" s="145"/>
      <c r="J5" s="83"/>
      <c r="M5" s="135"/>
    </row>
    <row r="6" ht="20.25" customHeight="1" hidden="1"/>
    <row r="7" ht="16.5" customHeight="1">
      <c r="G7" s="84" t="s">
        <v>113</v>
      </c>
    </row>
    <row r="8" spans="1:14" s="53" customFormat="1" ht="66.75" customHeight="1">
      <c r="A8" s="85" t="s">
        <v>82</v>
      </c>
      <c r="B8" s="224" t="s">
        <v>84</v>
      </c>
      <c r="C8" s="224" t="s">
        <v>108</v>
      </c>
      <c r="D8" s="224"/>
      <c r="E8" s="224" t="s">
        <v>111</v>
      </c>
      <c r="F8" s="224"/>
      <c r="G8" s="86" t="s">
        <v>112</v>
      </c>
      <c r="H8" s="116" t="s">
        <v>362</v>
      </c>
      <c r="I8" s="20" t="s">
        <v>17</v>
      </c>
      <c r="M8" s="81"/>
      <c r="N8" s="53" t="s">
        <v>17</v>
      </c>
    </row>
    <row r="9" spans="1:13" s="53" customFormat="1" ht="57.75" customHeight="1">
      <c r="A9" s="85" t="s">
        <v>83</v>
      </c>
      <c r="B9" s="224"/>
      <c r="C9" s="86" t="s">
        <v>109</v>
      </c>
      <c r="D9" s="161" t="s">
        <v>110</v>
      </c>
      <c r="E9" s="86" t="s">
        <v>109</v>
      </c>
      <c r="F9" s="161" t="s">
        <v>110</v>
      </c>
      <c r="G9" s="86" t="s">
        <v>110</v>
      </c>
      <c r="H9" s="116"/>
      <c r="I9" s="116"/>
      <c r="M9" s="81"/>
    </row>
    <row r="10" spans="1:13" s="53" customFormat="1" ht="16.5" customHeight="1">
      <c r="A10" s="86">
        <v>1</v>
      </c>
      <c r="B10" s="86">
        <v>2</v>
      </c>
      <c r="C10" s="86">
        <v>3</v>
      </c>
      <c r="D10" s="161">
        <v>4</v>
      </c>
      <c r="E10" s="86">
        <v>5</v>
      </c>
      <c r="F10" s="161">
        <v>6</v>
      </c>
      <c r="G10" s="86">
        <v>7</v>
      </c>
      <c r="H10" s="116"/>
      <c r="I10" s="116"/>
      <c r="M10" s="81"/>
    </row>
    <row r="11" spans="1:13" s="53" customFormat="1" ht="31.5">
      <c r="A11" s="87" t="s">
        <v>179</v>
      </c>
      <c r="B11" s="88" t="s">
        <v>86</v>
      </c>
      <c r="C11" s="86"/>
      <c r="D11" s="162">
        <f>D13+D14+D18+D19+D20+D21+D23+D22</f>
        <v>5345667</v>
      </c>
      <c r="E11" s="86"/>
      <c r="F11" s="170">
        <f>F12+F15+F16+F17+F18+F19+F20+F21+F14+F23</f>
        <v>1239064</v>
      </c>
      <c r="G11" s="90">
        <f>D11+F11</f>
        <v>6584731</v>
      </c>
      <c r="H11" s="115">
        <f>H12</f>
        <v>40569</v>
      </c>
      <c r="I11" s="115"/>
      <c r="J11" s="91">
        <f>G11-'[1]лист'!G11</f>
        <v>779287</v>
      </c>
      <c r="M11" s="81"/>
    </row>
    <row r="12" spans="1:13" s="53" customFormat="1" ht="47.25">
      <c r="A12" s="225" t="s">
        <v>211</v>
      </c>
      <c r="B12" s="224" t="s">
        <v>212</v>
      </c>
      <c r="C12" s="86"/>
      <c r="D12" s="157"/>
      <c r="E12" s="86" t="s">
        <v>26</v>
      </c>
      <c r="F12" s="167">
        <f>253199+41588+154058+4615</f>
        <v>453460</v>
      </c>
      <c r="G12" s="77">
        <f>D12+F12</f>
        <v>453460</v>
      </c>
      <c r="H12" s="116">
        <f>40569</f>
        <v>40569</v>
      </c>
      <c r="I12" s="115"/>
      <c r="J12" s="91">
        <f>G12-'[1]лист'!G12</f>
        <v>158673</v>
      </c>
      <c r="M12" s="81"/>
    </row>
    <row r="13" spans="1:13" s="53" customFormat="1" ht="63">
      <c r="A13" s="225"/>
      <c r="B13" s="224"/>
      <c r="C13" s="86" t="s">
        <v>36</v>
      </c>
      <c r="D13" s="157">
        <v>1315</v>
      </c>
      <c r="E13" s="86"/>
      <c r="F13" s="167"/>
      <c r="G13" s="77">
        <f aca="true" t="shared" si="0" ref="G13:G23">D13+F13</f>
        <v>1315</v>
      </c>
      <c r="H13" s="116"/>
      <c r="I13" s="116"/>
      <c r="J13" s="91">
        <f>G13-'[1]лист'!G13</f>
        <v>0</v>
      </c>
      <c r="M13" s="81"/>
    </row>
    <row r="14" spans="1:13" s="53" customFormat="1" ht="47.25">
      <c r="A14" s="225" t="s">
        <v>126</v>
      </c>
      <c r="B14" s="224" t="s">
        <v>152</v>
      </c>
      <c r="C14" s="86" t="s">
        <v>52</v>
      </c>
      <c r="D14" s="157">
        <f>480000+48500</f>
        <v>528500</v>
      </c>
      <c r="E14" s="86"/>
      <c r="F14" s="173"/>
      <c r="G14" s="77">
        <f t="shared" si="0"/>
        <v>528500</v>
      </c>
      <c r="H14" s="116"/>
      <c r="I14" s="116"/>
      <c r="J14" s="91">
        <f>G14-'[1]лист'!G14</f>
        <v>0</v>
      </c>
      <c r="M14" s="81"/>
    </row>
    <row r="15" spans="1:13" s="53" customFormat="1" ht="47.25">
      <c r="A15" s="225"/>
      <c r="B15" s="224"/>
      <c r="C15" s="86"/>
      <c r="D15" s="157"/>
      <c r="E15" s="93" t="s">
        <v>10</v>
      </c>
      <c r="F15" s="166">
        <v>41424</v>
      </c>
      <c r="G15" s="95">
        <f t="shared" si="0"/>
        <v>41424</v>
      </c>
      <c r="H15" s="116"/>
      <c r="I15" s="115"/>
      <c r="J15" s="91">
        <f>G15-'[1]лист'!G15</f>
        <v>0</v>
      </c>
      <c r="M15" s="81"/>
    </row>
    <row r="16" spans="1:13" s="53" customFormat="1" ht="63">
      <c r="A16" s="131" t="s">
        <v>132</v>
      </c>
      <c r="B16" s="130" t="s">
        <v>133</v>
      </c>
      <c r="C16" s="130"/>
      <c r="D16" s="157"/>
      <c r="E16" s="86" t="s">
        <v>258</v>
      </c>
      <c r="F16" s="167">
        <v>415760</v>
      </c>
      <c r="G16" s="77">
        <f t="shared" si="0"/>
        <v>415760</v>
      </c>
      <c r="H16" s="116"/>
      <c r="I16" s="115"/>
      <c r="J16" s="91">
        <f>G16-'[1]лист'!G16</f>
        <v>0</v>
      </c>
      <c r="M16" s="81"/>
    </row>
    <row r="17" spans="1:13" s="53" customFormat="1" ht="47.25">
      <c r="A17" s="98">
        <v>240900</v>
      </c>
      <c r="B17" s="86" t="s">
        <v>153</v>
      </c>
      <c r="C17" s="99"/>
      <c r="D17" s="163"/>
      <c r="E17" s="86" t="s">
        <v>253</v>
      </c>
      <c r="F17" s="167">
        <f>200000+228420-100000</f>
        <v>328420</v>
      </c>
      <c r="G17" s="77">
        <f t="shared" si="0"/>
        <v>328420</v>
      </c>
      <c r="H17" s="116"/>
      <c r="I17" s="115"/>
      <c r="J17" s="91">
        <f>G17-'[1]лист'!G17</f>
        <v>0</v>
      </c>
      <c r="M17" s="81"/>
    </row>
    <row r="18" spans="1:14" s="53" customFormat="1" ht="78.75">
      <c r="A18" s="220">
        <v>250404</v>
      </c>
      <c r="B18" s="217" t="s">
        <v>140</v>
      </c>
      <c r="C18" s="86" t="s">
        <v>365</v>
      </c>
      <c r="D18" s="164">
        <f>304955+35827-45632</f>
        <v>295150</v>
      </c>
      <c r="E18" s="92"/>
      <c r="F18" s="186"/>
      <c r="G18" s="77">
        <f t="shared" si="0"/>
        <v>295150</v>
      </c>
      <c r="H18" s="116"/>
      <c r="I18" s="116"/>
      <c r="J18" s="91">
        <f>G18-'[1]лист'!G18</f>
        <v>0</v>
      </c>
      <c r="M18" s="136"/>
      <c r="N18" s="91"/>
    </row>
    <row r="19" spans="1:13" s="53" customFormat="1" ht="63">
      <c r="A19" s="221"/>
      <c r="B19" s="218"/>
      <c r="C19" s="86" t="s">
        <v>258</v>
      </c>
      <c r="D19" s="157">
        <f>209200+108675-28686</f>
        <v>289189</v>
      </c>
      <c r="E19" s="86"/>
      <c r="F19" s="167"/>
      <c r="G19" s="77">
        <f t="shared" si="0"/>
        <v>289189</v>
      </c>
      <c r="H19" s="116"/>
      <c r="I19" s="116"/>
      <c r="J19" s="91">
        <f>G19-'[1]лист'!G19</f>
        <v>-28686</v>
      </c>
      <c r="M19" s="81"/>
    </row>
    <row r="20" spans="1:13" s="53" customFormat="1" ht="63">
      <c r="A20" s="221"/>
      <c r="B20" s="218"/>
      <c r="C20" s="86" t="s">
        <v>53</v>
      </c>
      <c r="D20" s="157">
        <f>3348800+47+86900+17413-47+149300</f>
        <v>3602413</v>
      </c>
      <c r="E20" s="86"/>
      <c r="F20" s="167"/>
      <c r="G20" s="77">
        <f t="shared" si="0"/>
        <v>3602413</v>
      </c>
      <c r="H20" s="116"/>
      <c r="I20" s="116"/>
      <c r="J20" s="91">
        <f>G20-'[1]лист'!G20</f>
        <v>149300</v>
      </c>
      <c r="M20" s="81"/>
    </row>
    <row r="21" spans="1:13" s="53" customFormat="1" ht="56.25" customHeight="1">
      <c r="A21" s="221"/>
      <c r="B21" s="218"/>
      <c r="C21" s="86" t="s">
        <v>412</v>
      </c>
      <c r="D21" s="157">
        <v>91000</v>
      </c>
      <c r="E21" s="86"/>
      <c r="F21" s="167"/>
      <c r="G21" s="77">
        <f t="shared" si="0"/>
        <v>91000</v>
      </c>
      <c r="H21" s="116"/>
      <c r="I21" s="116"/>
      <c r="J21" s="91">
        <f>G21-'[1]лист'!G21</f>
        <v>0</v>
      </c>
      <c r="M21" s="81"/>
    </row>
    <row r="22" spans="1:13" s="53" customFormat="1" ht="56.25" customHeight="1">
      <c r="A22" s="221"/>
      <c r="B22" s="218"/>
      <c r="C22" s="86" t="s">
        <v>171</v>
      </c>
      <c r="D22" s="157">
        <v>500000</v>
      </c>
      <c r="E22" s="86"/>
      <c r="F22" s="167"/>
      <c r="G22" s="77">
        <f>F22+D22</f>
        <v>500000</v>
      </c>
      <c r="H22" s="116"/>
      <c r="I22" s="116"/>
      <c r="J22" s="91"/>
      <c r="M22" s="81"/>
    </row>
    <row r="23" spans="1:13" s="53" customFormat="1" ht="56.25" customHeight="1">
      <c r="A23" s="222"/>
      <c r="B23" s="219"/>
      <c r="C23" s="86" t="s">
        <v>357</v>
      </c>
      <c r="D23" s="157">
        <v>38100</v>
      </c>
      <c r="E23" s="86"/>
      <c r="F23" s="167"/>
      <c r="G23" s="77">
        <f t="shared" si="0"/>
        <v>38100</v>
      </c>
      <c r="H23" s="116"/>
      <c r="I23" s="116"/>
      <c r="J23" s="91">
        <f>G23-'[1]лист'!G22</f>
        <v>0</v>
      </c>
      <c r="M23" s="81"/>
    </row>
    <row r="24" spans="1:13" s="53" customFormat="1" ht="47.25">
      <c r="A24" s="87" t="s">
        <v>187</v>
      </c>
      <c r="B24" s="88" t="s">
        <v>97</v>
      </c>
      <c r="C24" s="86"/>
      <c r="D24" s="162">
        <f>D26+D27+D28+D30+D31+D32+D33+D35+D37++D40+D41+D43+D44+D48+D50+D54+D55+D56+D57+D58+D59+D60+D61+D63+D64+D70+D71+D47+D49+D46+D36+D68+D29+D34+D53</f>
        <v>95376238</v>
      </c>
      <c r="E24" s="96"/>
      <c r="F24" s="162">
        <f>F27+F28+F31+F33+F38+F40+F41+F59+F48+F64+F65+F66+F67+F69+F70+F25+F36+F58+F46+F32+F45+F34+F42+F62+F29+F39+F51+F52</f>
        <v>29714722</v>
      </c>
      <c r="G24" s="89">
        <f>D24+F24</f>
        <v>125090960</v>
      </c>
      <c r="H24" s="115">
        <f>H27+H31+H36+H40+H48+H50+H59+H61+H63</f>
        <v>32147506</v>
      </c>
      <c r="I24" s="115">
        <f>F24-H24</f>
        <v>-2432784</v>
      </c>
      <c r="J24" s="91">
        <f>G24-'[1]лист'!G23</f>
        <v>-5659302</v>
      </c>
      <c r="K24" s="53">
        <f>9450-3100</f>
        <v>6350</v>
      </c>
      <c r="M24" s="81"/>
    </row>
    <row r="25" spans="1:13" s="53" customFormat="1" ht="47.25">
      <c r="A25" s="213" t="s">
        <v>211</v>
      </c>
      <c r="B25" s="217" t="s">
        <v>212</v>
      </c>
      <c r="C25" s="86"/>
      <c r="D25" s="157"/>
      <c r="E25" s="86" t="s">
        <v>26</v>
      </c>
      <c r="F25" s="167">
        <v>14000</v>
      </c>
      <c r="G25" s="77">
        <f aca="true" t="shared" si="1" ref="G25:G31">D25+F25</f>
        <v>14000</v>
      </c>
      <c r="H25" s="116"/>
      <c r="I25" s="116"/>
      <c r="J25" s="91">
        <f>G25-'[1]лист'!G24</f>
        <v>0</v>
      </c>
      <c r="M25" s="81"/>
    </row>
    <row r="26" spans="1:13" s="53" customFormat="1" ht="63">
      <c r="A26" s="227"/>
      <c r="B26" s="219"/>
      <c r="C26" s="86" t="s">
        <v>36</v>
      </c>
      <c r="D26" s="157">
        <v>885</v>
      </c>
      <c r="E26" s="86"/>
      <c r="F26" s="161"/>
      <c r="G26" s="77">
        <f t="shared" si="1"/>
        <v>885</v>
      </c>
      <c r="H26" s="116"/>
      <c r="I26" s="115"/>
      <c r="J26" s="91">
        <f>G26-'[1]лист'!G25</f>
        <v>0</v>
      </c>
      <c r="M26" s="81"/>
    </row>
    <row r="27" spans="1:13" s="53" customFormat="1" ht="33" customHeight="1">
      <c r="A27" s="225" t="s">
        <v>115</v>
      </c>
      <c r="B27" s="224" t="s">
        <v>155</v>
      </c>
      <c r="C27" s="86" t="s">
        <v>42</v>
      </c>
      <c r="D27" s="157">
        <f>4567066+20556477+45000+28185-80000</f>
        <v>25116728</v>
      </c>
      <c r="E27" s="86" t="s">
        <v>20</v>
      </c>
      <c r="F27" s="167">
        <f>2665228-972793+241122-298673+2020000</f>
        <v>3654884</v>
      </c>
      <c r="G27" s="77">
        <f t="shared" si="1"/>
        <v>28771612</v>
      </c>
      <c r="H27" s="115">
        <v>16058655</v>
      </c>
      <c r="I27" s="115"/>
      <c r="J27" s="91">
        <f>G27-'[1]лист'!G26</f>
        <v>1968185</v>
      </c>
      <c r="L27" s="91"/>
      <c r="M27" s="136"/>
    </row>
    <row r="28" spans="1:13" s="53" customFormat="1" ht="47.25">
      <c r="A28" s="225"/>
      <c r="B28" s="224"/>
      <c r="C28" s="93" t="s">
        <v>10</v>
      </c>
      <c r="D28" s="165">
        <v>24450</v>
      </c>
      <c r="E28" s="93" t="s">
        <v>10</v>
      </c>
      <c r="F28" s="166">
        <f>397915-241122</f>
        <v>156793</v>
      </c>
      <c r="G28" s="101">
        <f t="shared" si="1"/>
        <v>181243</v>
      </c>
      <c r="H28" s="116"/>
      <c r="I28" s="116"/>
      <c r="J28" s="91">
        <f>G28-'[1]лист'!G27</f>
        <v>0</v>
      </c>
      <c r="M28" s="81"/>
    </row>
    <row r="29" spans="1:13" s="53" customFormat="1" ht="47.25">
      <c r="A29" s="225"/>
      <c r="B29" s="224"/>
      <c r="C29" s="102" t="s">
        <v>366</v>
      </c>
      <c r="D29" s="159">
        <f>21000</f>
        <v>21000</v>
      </c>
      <c r="E29" s="102" t="s">
        <v>366</v>
      </c>
      <c r="F29" s="187">
        <v>645000</v>
      </c>
      <c r="G29" s="103">
        <f>D29+F29</f>
        <v>666000</v>
      </c>
      <c r="H29" s="116"/>
      <c r="I29" s="116"/>
      <c r="J29" s="91">
        <f>G29-'[1]лист'!G28</f>
        <v>0</v>
      </c>
      <c r="M29" s="81"/>
    </row>
    <row r="30" spans="1:13" s="53" customFormat="1" ht="63">
      <c r="A30" s="225"/>
      <c r="B30" s="224"/>
      <c r="C30" s="86" t="s">
        <v>36</v>
      </c>
      <c r="D30" s="157">
        <v>209486</v>
      </c>
      <c r="E30" s="93"/>
      <c r="F30" s="166"/>
      <c r="G30" s="77">
        <f t="shared" si="1"/>
        <v>209486</v>
      </c>
      <c r="H30" s="116"/>
      <c r="I30" s="116"/>
      <c r="J30" s="91">
        <f>G30-'[1]лист'!G29</f>
        <v>0</v>
      </c>
      <c r="M30" s="81"/>
    </row>
    <row r="31" spans="1:13" s="53" customFormat="1" ht="31.5">
      <c r="A31" s="225" t="s">
        <v>116</v>
      </c>
      <c r="B31" s="225" t="s">
        <v>156</v>
      </c>
      <c r="C31" s="86" t="s">
        <v>20</v>
      </c>
      <c r="D31" s="157">
        <f>6523141+21943985+232500+79000+80000</f>
        <v>28858626</v>
      </c>
      <c r="E31" s="86" t="s">
        <v>20</v>
      </c>
      <c r="F31" s="167">
        <f>3928880+670111+794838-125254-265000</f>
        <v>5003575</v>
      </c>
      <c r="G31" s="77">
        <f t="shared" si="1"/>
        <v>33862201</v>
      </c>
      <c r="H31" s="115">
        <v>14434083</v>
      </c>
      <c r="I31" s="115"/>
      <c r="J31" s="91">
        <f>G31-'[1]лист'!G30</f>
        <v>-106000</v>
      </c>
      <c r="K31" s="91"/>
      <c r="L31" s="91"/>
      <c r="M31" s="81"/>
    </row>
    <row r="32" spans="1:13" s="53" customFormat="1" ht="31.5">
      <c r="A32" s="225"/>
      <c r="B32" s="225"/>
      <c r="C32" s="86" t="s">
        <v>21</v>
      </c>
      <c r="D32" s="157">
        <v>522962</v>
      </c>
      <c r="E32" s="86" t="s">
        <v>21</v>
      </c>
      <c r="F32" s="167">
        <v>127071</v>
      </c>
      <c r="G32" s="77">
        <f aca="true" t="shared" si="2" ref="G32:G40">D32+F32</f>
        <v>650033</v>
      </c>
      <c r="H32" s="116"/>
      <c r="I32" s="116"/>
      <c r="J32" s="91">
        <f>G32-'[1]лист'!G31</f>
        <v>0</v>
      </c>
      <c r="M32" s="81"/>
    </row>
    <row r="33" spans="1:13" s="53" customFormat="1" ht="47.25">
      <c r="A33" s="225"/>
      <c r="B33" s="225"/>
      <c r="C33" s="93" t="s">
        <v>10</v>
      </c>
      <c r="D33" s="165">
        <v>99122</v>
      </c>
      <c r="E33" s="93" t="s">
        <v>10</v>
      </c>
      <c r="F33" s="166">
        <f>1487001-794838</f>
        <v>692163</v>
      </c>
      <c r="G33" s="101">
        <f>D33+F33</f>
        <v>791285</v>
      </c>
      <c r="H33" s="116"/>
      <c r="I33" s="116"/>
      <c r="J33" s="91">
        <f>G33-'[1]лист'!G32</f>
        <v>0</v>
      </c>
      <c r="M33" s="81"/>
    </row>
    <row r="34" spans="1:13" s="53" customFormat="1" ht="47.25">
      <c r="A34" s="225"/>
      <c r="B34" s="225"/>
      <c r="C34" s="102" t="s">
        <v>366</v>
      </c>
      <c r="D34" s="159">
        <f>113000+114000+2000</f>
        <v>229000</v>
      </c>
      <c r="E34" s="102" t="s">
        <v>366</v>
      </c>
      <c r="F34" s="158">
        <f>2049510-64000+2900-139000-66000+10000-3100-5000-16000-10000-5000+2000</f>
        <v>1756310</v>
      </c>
      <c r="G34" s="103">
        <f>D34+F34</f>
        <v>1985310</v>
      </c>
      <c r="H34" s="116"/>
      <c r="I34" s="116"/>
      <c r="J34" s="91">
        <f>G34-'[1]лист'!G33</f>
        <v>-35100</v>
      </c>
      <c r="M34" s="81"/>
    </row>
    <row r="35" spans="1:13" s="53" customFormat="1" ht="66" customHeight="1">
      <c r="A35" s="213"/>
      <c r="B35" s="213"/>
      <c r="C35" s="86" t="s">
        <v>36</v>
      </c>
      <c r="D35" s="157">
        <v>322041</v>
      </c>
      <c r="E35" s="93"/>
      <c r="F35" s="166"/>
      <c r="G35" s="77">
        <f t="shared" si="2"/>
        <v>322041</v>
      </c>
      <c r="H35" s="116"/>
      <c r="I35" s="116"/>
      <c r="J35" s="91">
        <f>G35-'[1]лист'!G34</f>
        <v>0</v>
      </c>
      <c r="M35" s="81"/>
    </row>
    <row r="36" spans="1:13" s="53" customFormat="1" ht="35.25" customHeight="1">
      <c r="A36" s="213" t="s">
        <v>117</v>
      </c>
      <c r="B36" s="217" t="s">
        <v>157</v>
      </c>
      <c r="C36" s="104" t="s">
        <v>20</v>
      </c>
      <c r="D36" s="157">
        <v>1636</v>
      </c>
      <c r="E36" s="105"/>
      <c r="F36" s="167"/>
      <c r="G36" s="77">
        <f t="shared" si="2"/>
        <v>1636</v>
      </c>
      <c r="H36" s="115">
        <v>13123</v>
      </c>
      <c r="I36" s="115"/>
      <c r="J36" s="91">
        <f>G36-'[1]лист'!G35</f>
        <v>0</v>
      </c>
      <c r="L36" s="91"/>
      <c r="M36" s="81"/>
    </row>
    <row r="37" spans="1:13" s="53" customFormat="1" ht="70.5" customHeight="1">
      <c r="A37" s="215"/>
      <c r="B37" s="216"/>
      <c r="C37" s="104" t="s">
        <v>36</v>
      </c>
      <c r="D37" s="157">
        <v>5234</v>
      </c>
      <c r="E37" s="86"/>
      <c r="F37" s="167"/>
      <c r="G37" s="77">
        <f t="shared" si="2"/>
        <v>5234</v>
      </c>
      <c r="H37" s="116"/>
      <c r="I37" s="116"/>
      <c r="J37" s="91">
        <f>G37-'[1]лист'!G36</f>
        <v>0</v>
      </c>
      <c r="M37" s="81"/>
    </row>
    <row r="38" spans="1:13" s="53" customFormat="1" ht="47.25">
      <c r="A38" s="215"/>
      <c r="B38" s="216"/>
      <c r="C38" s="104"/>
      <c r="D38" s="157"/>
      <c r="E38" s="93" t="s">
        <v>10</v>
      </c>
      <c r="F38" s="166">
        <v>14800</v>
      </c>
      <c r="G38" s="101">
        <f t="shared" si="2"/>
        <v>14800</v>
      </c>
      <c r="H38" s="115"/>
      <c r="I38" s="115"/>
      <c r="J38" s="91">
        <f>G38-'[1]лист'!G37</f>
        <v>0</v>
      </c>
      <c r="M38" s="81"/>
    </row>
    <row r="39" spans="1:13" s="53" customFormat="1" ht="47.25">
      <c r="A39" s="214"/>
      <c r="B39" s="226"/>
      <c r="C39" s="104"/>
      <c r="D39" s="157"/>
      <c r="E39" s="102" t="s">
        <v>366</v>
      </c>
      <c r="F39" s="187">
        <v>30000</v>
      </c>
      <c r="G39" s="75">
        <f t="shared" si="2"/>
        <v>30000</v>
      </c>
      <c r="H39" s="115"/>
      <c r="I39" s="115"/>
      <c r="J39" s="91">
        <f>G39-'[1]лист'!G38</f>
        <v>0</v>
      </c>
      <c r="M39" s="81"/>
    </row>
    <row r="40" spans="1:13" s="53" customFormat="1" ht="39" customHeight="1">
      <c r="A40" s="227" t="s">
        <v>74</v>
      </c>
      <c r="B40" s="219" t="s">
        <v>75</v>
      </c>
      <c r="C40" s="86" t="s">
        <v>22</v>
      </c>
      <c r="D40" s="157">
        <f>30129386+247000+8695</f>
        <v>30385081</v>
      </c>
      <c r="E40" s="86" t="s">
        <v>22</v>
      </c>
      <c r="F40" s="167">
        <f>151878+393294-F41+11000</f>
        <v>546573</v>
      </c>
      <c r="G40" s="77">
        <f t="shared" si="2"/>
        <v>30931654</v>
      </c>
      <c r="H40" s="115">
        <v>393294</v>
      </c>
      <c r="I40" s="115"/>
      <c r="J40" s="91">
        <f>G40-'[1]лист'!G39</f>
        <v>19695</v>
      </c>
      <c r="M40" s="81"/>
    </row>
    <row r="41" spans="1:14" s="53" customFormat="1" ht="47.25">
      <c r="A41" s="225"/>
      <c r="B41" s="224"/>
      <c r="C41" s="93" t="s">
        <v>10</v>
      </c>
      <c r="D41" s="166">
        <v>5000</v>
      </c>
      <c r="E41" s="93" t="s">
        <v>10</v>
      </c>
      <c r="F41" s="166">
        <f>33649-24050</f>
        <v>9599</v>
      </c>
      <c r="G41" s="101">
        <f>D41+F41</f>
        <v>14599</v>
      </c>
      <c r="H41" s="116"/>
      <c r="I41" s="116"/>
      <c r="J41" s="91">
        <f>G41-'[1]лист'!G40</f>
        <v>0</v>
      </c>
      <c r="M41" s="136"/>
      <c r="N41" s="91"/>
    </row>
    <row r="42" spans="1:14" s="53" customFormat="1" ht="47.25">
      <c r="A42" s="225"/>
      <c r="B42" s="224"/>
      <c r="D42" s="166"/>
      <c r="E42" s="102" t="s">
        <v>366</v>
      </c>
      <c r="F42" s="158">
        <v>73700</v>
      </c>
      <c r="G42" s="103">
        <f>F42+D42</f>
        <v>73700</v>
      </c>
      <c r="H42" s="116"/>
      <c r="I42" s="116"/>
      <c r="J42" s="91">
        <f>G42-'[1]лист'!G41</f>
        <v>0</v>
      </c>
      <c r="M42" s="136"/>
      <c r="N42" s="91"/>
    </row>
    <row r="43" spans="1:13" s="53" customFormat="1" ht="66.75" customHeight="1">
      <c r="A43" s="225"/>
      <c r="B43" s="224"/>
      <c r="C43" s="86" t="s">
        <v>36</v>
      </c>
      <c r="D43" s="167">
        <v>38395</v>
      </c>
      <c r="E43" s="93"/>
      <c r="F43" s="166"/>
      <c r="G43" s="77">
        <f aca="true" t="shared" si="3" ref="G43:G69">D43+F43</f>
        <v>38395</v>
      </c>
      <c r="H43" s="116"/>
      <c r="I43" s="116"/>
      <c r="J43" s="91">
        <f>G43-'[1]лист'!G42</f>
        <v>0</v>
      </c>
      <c r="M43" s="81"/>
    </row>
    <row r="44" spans="1:13" s="53" customFormat="1" ht="63.75" customHeight="1">
      <c r="A44" s="213" t="s">
        <v>376</v>
      </c>
      <c r="B44" s="217" t="s">
        <v>375</v>
      </c>
      <c r="C44" s="86" t="s">
        <v>36</v>
      </c>
      <c r="D44" s="167">
        <v>2108</v>
      </c>
      <c r="E44" s="93"/>
      <c r="F44" s="166"/>
      <c r="G44" s="77">
        <f>D44+F44</f>
        <v>2108</v>
      </c>
      <c r="H44" s="116"/>
      <c r="I44" s="116"/>
      <c r="J44" s="91">
        <f>G44-'[1]лист'!G43</f>
        <v>0</v>
      </c>
      <c r="M44" s="81"/>
    </row>
    <row r="45" spans="1:13" s="53" customFormat="1" ht="37.5" customHeight="1">
      <c r="A45" s="227"/>
      <c r="B45" s="219"/>
      <c r="C45" s="86"/>
      <c r="D45" s="161"/>
      <c r="E45" s="86" t="s">
        <v>20</v>
      </c>
      <c r="F45" s="167">
        <v>49000</v>
      </c>
      <c r="G45" s="77">
        <f>D45+F45</f>
        <v>49000</v>
      </c>
      <c r="H45" s="116"/>
      <c r="I45" s="115"/>
      <c r="J45" s="91">
        <f>G45-'[1]лист'!G44</f>
        <v>0</v>
      </c>
      <c r="M45" s="81"/>
    </row>
    <row r="46" spans="1:13" s="53" customFormat="1" ht="31.5">
      <c r="A46" s="213" t="s">
        <v>469</v>
      </c>
      <c r="B46" s="217" t="s">
        <v>501</v>
      </c>
      <c r="C46" s="86" t="s">
        <v>42</v>
      </c>
      <c r="D46" s="167">
        <v>30000</v>
      </c>
      <c r="E46" s="86"/>
      <c r="F46" s="167"/>
      <c r="G46" s="77">
        <f>D46+F46</f>
        <v>30000</v>
      </c>
      <c r="H46" s="116"/>
      <c r="I46" s="115"/>
      <c r="J46" s="91">
        <f>G46-'[1]лист'!G45</f>
        <v>-400000</v>
      </c>
      <c r="M46" s="81"/>
    </row>
    <row r="47" spans="1:13" s="53" customFormat="1" ht="63.75" customHeight="1">
      <c r="A47" s="227"/>
      <c r="B47" s="219"/>
      <c r="C47" s="86" t="s">
        <v>36</v>
      </c>
      <c r="D47" s="167">
        <v>1684</v>
      </c>
      <c r="E47" s="86"/>
      <c r="F47" s="167"/>
      <c r="G47" s="77">
        <f>D47+F47</f>
        <v>1684</v>
      </c>
      <c r="H47" s="116"/>
      <c r="I47" s="116"/>
      <c r="J47" s="91">
        <f>G47-'[1]лист'!G46</f>
        <v>0</v>
      </c>
      <c r="M47" s="81"/>
    </row>
    <row r="48" spans="1:13" s="53" customFormat="1" ht="31.5">
      <c r="A48" s="213" t="s">
        <v>383</v>
      </c>
      <c r="B48" s="217" t="s">
        <v>384</v>
      </c>
      <c r="C48" s="86" t="s">
        <v>42</v>
      </c>
      <c r="D48" s="167">
        <v>60000</v>
      </c>
      <c r="E48" s="86" t="s">
        <v>20</v>
      </c>
      <c r="F48" s="167">
        <v>94430</v>
      </c>
      <c r="G48" s="77">
        <f t="shared" si="3"/>
        <v>154430</v>
      </c>
      <c r="H48" s="115">
        <v>13931</v>
      </c>
      <c r="I48" s="115"/>
      <c r="J48" s="91">
        <f>G48-'[1]лист'!G47</f>
        <v>0</v>
      </c>
      <c r="L48" s="91"/>
      <c r="M48" s="81"/>
    </row>
    <row r="49" spans="1:13" s="53" customFormat="1" ht="63">
      <c r="A49" s="215"/>
      <c r="B49" s="218"/>
      <c r="C49" s="86" t="s">
        <v>36</v>
      </c>
      <c r="D49" s="167">
        <v>10998</v>
      </c>
      <c r="E49" s="86"/>
      <c r="F49" s="167"/>
      <c r="G49" s="77">
        <f>D49</f>
        <v>10998</v>
      </c>
      <c r="H49" s="115"/>
      <c r="I49" s="115"/>
      <c r="J49" s="91">
        <f>G49-'[1]лист'!G48</f>
        <v>0</v>
      </c>
      <c r="M49" s="81"/>
    </row>
    <row r="50" spans="1:13" s="53" customFormat="1" ht="60.75" customHeight="1">
      <c r="A50" s="228" t="s">
        <v>377</v>
      </c>
      <c r="B50" s="217" t="s">
        <v>378</v>
      </c>
      <c r="C50" s="104" t="s">
        <v>36</v>
      </c>
      <c r="D50" s="167">
        <v>8769</v>
      </c>
      <c r="E50" s="93"/>
      <c r="F50" s="166"/>
      <c r="G50" s="77">
        <f t="shared" si="3"/>
        <v>8769</v>
      </c>
      <c r="H50" s="116">
        <v>334432</v>
      </c>
      <c r="I50" s="116"/>
      <c r="J50" s="91">
        <f>G50-'[1]лист'!G49</f>
        <v>0</v>
      </c>
      <c r="M50" s="81"/>
    </row>
    <row r="51" spans="1:13" s="53" customFormat="1" ht="50.25" customHeight="1">
      <c r="A51" s="229"/>
      <c r="B51" s="218"/>
      <c r="C51" s="104"/>
      <c r="D51" s="167"/>
      <c r="E51" s="102" t="s">
        <v>366</v>
      </c>
      <c r="F51" s="198">
        <f>16000</f>
        <v>16000</v>
      </c>
      <c r="G51" s="198">
        <f t="shared" si="3"/>
        <v>16000</v>
      </c>
      <c r="H51" s="116"/>
      <c r="I51" s="116"/>
      <c r="J51" s="91"/>
      <c r="M51" s="81"/>
    </row>
    <row r="52" spans="1:13" s="53" customFormat="1" ht="48" customHeight="1">
      <c r="A52" s="228" t="s">
        <v>167</v>
      </c>
      <c r="B52" s="217" t="s">
        <v>168</v>
      </c>
      <c r="C52" s="104"/>
      <c r="D52" s="167"/>
      <c r="E52" s="102" t="s">
        <v>366</v>
      </c>
      <c r="F52" s="198">
        <v>10000</v>
      </c>
      <c r="G52" s="198">
        <f t="shared" si="3"/>
        <v>10000</v>
      </c>
      <c r="H52" s="116"/>
      <c r="I52" s="116"/>
      <c r="J52" s="91"/>
      <c r="M52" s="81"/>
    </row>
    <row r="53" spans="1:13" s="53" customFormat="1" ht="60.75" customHeight="1">
      <c r="A53" s="237"/>
      <c r="B53" s="219"/>
      <c r="C53" s="104" t="s">
        <v>42</v>
      </c>
      <c r="D53" s="167">
        <v>90000</v>
      </c>
      <c r="E53" s="102"/>
      <c r="F53" s="198"/>
      <c r="G53" s="77">
        <f t="shared" si="3"/>
        <v>90000</v>
      </c>
      <c r="H53" s="116"/>
      <c r="I53" s="116"/>
      <c r="J53" s="91"/>
      <c r="M53" s="81"/>
    </row>
    <row r="54" spans="1:13" s="53" customFormat="1" ht="47.25">
      <c r="A54" s="200" t="s">
        <v>129</v>
      </c>
      <c r="B54" s="197" t="s">
        <v>76</v>
      </c>
      <c r="C54" s="86" t="s">
        <v>23</v>
      </c>
      <c r="D54" s="164">
        <f>463467+252070-46866+1-90000</f>
        <v>578672</v>
      </c>
      <c r="E54" s="86"/>
      <c r="F54" s="188"/>
      <c r="G54" s="77">
        <f t="shared" si="3"/>
        <v>578672</v>
      </c>
      <c r="H54" s="116"/>
      <c r="I54" s="116"/>
      <c r="J54" s="91">
        <f>G54-'[1]лист'!G50</f>
        <v>-136865</v>
      </c>
      <c r="M54" s="81"/>
    </row>
    <row r="55" spans="1:14" s="53" customFormat="1" ht="110.25">
      <c r="A55" s="97" t="s">
        <v>118</v>
      </c>
      <c r="B55" s="86" t="s">
        <v>151</v>
      </c>
      <c r="C55" s="86" t="s">
        <v>24</v>
      </c>
      <c r="D55" s="157">
        <f>4377290-29502-61482</f>
        <v>4286306</v>
      </c>
      <c r="E55" s="86"/>
      <c r="F55" s="173"/>
      <c r="G55" s="77">
        <f t="shared" si="3"/>
        <v>4286306</v>
      </c>
      <c r="H55" s="116"/>
      <c r="I55" s="116"/>
      <c r="J55" s="91">
        <f>G55-'[1]лист'!G51</f>
        <v>-90984</v>
      </c>
      <c r="M55" s="136"/>
      <c r="N55" s="91"/>
    </row>
    <row r="56" spans="1:13" s="53" customFormat="1" ht="31.5">
      <c r="A56" s="97" t="s">
        <v>203</v>
      </c>
      <c r="B56" s="86" t="s">
        <v>204</v>
      </c>
      <c r="C56" s="86" t="s">
        <v>25</v>
      </c>
      <c r="D56" s="157">
        <f>199559+61978</f>
        <v>261537</v>
      </c>
      <c r="E56" s="86"/>
      <c r="F56" s="173"/>
      <c r="G56" s="77">
        <f t="shared" si="3"/>
        <v>261537</v>
      </c>
      <c r="H56" s="116"/>
      <c r="I56" s="116"/>
      <c r="J56" s="91">
        <f>G56-'[1]лист'!G52</f>
        <v>0</v>
      </c>
      <c r="M56" s="81"/>
    </row>
    <row r="57" spans="1:13" s="53" customFormat="1" ht="47.25">
      <c r="A57" s="97" t="s">
        <v>289</v>
      </c>
      <c r="B57" s="86" t="s">
        <v>290</v>
      </c>
      <c r="C57" s="86" t="s">
        <v>25</v>
      </c>
      <c r="D57" s="157">
        <f>99067+3322</f>
        <v>102389</v>
      </c>
      <c r="E57" s="86"/>
      <c r="F57" s="167"/>
      <c r="G57" s="77">
        <f t="shared" si="3"/>
        <v>102389</v>
      </c>
      <c r="H57" s="116"/>
      <c r="I57" s="116"/>
      <c r="J57" s="91">
        <f>G57-'[1]лист'!G53</f>
        <v>0</v>
      </c>
      <c r="M57" s="81"/>
    </row>
    <row r="58" spans="1:13" s="53" customFormat="1" ht="31.5" customHeight="1">
      <c r="A58" s="225" t="s">
        <v>158</v>
      </c>
      <c r="B58" s="224" t="s">
        <v>237</v>
      </c>
      <c r="C58" s="86" t="s">
        <v>25</v>
      </c>
      <c r="D58" s="157">
        <f>447580+64379</f>
        <v>511959</v>
      </c>
      <c r="E58" s="86" t="s">
        <v>25</v>
      </c>
      <c r="F58" s="167">
        <f>179750+35500</f>
        <v>215250</v>
      </c>
      <c r="G58" s="77">
        <f t="shared" si="3"/>
        <v>727209</v>
      </c>
      <c r="H58" s="116"/>
      <c r="I58" s="115"/>
      <c r="J58" s="91">
        <f>G58-'[1]лист'!G54</f>
        <v>0</v>
      </c>
      <c r="L58" s="91"/>
      <c r="M58" s="81"/>
    </row>
    <row r="59" spans="1:13" s="53" customFormat="1" ht="52.5" customHeight="1">
      <c r="A59" s="225"/>
      <c r="B59" s="224"/>
      <c r="C59" s="93"/>
      <c r="D59" s="166"/>
      <c r="E59" s="93" t="s">
        <v>10</v>
      </c>
      <c r="F59" s="166">
        <f>39500-35500</f>
        <v>4000</v>
      </c>
      <c r="G59" s="101">
        <f t="shared" si="3"/>
        <v>4000</v>
      </c>
      <c r="H59" s="115">
        <v>774728</v>
      </c>
      <c r="I59" s="115"/>
      <c r="J59" s="91">
        <f>G59-'[1]лист'!G55</f>
        <v>0</v>
      </c>
      <c r="M59" s="81"/>
    </row>
    <row r="60" spans="1:13" s="53" customFormat="1" ht="63">
      <c r="A60" s="225"/>
      <c r="B60" s="224"/>
      <c r="C60" s="86" t="s">
        <v>36</v>
      </c>
      <c r="D60" s="167">
        <v>23788</v>
      </c>
      <c r="E60" s="93"/>
      <c r="F60" s="166"/>
      <c r="G60" s="77">
        <f t="shared" si="3"/>
        <v>23788</v>
      </c>
      <c r="H60" s="116"/>
      <c r="I60" s="116"/>
      <c r="J60" s="91">
        <f>G60-'[1]лист'!G56</f>
        <v>0</v>
      </c>
      <c r="M60" s="81"/>
    </row>
    <row r="61" spans="1:13" s="53" customFormat="1" ht="47.25">
      <c r="A61" s="213" t="s">
        <v>201</v>
      </c>
      <c r="B61" s="217" t="s">
        <v>202</v>
      </c>
      <c r="C61" s="86" t="s">
        <v>54</v>
      </c>
      <c r="D61" s="157">
        <f>733099-57022+4400+38952</f>
        <v>719429</v>
      </c>
      <c r="E61" s="86"/>
      <c r="F61" s="167"/>
      <c r="G61" s="77">
        <f t="shared" si="3"/>
        <v>719429</v>
      </c>
      <c r="H61" s="116">
        <v>82380</v>
      </c>
      <c r="I61" s="116"/>
      <c r="J61" s="91">
        <f>G61-'[1]лист'!G57</f>
        <v>38952</v>
      </c>
      <c r="M61" s="81"/>
    </row>
    <row r="62" spans="1:13" s="53" customFormat="1" ht="47.25">
      <c r="A62" s="227"/>
      <c r="B62" s="219"/>
      <c r="C62" s="86"/>
      <c r="D62" s="157"/>
      <c r="E62" s="102" t="s">
        <v>366</v>
      </c>
      <c r="F62" s="187">
        <f>38500+10000</f>
        <v>48500</v>
      </c>
      <c r="G62" s="75">
        <f>F62</f>
        <v>48500</v>
      </c>
      <c r="H62" s="116"/>
      <c r="I62" s="116"/>
      <c r="J62" s="91">
        <f>G62-'[1]лист'!G58</f>
        <v>0</v>
      </c>
      <c r="M62" s="81"/>
    </row>
    <row r="63" spans="1:14" s="53" customFormat="1" ht="63">
      <c r="A63" s="230">
        <v>130112</v>
      </c>
      <c r="B63" s="224" t="s">
        <v>140</v>
      </c>
      <c r="C63" s="86" t="s">
        <v>36</v>
      </c>
      <c r="D63" s="157">
        <v>1046</v>
      </c>
      <c r="E63" s="86"/>
      <c r="F63" s="167"/>
      <c r="G63" s="77">
        <f t="shared" si="3"/>
        <v>1046</v>
      </c>
      <c r="H63" s="116">
        <v>42880</v>
      </c>
      <c r="I63" s="116"/>
      <c r="J63" s="91">
        <f>G63-'[1]лист'!G59</f>
        <v>0</v>
      </c>
      <c r="M63" s="136"/>
      <c r="N63" s="91"/>
    </row>
    <row r="64" spans="1:13" s="53" customFormat="1" ht="37.5" customHeight="1">
      <c r="A64" s="230"/>
      <c r="B64" s="224"/>
      <c r="C64" s="86" t="s">
        <v>27</v>
      </c>
      <c r="D64" s="164">
        <f>471081+4100</f>
        <v>475181</v>
      </c>
      <c r="E64" s="86" t="s">
        <v>27</v>
      </c>
      <c r="F64" s="186">
        <v>42880</v>
      </c>
      <c r="G64" s="77">
        <f t="shared" si="3"/>
        <v>518061</v>
      </c>
      <c r="H64" s="115"/>
      <c r="I64" s="115"/>
      <c r="J64" s="91">
        <f>G64-'[1]лист'!G60</f>
        <v>0</v>
      </c>
      <c r="M64" s="81"/>
    </row>
    <row r="65" spans="1:13" s="53" customFormat="1" ht="34.5" customHeight="1">
      <c r="A65" s="225" t="s">
        <v>132</v>
      </c>
      <c r="B65" s="224" t="s">
        <v>133</v>
      </c>
      <c r="C65" s="86"/>
      <c r="D65" s="168"/>
      <c r="E65" s="86" t="s">
        <v>20</v>
      </c>
      <c r="F65" s="186">
        <f>8667311+11363627-5560000-1366000</f>
        <v>13104938</v>
      </c>
      <c r="G65" s="77">
        <f t="shared" si="3"/>
        <v>13104938</v>
      </c>
      <c r="H65" s="115"/>
      <c r="I65" s="115"/>
      <c r="J65" s="91">
        <f>G65-'[1]лист'!G61</f>
        <v>-6926000</v>
      </c>
      <c r="M65" s="81"/>
    </row>
    <row r="66" spans="1:13" s="53" customFormat="1" ht="34.5" customHeight="1">
      <c r="A66" s="225"/>
      <c r="B66" s="224"/>
      <c r="C66" s="86"/>
      <c r="D66" s="168"/>
      <c r="E66" s="86" t="s">
        <v>22</v>
      </c>
      <c r="F66" s="186">
        <v>1248451</v>
      </c>
      <c r="G66" s="77">
        <f t="shared" si="3"/>
        <v>1248451</v>
      </c>
      <c r="H66" s="116"/>
      <c r="I66" s="116"/>
      <c r="J66" s="91">
        <f>G66-'[1]лист'!G62</f>
        <v>0</v>
      </c>
      <c r="M66" s="81"/>
    </row>
    <row r="67" spans="1:13" s="53" customFormat="1" ht="34.5" customHeight="1">
      <c r="A67" s="225"/>
      <c r="B67" s="224"/>
      <c r="C67" s="86"/>
      <c r="D67" s="168"/>
      <c r="E67" s="86" t="s">
        <v>27</v>
      </c>
      <c r="F67" s="186">
        <v>1065845</v>
      </c>
      <c r="G67" s="77">
        <f t="shared" si="3"/>
        <v>1065845</v>
      </c>
      <c r="H67" s="116"/>
      <c r="I67" s="116"/>
      <c r="J67" s="91">
        <f>G67-'[1]лист'!G63</f>
        <v>0</v>
      </c>
      <c r="M67" s="81"/>
    </row>
    <row r="68" spans="1:13" s="53" customFormat="1" ht="34.5" customHeight="1">
      <c r="A68" s="97" t="s">
        <v>254</v>
      </c>
      <c r="B68" s="86" t="s">
        <v>255</v>
      </c>
      <c r="C68" s="86" t="s">
        <v>355</v>
      </c>
      <c r="D68" s="168">
        <f>367000-107185</f>
        <v>259815</v>
      </c>
      <c r="E68" s="86"/>
      <c r="F68" s="186"/>
      <c r="G68" s="77">
        <f t="shared" si="3"/>
        <v>259815</v>
      </c>
      <c r="H68" s="116"/>
      <c r="I68" s="116"/>
      <c r="J68" s="91">
        <f>G68-'[1]лист'!G64</f>
        <v>-107185</v>
      </c>
      <c r="M68" s="81"/>
    </row>
    <row r="69" spans="1:13" s="53" customFormat="1" ht="47.25">
      <c r="A69" s="86">
        <v>240601</v>
      </c>
      <c r="B69" s="86" t="s">
        <v>154</v>
      </c>
      <c r="C69" s="86"/>
      <c r="D69" s="168"/>
      <c r="E69" s="86" t="s">
        <v>28</v>
      </c>
      <c r="F69" s="157">
        <f>119053+98000+372301</f>
        <v>589354</v>
      </c>
      <c r="G69" s="77">
        <f t="shared" si="3"/>
        <v>589354</v>
      </c>
      <c r="H69" s="115"/>
      <c r="I69" s="115"/>
      <c r="J69" s="91">
        <f>G69-'[1]лист'!G65</f>
        <v>0</v>
      </c>
      <c r="M69" s="81"/>
    </row>
    <row r="70" spans="1:13" s="53" customFormat="1" ht="78.75">
      <c r="A70" s="106" t="s">
        <v>72</v>
      </c>
      <c r="B70" s="86" t="s">
        <v>73</v>
      </c>
      <c r="C70" s="217" t="s">
        <v>29</v>
      </c>
      <c r="D70" s="163">
        <v>2062911</v>
      </c>
      <c r="E70" s="86" t="s">
        <v>29</v>
      </c>
      <c r="F70" s="188">
        <f>33524+468082</f>
        <v>501606</v>
      </c>
      <c r="G70" s="77">
        <f aca="true" t="shared" si="4" ref="G70:G95">D70+F70</f>
        <v>2564517</v>
      </c>
      <c r="H70" s="116"/>
      <c r="I70" s="116"/>
      <c r="J70" s="91">
        <f>G70-'[1]лист'!G66</f>
        <v>0</v>
      </c>
      <c r="M70" s="81"/>
    </row>
    <row r="71" spans="1:14" s="53" customFormat="1" ht="94.5">
      <c r="A71" s="106" t="s">
        <v>402</v>
      </c>
      <c r="B71" s="86" t="s">
        <v>403</v>
      </c>
      <c r="C71" s="219"/>
      <c r="D71" s="163">
        <v>50000</v>
      </c>
      <c r="E71" s="86"/>
      <c r="F71" s="188"/>
      <c r="G71" s="77">
        <f t="shared" si="4"/>
        <v>50000</v>
      </c>
      <c r="H71" s="116"/>
      <c r="I71" s="116"/>
      <c r="J71" s="91">
        <f>G71-'[1]лист'!G67</f>
        <v>0</v>
      </c>
      <c r="M71" s="136"/>
      <c r="N71" s="91"/>
    </row>
    <row r="72" spans="1:13" s="53" customFormat="1" ht="46.5" customHeight="1">
      <c r="A72" s="87" t="s">
        <v>188</v>
      </c>
      <c r="B72" s="88" t="s">
        <v>98</v>
      </c>
      <c r="C72" s="86"/>
      <c r="D72" s="162">
        <f>D75+D76+D77+D79+D80+D82+D83+D84+D86+D89+D91+D94+D74+D78+D81+D90+D85</f>
        <v>38111515</v>
      </c>
      <c r="E72" s="96"/>
      <c r="F72" s="162">
        <f>F73+F74+F75+F76+F77+F78+F79+F80+F81+F82+F83+F84+F86+F87+F88+F89+F90+F91+F92+F93+F94+F95</f>
        <v>28186922</v>
      </c>
      <c r="G72" s="90">
        <f>D72+F72</f>
        <v>66298437</v>
      </c>
      <c r="H72" s="115">
        <f>H76+H80+H86+H89</f>
        <v>17141913</v>
      </c>
      <c r="I72" s="115"/>
      <c r="J72" s="91">
        <f>G72-'[1]лист'!G68</f>
        <v>-4008687</v>
      </c>
      <c r="M72" s="81"/>
    </row>
    <row r="73" spans="1:13" s="53" customFormat="1" ht="46.5" customHeight="1">
      <c r="A73" s="213" t="s">
        <v>211</v>
      </c>
      <c r="B73" s="217" t="s">
        <v>212</v>
      </c>
      <c r="C73" s="86"/>
      <c r="D73" s="162"/>
      <c r="E73" s="86" t="s">
        <v>26</v>
      </c>
      <c r="F73" s="167">
        <v>7000</v>
      </c>
      <c r="G73" s="77">
        <f>F73</f>
        <v>7000</v>
      </c>
      <c r="H73" s="115"/>
      <c r="I73" s="115"/>
      <c r="J73" s="91">
        <f>G73-'[1]лист'!G69</f>
        <v>0</v>
      </c>
      <c r="M73" s="81"/>
    </row>
    <row r="74" spans="1:13" s="53" customFormat="1" ht="69" customHeight="1">
      <c r="A74" s="227"/>
      <c r="B74" s="219"/>
      <c r="C74" s="86" t="s">
        <v>36</v>
      </c>
      <c r="D74" s="157">
        <v>2829</v>
      </c>
      <c r="E74" s="86"/>
      <c r="F74" s="161"/>
      <c r="G74" s="77">
        <f>D74+F74</f>
        <v>2829</v>
      </c>
      <c r="H74" s="116"/>
      <c r="I74" s="115"/>
      <c r="J74" s="91">
        <f>G74-'[1]лист'!G70</f>
        <v>0</v>
      </c>
      <c r="M74" s="81"/>
    </row>
    <row r="75" spans="1:13" s="53" customFormat="1" ht="52.5" customHeight="1">
      <c r="A75" s="225" t="s">
        <v>120</v>
      </c>
      <c r="B75" s="224" t="s">
        <v>67</v>
      </c>
      <c r="C75" s="86" t="s">
        <v>251</v>
      </c>
      <c r="D75" s="157">
        <f>12298920+70690+300151+32100+59250+80401-3735-80401</f>
        <v>12757376</v>
      </c>
      <c r="E75" s="86" t="s">
        <v>251</v>
      </c>
      <c r="F75" s="167">
        <f>4320602+1399284+157545+741324</f>
        <v>6618755</v>
      </c>
      <c r="G75" s="77">
        <f>D75+F75</f>
        <v>19376131</v>
      </c>
      <c r="H75" s="115"/>
      <c r="I75" s="115"/>
      <c r="J75" s="91">
        <f>G75-'[1]лист'!G71</f>
        <v>-3735</v>
      </c>
      <c r="K75" s="91"/>
      <c r="L75" s="91"/>
      <c r="M75" s="81"/>
    </row>
    <row r="76" spans="1:13" s="53" customFormat="1" ht="54.75" customHeight="1">
      <c r="A76" s="225"/>
      <c r="B76" s="224"/>
      <c r="C76" s="86" t="s">
        <v>393</v>
      </c>
      <c r="D76" s="157">
        <v>1111000</v>
      </c>
      <c r="E76" s="86"/>
      <c r="F76" s="167"/>
      <c r="G76" s="77">
        <f t="shared" si="4"/>
        <v>1111000</v>
      </c>
      <c r="H76" s="116">
        <v>5799211</v>
      </c>
      <c r="I76" s="116"/>
      <c r="J76" s="91">
        <f>G76-'[1]лист'!G72</f>
        <v>0</v>
      </c>
      <c r="M76" s="81"/>
    </row>
    <row r="77" spans="1:13" s="53" customFormat="1" ht="53.25" customHeight="1">
      <c r="A77" s="225"/>
      <c r="B77" s="224"/>
      <c r="C77" s="93" t="s">
        <v>10</v>
      </c>
      <c r="D77" s="165">
        <f>38750-3000</f>
        <v>35750</v>
      </c>
      <c r="E77" s="93" t="s">
        <v>10</v>
      </c>
      <c r="F77" s="166">
        <f>473495-157545</f>
        <v>315950</v>
      </c>
      <c r="G77" s="101">
        <f t="shared" si="4"/>
        <v>351700</v>
      </c>
      <c r="H77" s="116"/>
      <c r="I77" s="116"/>
      <c r="J77" s="91">
        <f>G77-'[1]лист'!G73</f>
        <v>0</v>
      </c>
      <c r="M77" s="81"/>
    </row>
    <row r="78" spans="1:15" s="53" customFormat="1" ht="48" customHeight="1">
      <c r="A78" s="225"/>
      <c r="B78" s="224"/>
      <c r="C78" s="107" t="s">
        <v>366</v>
      </c>
      <c r="D78" s="169">
        <f>53000+15000</f>
        <v>68000</v>
      </c>
      <c r="E78" s="107" t="s">
        <v>366</v>
      </c>
      <c r="F78" s="187">
        <f>847000+15000</f>
        <v>862000</v>
      </c>
      <c r="G78" s="75">
        <f>D78+F78</f>
        <v>930000</v>
      </c>
      <c r="H78" s="146"/>
      <c r="I78" s="146"/>
      <c r="J78" s="91">
        <f>G78-'[1]лист'!G74</f>
        <v>0</v>
      </c>
      <c r="K78" s="108"/>
      <c r="L78" s="108"/>
      <c r="M78" s="137"/>
      <c r="N78" s="108"/>
      <c r="O78" s="108"/>
    </row>
    <row r="79" spans="1:13" s="53" customFormat="1" ht="63">
      <c r="A79" s="225"/>
      <c r="B79" s="224"/>
      <c r="C79" s="86" t="s">
        <v>36</v>
      </c>
      <c r="D79" s="157">
        <f>9003-8360</f>
        <v>643</v>
      </c>
      <c r="E79" s="93"/>
      <c r="F79" s="166"/>
      <c r="G79" s="77">
        <f t="shared" si="4"/>
        <v>643</v>
      </c>
      <c r="H79" s="116"/>
      <c r="I79" s="116"/>
      <c r="J79" s="91">
        <f>G79-'[1]лист'!G75</f>
        <v>-8360</v>
      </c>
      <c r="M79" s="81"/>
    </row>
    <row r="80" spans="1:13" s="53" customFormat="1" ht="50.25" customHeight="1">
      <c r="A80" s="225" t="s">
        <v>159</v>
      </c>
      <c r="B80" s="224" t="s">
        <v>280</v>
      </c>
      <c r="C80" s="86" t="s">
        <v>251</v>
      </c>
      <c r="D80" s="157">
        <f>1240984+200000-3315</f>
        <v>1437669</v>
      </c>
      <c r="E80" s="86" t="s">
        <v>251</v>
      </c>
      <c r="F80" s="167">
        <f>699466-F82+3373305</f>
        <v>4009101</v>
      </c>
      <c r="G80" s="77">
        <f t="shared" si="4"/>
        <v>5446770</v>
      </c>
      <c r="H80" s="115">
        <v>305192</v>
      </c>
      <c r="I80" s="115"/>
      <c r="J80" s="91">
        <f>G80-'[1]лист'!G76</f>
        <v>-3315</v>
      </c>
      <c r="L80" s="91"/>
      <c r="M80" s="81"/>
    </row>
    <row r="81" spans="1:13" s="53" customFormat="1" ht="50.25" customHeight="1">
      <c r="A81" s="225"/>
      <c r="B81" s="224"/>
      <c r="C81" s="102" t="s">
        <v>366</v>
      </c>
      <c r="D81" s="159">
        <v>5000</v>
      </c>
      <c r="E81" s="102" t="s">
        <v>366</v>
      </c>
      <c r="F81" s="187">
        <v>216000</v>
      </c>
      <c r="G81" s="103">
        <f>D81+F81</f>
        <v>221000</v>
      </c>
      <c r="H81" s="115"/>
      <c r="I81" s="115"/>
      <c r="J81" s="91">
        <f>G81-'[1]лист'!G77</f>
        <v>0</v>
      </c>
      <c r="L81" s="91"/>
      <c r="M81" s="81"/>
    </row>
    <row r="82" spans="1:13" s="53" customFormat="1" ht="51" customHeight="1">
      <c r="A82" s="213"/>
      <c r="B82" s="217"/>
      <c r="C82" s="93"/>
      <c r="D82" s="166"/>
      <c r="E82" s="93" t="s">
        <v>10</v>
      </c>
      <c r="F82" s="166">
        <f>96920-33250</f>
        <v>63670</v>
      </c>
      <c r="G82" s="101">
        <f t="shared" si="4"/>
        <v>63670</v>
      </c>
      <c r="H82" s="116"/>
      <c r="I82" s="116"/>
      <c r="J82" s="91">
        <f>G82-'[1]лист'!G78</f>
        <v>0</v>
      </c>
      <c r="M82" s="81"/>
    </row>
    <row r="83" spans="1:13" s="53" customFormat="1" ht="52.5" customHeight="1">
      <c r="A83" s="228" t="s">
        <v>121</v>
      </c>
      <c r="B83" s="217" t="s">
        <v>68</v>
      </c>
      <c r="C83" s="104" t="s">
        <v>251</v>
      </c>
      <c r="D83" s="157">
        <f>71047+10125+40987+32000+37268+37037-37268</f>
        <v>191196</v>
      </c>
      <c r="E83" s="86" t="s">
        <v>251</v>
      </c>
      <c r="F83" s="167">
        <f>668216-F84-28000-10000</f>
        <v>630216</v>
      </c>
      <c r="G83" s="77">
        <f t="shared" si="4"/>
        <v>821412</v>
      </c>
      <c r="H83" s="115"/>
      <c r="I83" s="115"/>
      <c r="J83" s="91">
        <f>G83-'[1]лист'!G79</f>
        <v>27037</v>
      </c>
      <c r="M83" s="81"/>
    </row>
    <row r="84" spans="1:13" s="53" customFormat="1" ht="54" customHeight="1">
      <c r="A84" s="231"/>
      <c r="B84" s="218"/>
      <c r="C84" s="202" t="s">
        <v>10</v>
      </c>
      <c r="D84" s="166">
        <v>28156</v>
      </c>
      <c r="E84" s="93"/>
      <c r="F84" s="166"/>
      <c r="G84" s="101">
        <f t="shared" si="4"/>
        <v>28156</v>
      </c>
      <c r="H84" s="116"/>
      <c r="I84" s="116"/>
      <c r="J84" s="91">
        <f>G84-'[1]лист'!G80</f>
        <v>0</v>
      </c>
      <c r="M84" s="81"/>
    </row>
    <row r="85" spans="1:13" s="53" customFormat="1" ht="54" customHeight="1">
      <c r="A85" s="201"/>
      <c r="B85" s="219"/>
      <c r="C85" s="203" t="s">
        <v>366</v>
      </c>
      <c r="D85" s="198">
        <f>2900+3000</f>
        <v>5900</v>
      </c>
      <c r="E85" s="199"/>
      <c r="F85" s="198"/>
      <c r="G85" s="198">
        <f t="shared" si="4"/>
        <v>5900</v>
      </c>
      <c r="H85" s="116"/>
      <c r="I85" s="116"/>
      <c r="J85" s="91">
        <f>G85-'[1]лист'!G81</f>
        <v>-2714169</v>
      </c>
      <c r="M85" s="81"/>
    </row>
    <row r="86" spans="1:13" s="53" customFormat="1" ht="47.25" customHeight="1">
      <c r="A86" s="215" t="s">
        <v>122</v>
      </c>
      <c r="B86" s="218" t="s">
        <v>69</v>
      </c>
      <c r="C86" s="86" t="s">
        <v>251</v>
      </c>
      <c r="D86" s="157">
        <f>2444819+9322-854</f>
        <v>2453287</v>
      </c>
      <c r="E86" s="86" t="s">
        <v>251</v>
      </c>
      <c r="F86" s="167">
        <f>265928</f>
        <v>265928</v>
      </c>
      <c r="G86" s="77">
        <f t="shared" si="4"/>
        <v>2719215</v>
      </c>
      <c r="H86" s="115">
        <v>8634229</v>
      </c>
      <c r="I86" s="115"/>
      <c r="J86" s="91">
        <f>G86-'[1]лист'!G82</f>
        <v>2713215</v>
      </c>
      <c r="L86" s="91"/>
      <c r="M86" s="81"/>
    </row>
    <row r="87" spans="1:13" s="53" customFormat="1" ht="47.25">
      <c r="A87" s="215"/>
      <c r="B87" s="218"/>
      <c r="C87" s="86"/>
      <c r="D87" s="157"/>
      <c r="E87" s="93" t="s">
        <v>10</v>
      </c>
      <c r="F87" s="166">
        <v>6000</v>
      </c>
      <c r="G87" s="101">
        <f t="shared" si="4"/>
        <v>6000</v>
      </c>
      <c r="H87" s="116"/>
      <c r="I87" s="116"/>
      <c r="J87" s="91">
        <f>G87-'[1]лист'!G83</f>
        <v>-13000</v>
      </c>
      <c r="M87" s="81"/>
    </row>
    <row r="88" spans="1:13" s="53" customFormat="1" ht="47.25" customHeight="1">
      <c r="A88" s="214"/>
      <c r="B88" s="214"/>
      <c r="C88" s="86"/>
      <c r="D88" s="157"/>
      <c r="E88" s="102" t="s">
        <v>366</v>
      </c>
      <c r="F88" s="187">
        <f>5000+14000</f>
        <v>19000</v>
      </c>
      <c r="G88" s="75">
        <f t="shared" si="4"/>
        <v>19000</v>
      </c>
      <c r="H88" s="116"/>
      <c r="I88" s="116"/>
      <c r="J88" s="91">
        <f>G88-'[1]лист'!G84</f>
        <v>-8945712</v>
      </c>
      <c r="M88" s="81"/>
    </row>
    <row r="89" spans="1:13" s="53" customFormat="1" ht="50.25" customHeight="1">
      <c r="A89" s="213" t="s">
        <v>385</v>
      </c>
      <c r="B89" s="217" t="s">
        <v>386</v>
      </c>
      <c r="C89" s="86" t="s">
        <v>251</v>
      </c>
      <c r="D89" s="157">
        <f>5950926+486185-2821133+535900+168575+682331+26814-86759</f>
        <v>4942839</v>
      </c>
      <c r="E89" s="86" t="s">
        <v>251</v>
      </c>
      <c r="F89" s="167">
        <f>5389336+28000-773077-40000+10000</f>
        <v>4614259</v>
      </c>
      <c r="G89" s="77">
        <f t="shared" si="4"/>
        <v>9557098</v>
      </c>
      <c r="H89" s="115">
        <v>2403281</v>
      </c>
      <c r="I89" s="115"/>
      <c r="J89" s="91">
        <f>G89-'[1]лист'!G85</f>
        <v>9552718</v>
      </c>
      <c r="K89" s="91"/>
      <c r="L89" s="91"/>
      <c r="M89" s="81"/>
    </row>
    <row r="90" spans="1:13" s="53" customFormat="1" ht="57" customHeight="1">
      <c r="A90" s="227"/>
      <c r="B90" s="219"/>
      <c r="C90" s="102" t="s">
        <v>366</v>
      </c>
      <c r="D90" s="159">
        <f>8000+10000</f>
        <v>18000</v>
      </c>
      <c r="E90" s="102" t="s">
        <v>366</v>
      </c>
      <c r="F90" s="187">
        <v>180000</v>
      </c>
      <c r="G90" s="103">
        <f>D90+F90</f>
        <v>198000</v>
      </c>
      <c r="H90" s="115"/>
      <c r="I90" s="115"/>
      <c r="J90" s="91">
        <f>G90-'[1]лист'!G87</f>
        <v>-10374186</v>
      </c>
      <c r="M90" s="81"/>
    </row>
    <row r="91" spans="1:13" s="53" customFormat="1" ht="47.25">
      <c r="A91" s="213" t="s">
        <v>160</v>
      </c>
      <c r="B91" s="217" t="s">
        <v>161</v>
      </c>
      <c r="C91" s="86" t="s">
        <v>30</v>
      </c>
      <c r="D91" s="157">
        <f>9209185+1340810+22191+1335647</f>
        <v>11907833</v>
      </c>
      <c r="E91" s="86"/>
      <c r="F91" s="167"/>
      <c r="G91" s="77">
        <f>D91+F91</f>
        <v>11907833</v>
      </c>
      <c r="H91" s="115"/>
      <c r="I91" s="115"/>
      <c r="J91" s="91">
        <f>G91-'[1]лист'!G88</f>
        <v>11896233</v>
      </c>
      <c r="M91" s="81"/>
    </row>
    <row r="92" spans="1:13" s="53" customFormat="1" ht="47.25">
      <c r="A92" s="227"/>
      <c r="B92" s="219"/>
      <c r="C92" s="86"/>
      <c r="D92" s="161"/>
      <c r="E92" s="86" t="s">
        <v>251</v>
      </c>
      <c r="F92" s="173">
        <v>11600</v>
      </c>
      <c r="G92" s="77">
        <f>D92+F92</f>
        <v>11600</v>
      </c>
      <c r="H92" s="116"/>
      <c r="I92" s="116"/>
      <c r="J92" s="91">
        <f>G92-'[1]лист'!G89</f>
        <v>-43600</v>
      </c>
      <c r="M92" s="81"/>
    </row>
    <row r="93" spans="1:13" s="53" customFormat="1" ht="63.75" customHeight="1">
      <c r="A93" s="97" t="s">
        <v>500</v>
      </c>
      <c r="B93" s="86" t="s">
        <v>501</v>
      </c>
      <c r="C93" s="86"/>
      <c r="D93" s="157"/>
      <c r="E93" s="86" t="s">
        <v>251</v>
      </c>
      <c r="F93" s="167">
        <v>55200</v>
      </c>
      <c r="G93" s="77">
        <f t="shared" si="4"/>
        <v>55200</v>
      </c>
      <c r="H93" s="116"/>
      <c r="I93" s="115"/>
      <c r="J93" s="91">
        <f>G93-'[1]лист'!G90</f>
        <v>-3090837</v>
      </c>
      <c r="M93" s="81"/>
    </row>
    <row r="94" spans="1:13" s="53" customFormat="1" ht="46.5" customHeight="1">
      <c r="A94" s="97" t="s">
        <v>124</v>
      </c>
      <c r="B94" s="86" t="s">
        <v>281</v>
      </c>
      <c r="C94" s="86" t="s">
        <v>31</v>
      </c>
      <c r="D94" s="157">
        <v>3146037</v>
      </c>
      <c r="E94" s="86"/>
      <c r="F94" s="173"/>
      <c r="G94" s="77">
        <f t="shared" si="4"/>
        <v>3146037</v>
      </c>
      <c r="H94" s="116"/>
      <c r="I94" s="116"/>
      <c r="J94" s="91">
        <f>G94-'[1]лист'!G91</f>
        <v>-13115219</v>
      </c>
      <c r="M94" s="81"/>
    </row>
    <row r="95" spans="1:13" s="53" customFormat="1" ht="47.25">
      <c r="A95" s="97" t="s">
        <v>132</v>
      </c>
      <c r="B95" s="86" t="s">
        <v>133</v>
      </c>
      <c r="C95" s="86"/>
      <c r="D95" s="168"/>
      <c r="E95" s="86" t="s">
        <v>251</v>
      </c>
      <c r="F95" s="167">
        <f>11179599+5081657-2341696-128000-65000-4449364+850670+210208-25481-350</f>
        <v>10312243</v>
      </c>
      <c r="G95" s="77">
        <f t="shared" si="4"/>
        <v>10312243</v>
      </c>
      <c r="H95" s="115"/>
      <c r="I95" s="115"/>
      <c r="J95" s="91">
        <f>G95-'[1]лист'!G92</f>
        <v>-15086593</v>
      </c>
      <c r="M95" s="81"/>
    </row>
    <row r="96" spans="1:13" s="53" customFormat="1" ht="49.5" customHeight="1">
      <c r="A96" s="87" t="s">
        <v>189</v>
      </c>
      <c r="B96" s="88" t="s">
        <v>99</v>
      </c>
      <c r="C96" s="86"/>
      <c r="D96" s="170">
        <f>D98+D100+D101+D102+D103+D105+D106+D108+D109+D111+D112+D113+D99+D104</f>
        <v>18996507</v>
      </c>
      <c r="E96" s="92"/>
      <c r="F96" s="170">
        <f>F97+F98+F99+F100+F101+F102+F103+F104+F105+F106+F107+F108+F110+F109+F111+F112+F113+F115</f>
        <v>6769341</v>
      </c>
      <c r="G96" s="90">
        <f>D96+F96</f>
        <v>25765848</v>
      </c>
      <c r="H96" s="115">
        <f>H101</f>
        <v>170562</v>
      </c>
      <c r="I96" s="115"/>
      <c r="J96" s="91">
        <f>G96-'[1]лист'!G92</f>
        <v>367012</v>
      </c>
      <c r="M96" s="81"/>
    </row>
    <row r="97" spans="1:13" s="53" customFormat="1" ht="47.25">
      <c r="A97" s="225" t="s">
        <v>211</v>
      </c>
      <c r="B97" s="224" t="s">
        <v>212</v>
      </c>
      <c r="C97" s="86"/>
      <c r="D97" s="167"/>
      <c r="E97" s="86" t="s">
        <v>26</v>
      </c>
      <c r="F97" s="167">
        <f>523900+385135</f>
        <v>909035</v>
      </c>
      <c r="G97" s="77">
        <f>D97+F97</f>
        <v>909035</v>
      </c>
      <c r="H97" s="116"/>
      <c r="I97" s="115"/>
      <c r="J97" s="91">
        <f>G97-'[1]лист'!G93</f>
        <v>0</v>
      </c>
      <c r="M97" s="81"/>
    </row>
    <row r="98" spans="1:13" s="53" customFormat="1" ht="64.5" customHeight="1">
      <c r="A98" s="225"/>
      <c r="B98" s="224"/>
      <c r="C98" s="86" t="s">
        <v>36</v>
      </c>
      <c r="D98" s="167">
        <f>5519-478</f>
        <v>5041</v>
      </c>
      <c r="E98" s="86"/>
      <c r="F98" s="173"/>
      <c r="G98" s="77">
        <f aca="true" t="shared" si="5" ref="G98:G113">D98+F98</f>
        <v>5041</v>
      </c>
      <c r="H98" s="116"/>
      <c r="I98" s="116"/>
      <c r="J98" s="91">
        <f>G98-'[1]лист'!G94</f>
        <v>-478</v>
      </c>
      <c r="M98" s="81"/>
    </row>
    <row r="99" spans="1:13" s="53" customFormat="1" ht="63">
      <c r="A99" s="97" t="s">
        <v>127</v>
      </c>
      <c r="B99" s="86" t="s">
        <v>364</v>
      </c>
      <c r="C99" s="86" t="s">
        <v>36</v>
      </c>
      <c r="D99" s="167">
        <v>239</v>
      </c>
      <c r="E99" s="86"/>
      <c r="F99" s="167"/>
      <c r="G99" s="77">
        <f>D99+F99</f>
        <v>239</v>
      </c>
      <c r="H99" s="116"/>
      <c r="I99" s="116"/>
      <c r="J99" s="91">
        <f>G99-'[1]лист'!G95</f>
        <v>0</v>
      </c>
      <c r="M99" s="81"/>
    </row>
    <row r="100" spans="1:13" s="53" customFormat="1" ht="47.25">
      <c r="A100" s="97" t="s">
        <v>128</v>
      </c>
      <c r="B100" s="86" t="s">
        <v>286</v>
      </c>
      <c r="C100" s="86" t="s">
        <v>43</v>
      </c>
      <c r="D100" s="157">
        <f>201763-14785</f>
        <v>186978</v>
      </c>
      <c r="E100" s="86"/>
      <c r="F100" s="173"/>
      <c r="G100" s="77">
        <f t="shared" si="5"/>
        <v>186978</v>
      </c>
      <c r="H100" s="116"/>
      <c r="I100" s="116"/>
      <c r="J100" s="91">
        <f>G100-'[1]лист'!G96</f>
        <v>0</v>
      </c>
      <c r="M100" s="81"/>
    </row>
    <row r="101" spans="1:13" s="53" customFormat="1" ht="47.25" customHeight="1">
      <c r="A101" s="225" t="s">
        <v>209</v>
      </c>
      <c r="B101" s="224" t="s">
        <v>210</v>
      </c>
      <c r="C101" s="86" t="s">
        <v>43</v>
      </c>
      <c r="D101" s="157">
        <f>3925134-44187+24214</f>
        <v>3905161</v>
      </c>
      <c r="E101" s="86" t="s">
        <v>32</v>
      </c>
      <c r="F101" s="167">
        <f>53060-F103+1066673</f>
        <v>1096333</v>
      </c>
      <c r="G101" s="77">
        <f>D101+F101</f>
        <v>5001494</v>
      </c>
      <c r="H101" s="116">
        <v>170562</v>
      </c>
      <c r="I101" s="115">
        <f>F101-H101</f>
        <v>925771</v>
      </c>
      <c r="J101" s="91">
        <f>G101-'[1]лист'!G97</f>
        <v>0</v>
      </c>
      <c r="L101" s="91"/>
      <c r="M101" s="81"/>
    </row>
    <row r="102" spans="1:13" s="53" customFormat="1" ht="50.25" customHeight="1">
      <c r="A102" s="225"/>
      <c r="B102" s="224"/>
      <c r="C102" s="86" t="s">
        <v>44</v>
      </c>
      <c r="D102" s="157">
        <v>24192</v>
      </c>
      <c r="E102" s="86" t="s">
        <v>442</v>
      </c>
      <c r="F102" s="167">
        <v>24192</v>
      </c>
      <c r="G102" s="77">
        <f>D102+F102</f>
        <v>48384</v>
      </c>
      <c r="H102" s="116"/>
      <c r="I102" s="116"/>
      <c r="J102" s="91">
        <f>G102-'[1]лист'!G98</f>
        <v>0</v>
      </c>
      <c r="M102" s="81"/>
    </row>
    <row r="103" spans="1:13" s="53" customFormat="1" ht="51" customHeight="1">
      <c r="A103" s="225"/>
      <c r="B103" s="224"/>
      <c r="C103" s="93" t="s">
        <v>10</v>
      </c>
      <c r="D103" s="171">
        <v>3500</v>
      </c>
      <c r="E103" s="93" t="s">
        <v>10</v>
      </c>
      <c r="F103" s="171">
        <v>23400</v>
      </c>
      <c r="G103" s="101">
        <f>D103+F103</f>
        <v>26900</v>
      </c>
      <c r="H103" s="116"/>
      <c r="I103" s="116"/>
      <c r="J103" s="91">
        <f>G103-'[1]лист'!G99</f>
        <v>0</v>
      </c>
      <c r="M103" s="81"/>
    </row>
    <row r="104" spans="1:13" s="53" customFormat="1" ht="51" customHeight="1">
      <c r="A104" s="225"/>
      <c r="B104" s="224"/>
      <c r="C104" s="102" t="s">
        <v>366</v>
      </c>
      <c r="D104" s="172">
        <v>10920</v>
      </c>
      <c r="E104" s="102" t="s">
        <v>366</v>
      </c>
      <c r="F104" s="176">
        <v>60000</v>
      </c>
      <c r="G104" s="103">
        <f>D104+F104</f>
        <v>70920</v>
      </c>
      <c r="H104" s="116"/>
      <c r="I104" s="116"/>
      <c r="J104" s="91">
        <f>G104-'[1]лист'!G100</f>
        <v>0</v>
      </c>
      <c r="M104" s="81"/>
    </row>
    <row r="105" spans="1:13" s="53" customFormat="1" ht="63">
      <c r="A105" s="225"/>
      <c r="B105" s="224"/>
      <c r="C105" s="86" t="s">
        <v>36</v>
      </c>
      <c r="D105" s="173">
        <f>8307-1520</f>
        <v>6787</v>
      </c>
      <c r="E105" s="93"/>
      <c r="F105" s="171"/>
      <c r="G105" s="77">
        <f t="shared" si="5"/>
        <v>6787</v>
      </c>
      <c r="H105" s="116"/>
      <c r="I105" s="116"/>
      <c r="J105" s="91">
        <f>G105-'[1]лист'!G101</f>
        <v>-1520</v>
      </c>
      <c r="M105" s="81"/>
    </row>
    <row r="106" spans="1:14" s="53" customFormat="1" ht="49.5" customHeight="1">
      <c r="A106" s="213" t="s">
        <v>71</v>
      </c>
      <c r="B106" s="217" t="s">
        <v>65</v>
      </c>
      <c r="C106" s="86" t="s">
        <v>43</v>
      </c>
      <c r="D106" s="157">
        <f>972100+11044</f>
        <v>983144</v>
      </c>
      <c r="E106" s="86"/>
      <c r="F106" s="173"/>
      <c r="G106" s="77">
        <f t="shared" si="5"/>
        <v>983144</v>
      </c>
      <c r="H106" s="116"/>
      <c r="I106" s="116"/>
      <c r="J106" s="91">
        <f>G106-'[1]лист'!G102</f>
        <v>0</v>
      </c>
      <c r="M106" s="136"/>
      <c r="N106" s="91"/>
    </row>
    <row r="107" spans="1:13" s="53" customFormat="1" ht="49.5" customHeight="1">
      <c r="A107" s="214"/>
      <c r="B107" s="214"/>
      <c r="C107" s="93"/>
      <c r="D107" s="171"/>
      <c r="E107" s="102" t="s">
        <v>366</v>
      </c>
      <c r="F107" s="176">
        <f>30000+3100+5000</f>
        <v>38100</v>
      </c>
      <c r="G107" s="75">
        <f t="shared" si="5"/>
        <v>38100</v>
      </c>
      <c r="H107" s="116"/>
      <c r="I107" s="116"/>
      <c r="J107" s="91">
        <f>G107-'[1]лист'!G103</f>
        <v>8100</v>
      </c>
      <c r="M107" s="81"/>
    </row>
    <row r="108" spans="1:14" s="53" customFormat="1" ht="48" customHeight="1">
      <c r="A108" s="225" t="s">
        <v>134</v>
      </c>
      <c r="B108" s="224" t="s">
        <v>141</v>
      </c>
      <c r="C108" s="86" t="s">
        <v>43</v>
      </c>
      <c r="D108" s="157">
        <f>7134400+197417+520401+153347+128000+257810</f>
        <v>8391375</v>
      </c>
      <c r="E108" s="86"/>
      <c r="F108" s="173"/>
      <c r="G108" s="77">
        <f>D108+F108</f>
        <v>8391375</v>
      </c>
      <c r="H108" s="116"/>
      <c r="I108" s="116"/>
      <c r="J108" s="91">
        <f>G108-'[1]лист'!G104</f>
        <v>385810</v>
      </c>
      <c r="M108" s="136"/>
      <c r="N108" s="91"/>
    </row>
    <row r="109" spans="1:13" s="53" customFormat="1" ht="47.25">
      <c r="A109" s="225"/>
      <c r="B109" s="224"/>
      <c r="C109" s="102" t="s">
        <v>366</v>
      </c>
      <c r="D109" s="159">
        <f>4500000-316930-181000-17900-25000-17900-5000-2000</f>
        <v>3934270</v>
      </c>
      <c r="E109" s="93"/>
      <c r="F109" s="171"/>
      <c r="G109" s="103">
        <f>D109+F109</f>
        <v>3934270</v>
      </c>
      <c r="H109" s="116"/>
      <c r="I109" s="116"/>
      <c r="J109" s="91">
        <f>G109-'[1]лист'!G105</f>
        <v>-24900</v>
      </c>
      <c r="M109" s="81"/>
    </row>
    <row r="110" spans="1:13" s="53" customFormat="1" ht="45.75" customHeight="1">
      <c r="A110" s="97" t="s">
        <v>132</v>
      </c>
      <c r="B110" s="86" t="s">
        <v>133</v>
      </c>
      <c r="C110" s="86"/>
      <c r="D110" s="168"/>
      <c r="E110" s="86" t="s">
        <v>32</v>
      </c>
      <c r="F110" s="186">
        <f>4218281+300000</f>
        <v>4518281</v>
      </c>
      <c r="G110" s="77">
        <f t="shared" si="5"/>
        <v>4518281</v>
      </c>
      <c r="H110" s="116"/>
      <c r="I110" s="115"/>
      <c r="J110" s="91">
        <f>G110-'[1]лист'!G106</f>
        <v>0</v>
      </c>
      <c r="M110" s="81"/>
    </row>
    <row r="111" spans="1:14" s="53" customFormat="1" ht="47.25">
      <c r="A111" s="97" t="s">
        <v>81</v>
      </c>
      <c r="B111" s="86"/>
      <c r="C111" s="86" t="s">
        <v>43</v>
      </c>
      <c r="D111" s="157">
        <v>174150</v>
      </c>
      <c r="E111" s="86"/>
      <c r="F111" s="188"/>
      <c r="G111" s="77">
        <f t="shared" si="5"/>
        <v>174150</v>
      </c>
      <c r="H111" s="116"/>
      <c r="I111" s="116"/>
      <c r="J111" s="91">
        <f>G111-'[1]лист'!G107</f>
        <v>0</v>
      </c>
      <c r="M111" s="136"/>
      <c r="N111" s="91"/>
    </row>
    <row r="112" spans="1:14" s="53" customFormat="1" ht="63">
      <c r="A112" s="97" t="s">
        <v>135</v>
      </c>
      <c r="B112" s="86" t="s">
        <v>284</v>
      </c>
      <c r="C112" s="86" t="s">
        <v>43</v>
      </c>
      <c r="D112" s="157">
        <v>500000</v>
      </c>
      <c r="E112" s="86"/>
      <c r="F112" s="188"/>
      <c r="G112" s="77">
        <f t="shared" si="5"/>
        <v>500000</v>
      </c>
      <c r="H112" s="116"/>
      <c r="I112" s="116"/>
      <c r="J112" s="91">
        <f>G112-'[1]лист'!G108</f>
        <v>0</v>
      </c>
      <c r="M112" s="136"/>
      <c r="N112" s="91"/>
    </row>
    <row r="113" spans="1:14" s="53" customFormat="1" ht="63.75" customHeight="1">
      <c r="A113" s="97" t="s">
        <v>165</v>
      </c>
      <c r="B113" s="86" t="s">
        <v>49</v>
      </c>
      <c r="C113" s="86" t="s">
        <v>43</v>
      </c>
      <c r="D113" s="157">
        <v>870750</v>
      </c>
      <c r="E113" s="86"/>
      <c r="F113" s="188"/>
      <c r="G113" s="77">
        <f t="shared" si="5"/>
        <v>870750</v>
      </c>
      <c r="H113" s="116"/>
      <c r="I113" s="116"/>
      <c r="J113" s="91">
        <f>G113-'[1]лист'!G109</f>
        <v>0</v>
      </c>
      <c r="M113" s="136"/>
      <c r="N113" s="91"/>
    </row>
    <row r="114" spans="1:13" s="53" customFormat="1" ht="68.25" customHeight="1" hidden="1">
      <c r="A114" s="87"/>
      <c r="B114" s="88"/>
      <c r="C114" s="86"/>
      <c r="D114" s="162"/>
      <c r="E114" s="86"/>
      <c r="F114" s="162"/>
      <c r="G114" s="89"/>
      <c r="H114" s="116"/>
      <c r="I114" s="116"/>
      <c r="J114" s="91">
        <f>G114-'[1]лист'!G110</f>
        <v>0</v>
      </c>
      <c r="M114" s="81"/>
    </row>
    <row r="115" spans="1:13" s="53" customFormat="1" ht="49.5" customHeight="1">
      <c r="A115" s="97" t="s">
        <v>119</v>
      </c>
      <c r="B115" s="86" t="s">
        <v>153</v>
      </c>
      <c r="C115" s="86"/>
      <c r="D115" s="157"/>
      <c r="E115" s="86" t="s">
        <v>253</v>
      </c>
      <c r="F115" s="186">
        <v>100000</v>
      </c>
      <c r="G115" s="77">
        <f>F115</f>
        <v>100000</v>
      </c>
      <c r="H115" s="116"/>
      <c r="I115" s="116"/>
      <c r="J115" s="91">
        <f>G115-'[1]лист'!G111</f>
        <v>0</v>
      </c>
      <c r="M115" s="81"/>
    </row>
    <row r="116" spans="1:13" s="53" customFormat="1" ht="63">
      <c r="A116" s="87" t="s">
        <v>233</v>
      </c>
      <c r="B116" s="88" t="s">
        <v>234</v>
      </c>
      <c r="C116" s="86"/>
      <c r="D116" s="162"/>
      <c r="E116" s="86"/>
      <c r="F116" s="162">
        <f>F117</f>
        <v>7000</v>
      </c>
      <c r="G116" s="89">
        <f>D116+F116</f>
        <v>7000</v>
      </c>
      <c r="H116" s="116"/>
      <c r="I116" s="116"/>
      <c r="J116" s="91">
        <f>G116-'[1]лист'!G112</f>
        <v>0</v>
      </c>
      <c r="M116" s="81"/>
    </row>
    <row r="117" spans="1:13" s="53" customFormat="1" ht="47.25">
      <c r="A117" s="97" t="s">
        <v>211</v>
      </c>
      <c r="B117" s="86" t="s">
        <v>212</v>
      </c>
      <c r="C117" s="86"/>
      <c r="D117" s="157"/>
      <c r="E117" s="86" t="s">
        <v>55</v>
      </c>
      <c r="F117" s="186">
        <v>7000</v>
      </c>
      <c r="G117" s="77">
        <f>D117+F117</f>
        <v>7000</v>
      </c>
      <c r="H117" s="116"/>
      <c r="I117" s="115"/>
      <c r="J117" s="91">
        <f>G117-'[1]лист'!G113</f>
        <v>0</v>
      </c>
      <c r="M117" s="81"/>
    </row>
    <row r="118" spans="1:13" s="53" customFormat="1" ht="35.25" customHeight="1">
      <c r="A118" s="87" t="s">
        <v>194</v>
      </c>
      <c r="B118" s="88" t="s">
        <v>102</v>
      </c>
      <c r="C118" s="86"/>
      <c r="D118" s="162">
        <f>D119+D121+D122+D124+D125+D129+D133+D135+D136+D137+D120+D126+D138+D134+D130+D123+D128</f>
        <v>3810127</v>
      </c>
      <c r="E118" s="96"/>
      <c r="F118" s="162">
        <f>F119+F121+F122+F123+F125+F127+F128+F129+F131+F132+F135+F136+F139</f>
        <v>3952921</v>
      </c>
      <c r="G118" s="90">
        <f>D118+F118</f>
        <v>7763048</v>
      </c>
      <c r="H118" s="115">
        <f>H121+H125+H129</f>
        <v>5260074</v>
      </c>
      <c r="I118" s="115"/>
      <c r="J118" s="91">
        <f>G118-'[1]лист'!G114</f>
        <v>-1056677</v>
      </c>
      <c r="M118" s="81"/>
    </row>
    <row r="119" spans="1:13" s="53" customFormat="1" ht="47.25">
      <c r="A119" s="225" t="s">
        <v>205</v>
      </c>
      <c r="B119" s="224" t="s">
        <v>206</v>
      </c>
      <c r="C119" s="86" t="s">
        <v>56</v>
      </c>
      <c r="D119" s="157">
        <f>599140-440286</f>
        <v>158854</v>
      </c>
      <c r="E119" s="86" t="s">
        <v>56</v>
      </c>
      <c r="F119" s="167">
        <v>1321</v>
      </c>
      <c r="G119" s="100">
        <f>D119+F119</f>
        <v>160175</v>
      </c>
      <c r="H119" s="115"/>
      <c r="I119" s="115"/>
      <c r="J119" s="91">
        <f>G119-'[1]лист'!G115</f>
        <v>0</v>
      </c>
      <c r="M119" s="81"/>
    </row>
    <row r="120" spans="1:13" s="53" customFormat="1" ht="65.25" customHeight="1">
      <c r="A120" s="225"/>
      <c r="B120" s="224"/>
      <c r="C120" s="86" t="s">
        <v>36</v>
      </c>
      <c r="D120" s="157">
        <v>279</v>
      </c>
      <c r="E120" s="86"/>
      <c r="F120" s="167"/>
      <c r="G120" s="100">
        <f aca="true" t="shared" si="6" ref="G120:G138">D120+F120</f>
        <v>279</v>
      </c>
      <c r="H120" s="116"/>
      <c r="I120" s="116"/>
      <c r="J120" s="91">
        <f>G120-'[1]лист'!G116</f>
        <v>0</v>
      </c>
      <c r="M120" s="81"/>
    </row>
    <row r="121" spans="1:13" s="53" customFormat="1" ht="47.25">
      <c r="A121" s="225" t="s">
        <v>207</v>
      </c>
      <c r="B121" s="224" t="s">
        <v>208</v>
      </c>
      <c r="C121" s="86" t="s">
        <v>56</v>
      </c>
      <c r="D121" s="157">
        <f>2188093-1193834-67389</f>
        <v>926870</v>
      </c>
      <c r="E121" s="86" t="s">
        <v>56</v>
      </c>
      <c r="F121" s="167">
        <f>148043</f>
        <v>148043</v>
      </c>
      <c r="G121" s="100">
        <f t="shared" si="6"/>
        <v>1074913</v>
      </c>
      <c r="H121" s="115">
        <v>6500</v>
      </c>
      <c r="I121" s="115"/>
      <c r="J121" s="91">
        <f>G121-'[1]лист'!G117</f>
        <v>-67389</v>
      </c>
      <c r="L121" s="91"/>
      <c r="M121" s="81"/>
    </row>
    <row r="122" spans="1:13" s="53" customFormat="1" ht="47.25">
      <c r="A122" s="225"/>
      <c r="B122" s="224"/>
      <c r="C122" s="93" t="s">
        <v>10</v>
      </c>
      <c r="D122" s="166">
        <v>500</v>
      </c>
      <c r="E122" s="93" t="s">
        <v>10</v>
      </c>
      <c r="F122" s="166">
        <f>59018</f>
        <v>59018</v>
      </c>
      <c r="G122" s="109">
        <f t="shared" si="6"/>
        <v>59518</v>
      </c>
      <c r="H122" s="116"/>
      <c r="I122" s="116"/>
      <c r="J122" s="91">
        <f>G122-'[1]лист'!G118</f>
        <v>0</v>
      </c>
      <c r="M122" s="81"/>
    </row>
    <row r="123" spans="1:13" s="53" customFormat="1" ht="47.25">
      <c r="A123" s="225"/>
      <c r="B123" s="224"/>
      <c r="C123" s="102" t="s">
        <v>366</v>
      </c>
      <c r="D123" s="174">
        <v>7000</v>
      </c>
      <c r="E123" s="102" t="s">
        <v>366</v>
      </c>
      <c r="F123" s="187">
        <v>68000</v>
      </c>
      <c r="G123" s="110">
        <f t="shared" si="6"/>
        <v>75000</v>
      </c>
      <c r="H123" s="116"/>
      <c r="I123" s="116"/>
      <c r="J123" s="91">
        <f>G123-'[1]лист'!G119</f>
        <v>0</v>
      </c>
      <c r="M123" s="81"/>
    </row>
    <row r="124" spans="1:13" s="53" customFormat="1" ht="63">
      <c r="A124" s="225"/>
      <c r="B124" s="224"/>
      <c r="C124" s="86" t="s">
        <v>36</v>
      </c>
      <c r="D124" s="167">
        <v>2511</v>
      </c>
      <c r="E124" s="93"/>
      <c r="F124" s="166"/>
      <c r="G124" s="100">
        <f t="shared" si="6"/>
        <v>2511</v>
      </c>
      <c r="H124" s="116"/>
      <c r="I124" s="116"/>
      <c r="J124" s="91">
        <f>G124-'[1]лист'!G120</f>
        <v>0</v>
      </c>
      <c r="M124" s="81"/>
    </row>
    <row r="125" spans="1:13" s="53" customFormat="1" ht="54" customHeight="1">
      <c r="A125" s="213" t="s">
        <v>215</v>
      </c>
      <c r="B125" s="217" t="s">
        <v>216</v>
      </c>
      <c r="C125" s="86" t="s">
        <v>56</v>
      </c>
      <c r="D125" s="157">
        <f>1255924-753852</f>
        <v>502072</v>
      </c>
      <c r="E125" s="86" t="s">
        <v>56</v>
      </c>
      <c r="F125" s="167">
        <f>1790522-108392-62486</f>
        <v>1619644</v>
      </c>
      <c r="G125" s="100">
        <f t="shared" si="6"/>
        <v>2121716</v>
      </c>
      <c r="H125" s="115">
        <v>2019123</v>
      </c>
      <c r="I125" s="115"/>
      <c r="J125" s="91">
        <f>G125-'[1]лист'!G121</f>
        <v>-62486</v>
      </c>
      <c r="K125" s="91"/>
      <c r="L125" s="91"/>
      <c r="M125" s="81"/>
    </row>
    <row r="126" spans="1:13" s="53" customFormat="1" ht="63">
      <c r="A126" s="215"/>
      <c r="B126" s="218"/>
      <c r="C126" s="86" t="s">
        <v>36</v>
      </c>
      <c r="D126" s="167">
        <f>5829-5829</f>
        <v>0</v>
      </c>
      <c r="E126" s="93"/>
      <c r="F126" s="166"/>
      <c r="G126" s="100">
        <f>D126+F126</f>
        <v>0</v>
      </c>
      <c r="H126" s="116"/>
      <c r="I126" s="116"/>
      <c r="J126" s="91">
        <f>G126-'[1]лист'!G122</f>
        <v>-5829</v>
      </c>
      <c r="M126" s="81"/>
    </row>
    <row r="127" spans="1:13" s="53" customFormat="1" ht="47.25">
      <c r="A127" s="215"/>
      <c r="B127" s="218"/>
      <c r="C127" s="86"/>
      <c r="D127" s="167"/>
      <c r="E127" s="93" t="s">
        <v>10</v>
      </c>
      <c r="F127" s="166">
        <v>4920</v>
      </c>
      <c r="G127" s="94">
        <f>D127+F127</f>
        <v>4920</v>
      </c>
      <c r="H127" s="116"/>
      <c r="I127" s="116"/>
      <c r="J127" s="91">
        <f>G127-'[1]лист'!G123</f>
        <v>0</v>
      </c>
      <c r="M127" s="81"/>
    </row>
    <row r="128" spans="1:13" s="53" customFormat="1" ht="47.25">
      <c r="A128" s="214"/>
      <c r="B128" s="214"/>
      <c r="C128" s="102" t="s">
        <v>366</v>
      </c>
      <c r="D128" s="175">
        <f>15000</f>
        <v>15000</v>
      </c>
      <c r="E128" s="102" t="s">
        <v>366</v>
      </c>
      <c r="F128" s="187">
        <v>32000</v>
      </c>
      <c r="G128" s="110">
        <f>D128+F128</f>
        <v>47000</v>
      </c>
      <c r="H128" s="116"/>
      <c r="I128" s="116"/>
      <c r="J128" s="91">
        <f>G128-'[1]лист'!G124</f>
        <v>0</v>
      </c>
      <c r="M128" s="81"/>
    </row>
    <row r="129" spans="1:13" s="53" customFormat="1" ht="51" customHeight="1">
      <c r="A129" s="213" t="s">
        <v>213</v>
      </c>
      <c r="B129" s="217" t="s">
        <v>214</v>
      </c>
      <c r="C129" s="86"/>
      <c r="D129" s="157"/>
      <c r="E129" s="86" t="s">
        <v>56</v>
      </c>
      <c r="F129" s="167">
        <f>1817736</f>
        <v>1817736</v>
      </c>
      <c r="G129" s="100">
        <f t="shared" si="6"/>
        <v>1817736</v>
      </c>
      <c r="H129" s="115">
        <v>3234451</v>
      </c>
      <c r="I129" s="115"/>
      <c r="J129" s="91">
        <f>G129-'[1]лист'!G125</f>
        <v>0</v>
      </c>
      <c r="L129" s="91"/>
      <c r="M129" s="81"/>
    </row>
    <row r="130" spans="1:13" s="53" customFormat="1" ht="63">
      <c r="A130" s="215"/>
      <c r="B130" s="218"/>
      <c r="C130" s="86" t="s">
        <v>36</v>
      </c>
      <c r="D130" s="157">
        <v>2232</v>
      </c>
      <c r="E130" s="93"/>
      <c r="F130" s="166"/>
      <c r="G130" s="100">
        <f t="shared" si="6"/>
        <v>2232</v>
      </c>
      <c r="H130" s="116"/>
      <c r="I130" s="116"/>
      <c r="J130" s="91">
        <f>G130-'[1]лист'!G126</f>
        <v>0</v>
      </c>
      <c r="M130" s="81"/>
    </row>
    <row r="131" spans="1:13" s="53" customFormat="1" ht="47.25">
      <c r="A131" s="215"/>
      <c r="B131" s="218"/>
      <c r="C131" s="86"/>
      <c r="D131" s="157"/>
      <c r="E131" s="93" t="s">
        <v>10</v>
      </c>
      <c r="F131" s="189">
        <v>3000</v>
      </c>
      <c r="G131" s="111">
        <f t="shared" si="6"/>
        <v>3000</v>
      </c>
      <c r="H131" s="116"/>
      <c r="I131" s="116"/>
      <c r="J131" s="91">
        <f>G131-'[1]лист'!G127</f>
        <v>0</v>
      </c>
      <c r="M131" s="81"/>
    </row>
    <row r="132" spans="1:13" s="53" customFormat="1" ht="51.75" customHeight="1">
      <c r="A132" s="214"/>
      <c r="B132" s="214"/>
      <c r="C132" s="93"/>
      <c r="D132" s="157"/>
      <c r="E132" s="102" t="s">
        <v>366</v>
      </c>
      <c r="F132" s="187">
        <f>3000+10000</f>
        <v>13000</v>
      </c>
      <c r="G132" s="110">
        <f t="shared" si="6"/>
        <v>13000</v>
      </c>
      <c r="H132" s="116"/>
      <c r="I132" s="116"/>
      <c r="J132" s="91">
        <f>G132-'[1]лист'!G128</f>
        <v>0</v>
      </c>
      <c r="M132" s="81"/>
    </row>
    <row r="133" spans="1:14" s="53" customFormat="1" ht="47.25">
      <c r="A133" s="220">
        <v>110300</v>
      </c>
      <c r="B133" s="217" t="s">
        <v>78</v>
      </c>
      <c r="C133" s="86" t="s">
        <v>57</v>
      </c>
      <c r="D133" s="164">
        <f>1114809-122832+1240</f>
        <v>993217</v>
      </c>
      <c r="E133" s="86"/>
      <c r="F133" s="166"/>
      <c r="G133" s="100">
        <f t="shared" si="6"/>
        <v>993217</v>
      </c>
      <c r="H133" s="115"/>
      <c r="I133" s="116"/>
      <c r="J133" s="91">
        <f>G133-'[1]лист'!G129</f>
        <v>0</v>
      </c>
      <c r="M133" s="136"/>
      <c r="N133" s="91"/>
    </row>
    <row r="134" spans="1:13" s="53" customFormat="1" ht="63" hidden="1">
      <c r="A134" s="222"/>
      <c r="B134" s="219"/>
      <c r="C134" s="86" t="s">
        <v>36</v>
      </c>
      <c r="D134" s="164">
        <f>13116-13116</f>
        <v>0</v>
      </c>
      <c r="E134" s="86"/>
      <c r="F134" s="166"/>
      <c r="G134" s="100">
        <f t="shared" si="6"/>
        <v>0</v>
      </c>
      <c r="H134" s="116"/>
      <c r="I134" s="116"/>
      <c r="J134" s="91">
        <f>G134-'[1]лист'!G130</f>
        <v>-13116</v>
      </c>
      <c r="M134" s="81"/>
    </row>
    <row r="135" spans="1:13" s="53" customFormat="1" ht="47.25">
      <c r="A135" s="230">
        <v>110502</v>
      </c>
      <c r="B135" s="224" t="s">
        <v>66</v>
      </c>
      <c r="C135" s="86" t="s">
        <v>33</v>
      </c>
      <c r="D135" s="163">
        <f>1693819-121001-870857</f>
        <v>701961</v>
      </c>
      <c r="E135" s="86" t="s">
        <v>33</v>
      </c>
      <c r="F135" s="188">
        <f>42020-32000</f>
        <v>10020</v>
      </c>
      <c r="G135" s="100">
        <f t="shared" si="6"/>
        <v>711981</v>
      </c>
      <c r="H135" s="115"/>
      <c r="I135" s="115"/>
      <c r="J135" s="91">
        <f>G135-'[1]лист'!G131</f>
        <v>-902857</v>
      </c>
      <c r="M135" s="81"/>
    </row>
    <row r="136" spans="1:13" s="53" customFormat="1" ht="51" customHeight="1">
      <c r="A136" s="230"/>
      <c r="B136" s="224"/>
      <c r="C136" s="86" t="s">
        <v>56</v>
      </c>
      <c r="D136" s="163">
        <f>925412-544061</f>
        <v>381351</v>
      </c>
      <c r="E136" s="86" t="s">
        <v>56</v>
      </c>
      <c r="F136" s="186">
        <v>39696</v>
      </c>
      <c r="G136" s="100">
        <f t="shared" si="6"/>
        <v>421047</v>
      </c>
      <c r="H136" s="116"/>
      <c r="I136" s="116"/>
      <c r="J136" s="91">
        <f>G136-'[1]лист'!G132</f>
        <v>0</v>
      </c>
      <c r="M136" s="81"/>
    </row>
    <row r="137" spans="1:13" s="53" customFormat="1" ht="55.5" customHeight="1">
      <c r="A137" s="230"/>
      <c r="B137" s="224"/>
      <c r="C137" s="86" t="s">
        <v>58</v>
      </c>
      <c r="D137" s="163">
        <f>20000+98000</f>
        <v>118000</v>
      </c>
      <c r="E137" s="93"/>
      <c r="F137" s="188"/>
      <c r="G137" s="100">
        <f t="shared" si="6"/>
        <v>118000</v>
      </c>
      <c r="H137" s="116"/>
      <c r="I137" s="116"/>
      <c r="J137" s="91">
        <f>G137-'[1]лист'!G133</f>
        <v>0</v>
      </c>
      <c r="M137" s="81"/>
    </row>
    <row r="138" spans="1:13" s="53" customFormat="1" ht="68.25" customHeight="1">
      <c r="A138" s="230"/>
      <c r="B138" s="224"/>
      <c r="C138" s="86" t="s">
        <v>36</v>
      </c>
      <c r="D138" s="163">
        <f>5280-5000</f>
        <v>280</v>
      </c>
      <c r="E138" s="86"/>
      <c r="F138" s="188"/>
      <c r="G138" s="100">
        <f t="shared" si="6"/>
        <v>280</v>
      </c>
      <c r="H138" s="116"/>
      <c r="I138" s="116"/>
      <c r="J138" s="91">
        <f>G138-'[1]лист'!G134</f>
        <v>-5000</v>
      </c>
      <c r="M138" s="81"/>
    </row>
    <row r="139" spans="1:13" s="53" customFormat="1" ht="47.25">
      <c r="A139" s="97" t="s">
        <v>132</v>
      </c>
      <c r="B139" s="86" t="s">
        <v>133</v>
      </c>
      <c r="C139" s="86"/>
      <c r="D139" s="168"/>
      <c r="E139" s="86" t="s">
        <v>56</v>
      </c>
      <c r="F139" s="167">
        <v>136523</v>
      </c>
      <c r="G139" s="100">
        <f>D139+F139</f>
        <v>136523</v>
      </c>
      <c r="H139" s="115"/>
      <c r="I139" s="115"/>
      <c r="J139" s="91">
        <f>G139-'[1]лист'!G135</f>
        <v>0</v>
      </c>
      <c r="M139" s="81"/>
    </row>
    <row r="140" spans="1:13" s="53" customFormat="1" ht="54" customHeight="1">
      <c r="A140" s="87" t="s">
        <v>193</v>
      </c>
      <c r="B140" s="88" t="s">
        <v>219</v>
      </c>
      <c r="C140" s="86"/>
      <c r="D140" s="162">
        <f>D141+D142+D143+D144</f>
        <v>365736</v>
      </c>
      <c r="E140" s="96"/>
      <c r="F140" s="170">
        <f>F141+F142</f>
        <v>1000200</v>
      </c>
      <c r="G140" s="90">
        <f aca="true" t="shared" si="7" ref="G140:G169">D140+F140</f>
        <v>1365936</v>
      </c>
      <c r="H140" s="115"/>
      <c r="I140" s="115"/>
      <c r="J140" s="91">
        <f>G140-'[1]лист'!G136</f>
        <v>-765990</v>
      </c>
      <c r="M140" s="81"/>
    </row>
    <row r="141" spans="1:13" s="53" customFormat="1" ht="47.25">
      <c r="A141" s="97" t="s">
        <v>211</v>
      </c>
      <c r="B141" s="86" t="s">
        <v>212</v>
      </c>
      <c r="C141" s="86"/>
      <c r="D141" s="157"/>
      <c r="E141" s="86" t="s">
        <v>26</v>
      </c>
      <c r="F141" s="167">
        <v>14000</v>
      </c>
      <c r="G141" s="77">
        <f t="shared" si="7"/>
        <v>14000</v>
      </c>
      <c r="H141" s="116"/>
      <c r="I141" s="115"/>
      <c r="J141" s="91">
        <f>G141-'[1]лист'!G137</f>
        <v>0</v>
      </c>
      <c r="M141" s="81"/>
    </row>
    <row r="142" spans="1:13" s="53" customFormat="1" ht="47.25">
      <c r="A142" s="97" t="s">
        <v>132</v>
      </c>
      <c r="B142" s="86" t="s">
        <v>133</v>
      </c>
      <c r="C142" s="86"/>
      <c r="D142" s="168"/>
      <c r="E142" s="86" t="s">
        <v>59</v>
      </c>
      <c r="F142" s="167">
        <v>986200</v>
      </c>
      <c r="G142" s="77">
        <f t="shared" si="7"/>
        <v>986200</v>
      </c>
      <c r="H142" s="116"/>
      <c r="I142" s="115"/>
      <c r="J142" s="91">
        <f>G142-'[1]лист'!G138</f>
        <v>0</v>
      </c>
      <c r="M142" s="81"/>
    </row>
    <row r="143" spans="1:14" s="53" customFormat="1" ht="66" customHeight="1">
      <c r="A143" s="97" t="s">
        <v>125</v>
      </c>
      <c r="B143" s="86" t="s">
        <v>140</v>
      </c>
      <c r="C143" s="86" t="s">
        <v>60</v>
      </c>
      <c r="D143" s="157">
        <f>120711+370015-370015</f>
        <v>120711</v>
      </c>
      <c r="E143" s="86"/>
      <c r="F143" s="173"/>
      <c r="G143" s="77">
        <f t="shared" si="7"/>
        <v>120711</v>
      </c>
      <c r="H143" s="116"/>
      <c r="I143" s="116"/>
      <c r="J143" s="91">
        <f>G143-'[1]лист'!G139</f>
        <v>-370015</v>
      </c>
      <c r="M143" s="136"/>
      <c r="N143" s="91"/>
    </row>
    <row r="144" spans="1:14" s="53" customFormat="1" ht="80.25" customHeight="1">
      <c r="A144" s="97" t="s">
        <v>150</v>
      </c>
      <c r="B144" s="86" t="s">
        <v>269</v>
      </c>
      <c r="C144" s="86" t="s">
        <v>61</v>
      </c>
      <c r="D144" s="157">
        <f>108000+533000-395975</f>
        <v>245025</v>
      </c>
      <c r="E144" s="86"/>
      <c r="F144" s="173"/>
      <c r="G144" s="77">
        <f t="shared" si="7"/>
        <v>245025</v>
      </c>
      <c r="H144" s="116"/>
      <c r="I144" s="116"/>
      <c r="J144" s="91">
        <f>G144-'[1]лист'!G140</f>
        <v>-395975</v>
      </c>
      <c r="M144" s="136"/>
      <c r="N144" s="91"/>
    </row>
    <row r="145" spans="1:13" s="53" customFormat="1" ht="45.75" customHeight="1">
      <c r="A145" s="87" t="s">
        <v>191</v>
      </c>
      <c r="B145" s="88" t="s">
        <v>276</v>
      </c>
      <c r="C145" s="86"/>
      <c r="D145" s="162">
        <f>D147+D148+D149+D151+D157+D159+D170+D171+D155+D150+D158+D172</f>
        <v>109663307</v>
      </c>
      <c r="E145" s="96"/>
      <c r="F145" s="170">
        <f>F146+F147+F148+F149+F150+F151+F152+F153+F154+F155+F156+F157+F158+F159+F160+F161+F162+F163+F164+F165+F166+F169+F170+F168</f>
        <v>209147743</v>
      </c>
      <c r="G145" s="90">
        <f t="shared" si="7"/>
        <v>318811050</v>
      </c>
      <c r="H145" s="115"/>
      <c r="I145" s="115"/>
      <c r="J145" s="91">
        <f>G145-'[1]лист'!G141</f>
        <v>25193708</v>
      </c>
      <c r="M145" s="81"/>
    </row>
    <row r="146" spans="1:13" s="53" customFormat="1" ht="45.75" customHeight="1">
      <c r="A146" s="225" t="s">
        <v>211</v>
      </c>
      <c r="B146" s="224" t="s">
        <v>212</v>
      </c>
      <c r="C146" s="86"/>
      <c r="D146" s="162"/>
      <c r="E146" s="86" t="s">
        <v>26</v>
      </c>
      <c r="F146" s="167">
        <v>35000</v>
      </c>
      <c r="G146" s="77">
        <f t="shared" si="7"/>
        <v>35000</v>
      </c>
      <c r="H146" s="115"/>
      <c r="I146" s="115"/>
      <c r="J146" s="91">
        <f>G146-'[1]лист'!G142</f>
        <v>0</v>
      </c>
      <c r="M146" s="81"/>
    </row>
    <row r="147" spans="1:13" s="53" customFormat="1" ht="61.5" customHeight="1">
      <c r="A147" s="213"/>
      <c r="B147" s="217"/>
      <c r="C147" s="86" t="s">
        <v>36</v>
      </c>
      <c r="D147" s="157">
        <v>746</v>
      </c>
      <c r="E147" s="86"/>
      <c r="F147" s="167"/>
      <c r="G147" s="77">
        <f t="shared" si="7"/>
        <v>746</v>
      </c>
      <c r="H147" s="116"/>
      <c r="I147" s="116"/>
      <c r="J147" s="91">
        <f>G147-'[1]лист'!G143</f>
        <v>0</v>
      </c>
      <c r="M147" s="81"/>
    </row>
    <row r="148" spans="1:14" s="53" customFormat="1" ht="47.25">
      <c r="A148" s="97">
        <v>90412</v>
      </c>
      <c r="B148" s="97" t="s">
        <v>141</v>
      </c>
      <c r="C148" s="104" t="s">
        <v>412</v>
      </c>
      <c r="D148" s="157">
        <v>167540</v>
      </c>
      <c r="E148" s="86"/>
      <c r="F148" s="173"/>
      <c r="G148" s="77">
        <f t="shared" si="7"/>
        <v>167540</v>
      </c>
      <c r="H148" s="116"/>
      <c r="I148" s="116"/>
      <c r="J148" s="91">
        <f>G148-'[1]лист'!G145</f>
        <v>0</v>
      </c>
      <c r="M148" s="136"/>
      <c r="N148" s="91"/>
    </row>
    <row r="149" spans="1:14" s="53" customFormat="1" ht="47.25">
      <c r="A149" s="227" t="s">
        <v>267</v>
      </c>
      <c r="B149" s="219" t="s">
        <v>268</v>
      </c>
      <c r="C149" s="86" t="s">
        <v>412</v>
      </c>
      <c r="D149" s="157">
        <f>10566800-D151+3933-261698-458000</f>
        <v>9787000</v>
      </c>
      <c r="E149" s="86"/>
      <c r="F149" s="173"/>
      <c r="G149" s="77">
        <f t="shared" si="7"/>
        <v>9787000</v>
      </c>
      <c r="H149" s="116"/>
      <c r="I149" s="116"/>
      <c r="J149" s="91">
        <f>G149-'[1]лист'!G146</f>
        <v>-719698</v>
      </c>
      <c r="M149" s="136"/>
      <c r="N149" s="91"/>
    </row>
    <row r="150" spans="1:14" s="53" customFormat="1" ht="47.25">
      <c r="A150" s="225"/>
      <c r="B150" s="224"/>
      <c r="C150" s="102" t="s">
        <v>366</v>
      </c>
      <c r="D150" s="159">
        <f>42300+15000</f>
        <v>57300</v>
      </c>
      <c r="E150" s="86"/>
      <c r="F150" s="173"/>
      <c r="G150" s="103">
        <f>D150+F150</f>
        <v>57300</v>
      </c>
      <c r="H150" s="116"/>
      <c r="I150" s="116"/>
      <c r="J150" s="91">
        <f>G150-'[1]лист'!G147</f>
        <v>0</v>
      </c>
      <c r="M150" s="136"/>
      <c r="N150" s="91"/>
    </row>
    <row r="151" spans="1:13" s="53" customFormat="1" ht="47.25">
      <c r="A151" s="225"/>
      <c r="B151" s="224"/>
      <c r="C151" s="93" t="s">
        <v>10</v>
      </c>
      <c r="D151" s="171">
        <v>64035</v>
      </c>
      <c r="E151" s="86"/>
      <c r="F151" s="173"/>
      <c r="G151" s="101">
        <f t="shared" si="7"/>
        <v>64035</v>
      </c>
      <c r="H151" s="116"/>
      <c r="I151" s="116"/>
      <c r="J151" s="91">
        <f>G151-'[1]лист'!G148</f>
        <v>0</v>
      </c>
      <c r="M151" s="81"/>
    </row>
    <row r="152" spans="1:13" s="53" customFormat="1" ht="47.25">
      <c r="A152" s="213" t="s">
        <v>162</v>
      </c>
      <c r="B152" s="217" t="s">
        <v>163</v>
      </c>
      <c r="C152" s="86"/>
      <c r="D152" s="157"/>
      <c r="E152" s="86" t="s">
        <v>412</v>
      </c>
      <c r="F152" s="167">
        <f>33149648-F153+19647548+38412988</f>
        <v>91143709</v>
      </c>
      <c r="G152" s="77">
        <f t="shared" si="7"/>
        <v>91143709</v>
      </c>
      <c r="H152" s="116"/>
      <c r="I152" s="115"/>
      <c r="J152" s="91">
        <f>G152-'[1]лист'!G149</f>
        <v>38412988</v>
      </c>
      <c r="M152" s="81"/>
    </row>
    <row r="153" spans="1:13" s="53" customFormat="1" ht="47.25">
      <c r="A153" s="215"/>
      <c r="B153" s="218"/>
      <c r="C153" s="86"/>
      <c r="D153" s="157"/>
      <c r="E153" s="93" t="s">
        <v>10</v>
      </c>
      <c r="F153" s="171">
        <v>66475</v>
      </c>
      <c r="G153" s="101">
        <f t="shared" si="7"/>
        <v>66475</v>
      </c>
      <c r="H153" s="116"/>
      <c r="I153" s="116"/>
      <c r="J153" s="91">
        <f>G153-'[1]лист'!G150</f>
        <v>0</v>
      </c>
      <c r="M153" s="81"/>
    </row>
    <row r="154" spans="1:13" s="53" customFormat="1" ht="47.25">
      <c r="A154" s="214"/>
      <c r="B154" s="214"/>
      <c r="C154" s="86"/>
      <c r="D154" s="157"/>
      <c r="E154" s="102" t="s">
        <v>366</v>
      </c>
      <c r="F154" s="176">
        <f>225000+37000+139000+56000</f>
        <v>457000</v>
      </c>
      <c r="G154" s="75">
        <f t="shared" si="7"/>
        <v>457000</v>
      </c>
      <c r="H154" s="116"/>
      <c r="I154" s="116"/>
      <c r="J154" s="91">
        <f>G154-'[1]лист'!G151</f>
        <v>0</v>
      </c>
      <c r="M154" s="81"/>
    </row>
    <row r="155" spans="1:14" s="53" customFormat="1" ht="47.25">
      <c r="A155" s="97" t="s">
        <v>503</v>
      </c>
      <c r="B155" s="86" t="s">
        <v>50</v>
      </c>
      <c r="C155" s="86" t="s">
        <v>413</v>
      </c>
      <c r="D155" s="157">
        <v>449300</v>
      </c>
      <c r="E155" s="93"/>
      <c r="F155" s="171"/>
      <c r="G155" s="77">
        <f>D155+F155</f>
        <v>449300</v>
      </c>
      <c r="H155" s="116"/>
      <c r="I155" s="116"/>
      <c r="J155" s="91">
        <f>G155-'[1]лист'!G152</f>
        <v>0</v>
      </c>
      <c r="M155" s="136"/>
      <c r="N155" s="91"/>
    </row>
    <row r="156" spans="1:13" s="53" customFormat="1" ht="56.25" customHeight="1">
      <c r="A156" s="97" t="s">
        <v>311</v>
      </c>
      <c r="B156" s="86" t="s">
        <v>312</v>
      </c>
      <c r="C156" s="86"/>
      <c r="D156" s="157"/>
      <c r="E156" s="86" t="s">
        <v>413</v>
      </c>
      <c r="F156" s="167">
        <f>780803+1000043</f>
        <v>1780846</v>
      </c>
      <c r="G156" s="77">
        <f t="shared" si="7"/>
        <v>1780846</v>
      </c>
      <c r="H156" s="116"/>
      <c r="I156" s="115"/>
      <c r="J156" s="91">
        <f>G156-'[1]лист'!G153</f>
        <v>0</v>
      </c>
      <c r="M156" s="81"/>
    </row>
    <row r="157" spans="1:14" s="53" customFormat="1" ht="51.75" customHeight="1">
      <c r="A157" s="213" t="s">
        <v>142</v>
      </c>
      <c r="B157" s="224" t="s">
        <v>164</v>
      </c>
      <c r="C157" s="86" t="s">
        <v>413</v>
      </c>
      <c r="D157" s="157">
        <f>79953460-7700000+50000+210924+50774</f>
        <v>72565158</v>
      </c>
      <c r="E157" s="86" t="s">
        <v>413</v>
      </c>
      <c r="F157" s="167">
        <f>672751-F159+774000+2408039</f>
        <v>3824790</v>
      </c>
      <c r="G157" s="77">
        <f>D157+F157</f>
        <v>76389948</v>
      </c>
      <c r="H157" s="116"/>
      <c r="I157" s="115"/>
      <c r="J157" s="91">
        <f>G157-'[1]лист'!G154</f>
        <v>311698</v>
      </c>
      <c r="M157" s="136"/>
      <c r="N157" s="91"/>
    </row>
    <row r="158" spans="1:14" s="53" customFormat="1" ht="51.75" customHeight="1">
      <c r="A158" s="215"/>
      <c r="B158" s="224"/>
      <c r="C158" s="102" t="s">
        <v>366</v>
      </c>
      <c r="D158" s="159">
        <f>7000+24000+15000</f>
        <v>46000</v>
      </c>
      <c r="E158" s="102" t="s">
        <v>366</v>
      </c>
      <c r="F158" s="187">
        <v>40000</v>
      </c>
      <c r="G158" s="103">
        <f>D158+F158</f>
        <v>86000</v>
      </c>
      <c r="H158" s="116"/>
      <c r="I158" s="115"/>
      <c r="J158" s="91">
        <f>G158-'[1]лист'!G155</f>
        <v>15000</v>
      </c>
      <c r="M158" s="136"/>
      <c r="N158" s="91"/>
    </row>
    <row r="159" spans="1:13" s="53" customFormat="1" ht="47.25">
      <c r="A159" s="227"/>
      <c r="B159" s="224"/>
      <c r="C159" s="93"/>
      <c r="D159" s="171"/>
      <c r="E159" s="93" t="s">
        <v>10</v>
      </c>
      <c r="F159" s="171">
        <v>30000</v>
      </c>
      <c r="G159" s="101">
        <f t="shared" si="7"/>
        <v>30000</v>
      </c>
      <c r="H159" s="116"/>
      <c r="I159" s="116"/>
      <c r="J159" s="91">
        <f>G159-'[1]лист'!G156</f>
        <v>0</v>
      </c>
      <c r="M159" s="81"/>
    </row>
    <row r="160" spans="1:13" s="53" customFormat="1" ht="51" customHeight="1">
      <c r="A160" s="225" t="s">
        <v>132</v>
      </c>
      <c r="B160" s="224" t="s">
        <v>133</v>
      </c>
      <c r="C160" s="86"/>
      <c r="D160" s="168"/>
      <c r="E160" s="86" t="s">
        <v>413</v>
      </c>
      <c r="F160" s="186">
        <f>42819917-190000-285000-10500000-908358</f>
        <v>30936559</v>
      </c>
      <c r="G160" s="77">
        <f t="shared" si="7"/>
        <v>30936559</v>
      </c>
      <c r="H160" s="116"/>
      <c r="I160" s="115"/>
      <c r="J160" s="91">
        <f>G160-'[1]лист'!G157</f>
        <v>-11693358</v>
      </c>
      <c r="M160" s="81"/>
    </row>
    <row r="161" spans="1:13" s="53" customFormat="1" ht="51" customHeight="1">
      <c r="A161" s="225"/>
      <c r="B161" s="224"/>
      <c r="C161" s="86"/>
      <c r="D161" s="168"/>
      <c r="E161" s="93" t="s">
        <v>10</v>
      </c>
      <c r="F161" s="171">
        <v>17235</v>
      </c>
      <c r="G161" s="77">
        <f t="shared" si="7"/>
        <v>17235</v>
      </c>
      <c r="H161" s="116"/>
      <c r="I161" s="115"/>
      <c r="J161" s="91">
        <f>G161-'[1]лист'!G158</f>
        <v>0</v>
      </c>
      <c r="M161" s="81"/>
    </row>
    <row r="162" spans="1:13" s="53" customFormat="1" ht="47.25">
      <c r="A162" s="225"/>
      <c r="B162" s="224"/>
      <c r="C162" s="86"/>
      <c r="D162" s="168"/>
      <c r="E162" s="102" t="s">
        <v>366</v>
      </c>
      <c r="F162" s="176">
        <v>10000</v>
      </c>
      <c r="G162" s="75">
        <f t="shared" si="7"/>
        <v>10000</v>
      </c>
      <c r="H162" s="116"/>
      <c r="I162" s="116"/>
      <c r="J162" s="91">
        <f>G162-'[1]лист'!G159</f>
        <v>0</v>
      </c>
      <c r="M162" s="81"/>
    </row>
    <row r="163" spans="1:13" s="53" customFormat="1" ht="57.75" customHeight="1">
      <c r="A163" s="215" t="s">
        <v>87</v>
      </c>
      <c r="B163" s="218" t="s">
        <v>250</v>
      </c>
      <c r="C163" s="86"/>
      <c r="D163" s="168"/>
      <c r="E163" s="86" t="s">
        <v>413</v>
      </c>
      <c r="F163" s="167">
        <f>1529939+513671-513671</f>
        <v>1529939</v>
      </c>
      <c r="G163" s="77">
        <f t="shared" si="7"/>
        <v>1529939</v>
      </c>
      <c r="H163" s="116"/>
      <c r="I163" s="115"/>
      <c r="J163" s="91">
        <f>G163-'[1]лист'!G160</f>
        <v>-513671</v>
      </c>
      <c r="M163" s="81"/>
    </row>
    <row r="164" spans="1:13" s="53" customFormat="1" ht="84" customHeight="1">
      <c r="A164" s="227"/>
      <c r="B164" s="219"/>
      <c r="C164" s="86"/>
      <c r="D164" s="168"/>
      <c r="E164" s="86" t="s">
        <v>358</v>
      </c>
      <c r="F164" s="167">
        <f>187691+800000</f>
        <v>987691</v>
      </c>
      <c r="G164" s="77">
        <f t="shared" si="7"/>
        <v>987691</v>
      </c>
      <c r="H164" s="116"/>
      <c r="I164" s="116"/>
      <c r="J164" s="91">
        <f>G164-'[1]лист'!G161</f>
        <v>0</v>
      </c>
      <c r="M164" s="81"/>
    </row>
    <row r="165" spans="1:13" s="53" customFormat="1" ht="69.75" customHeight="1">
      <c r="A165" s="131" t="s">
        <v>144</v>
      </c>
      <c r="B165" s="130" t="s">
        <v>145</v>
      </c>
      <c r="C165" s="86"/>
      <c r="D165" s="168"/>
      <c r="E165" s="86" t="s">
        <v>413</v>
      </c>
      <c r="F165" s="167">
        <f>31540500+25960867</f>
        <v>57501367</v>
      </c>
      <c r="G165" s="77">
        <f t="shared" si="7"/>
        <v>57501367</v>
      </c>
      <c r="H165" s="116"/>
      <c r="I165" s="115"/>
      <c r="J165" s="91">
        <f>G165-'[1]лист'!G162</f>
        <v>0</v>
      </c>
      <c r="M165" s="81"/>
    </row>
    <row r="166" spans="1:13" s="53" customFormat="1" ht="63" customHeight="1">
      <c r="A166" s="207">
        <v>180409</v>
      </c>
      <c r="B166" s="217" t="s">
        <v>275</v>
      </c>
      <c r="C166" s="211"/>
      <c r="D166" s="233"/>
      <c r="E166" s="217" t="s">
        <v>413</v>
      </c>
      <c r="F166" s="233">
        <f>6226733+2688100+7949340-822000+285000-506620-1498800</f>
        <v>14321753</v>
      </c>
      <c r="G166" s="233">
        <f t="shared" si="7"/>
        <v>14321753</v>
      </c>
      <c r="H166" s="116"/>
      <c r="I166" s="115"/>
      <c r="J166" s="91">
        <f>G166-'[1]лист'!G163</f>
        <v>-1720420</v>
      </c>
      <c r="M166" s="81"/>
    </row>
    <row r="167" spans="1:13" s="53" customFormat="1" ht="15.75">
      <c r="A167" s="208"/>
      <c r="B167" s="218"/>
      <c r="C167" s="212"/>
      <c r="D167" s="234"/>
      <c r="E167" s="219"/>
      <c r="F167" s="234"/>
      <c r="G167" s="234"/>
      <c r="H167" s="116"/>
      <c r="I167" s="116"/>
      <c r="J167" s="91">
        <f>G167-'[1]лист'!G164</f>
        <v>0</v>
      </c>
      <c r="M167" s="81"/>
    </row>
    <row r="168" spans="1:13" s="53" customFormat="1" ht="47.25">
      <c r="A168" s="209"/>
      <c r="B168" s="219"/>
      <c r="C168" s="206"/>
      <c r="D168" s="205"/>
      <c r="E168" s="199" t="s">
        <v>366</v>
      </c>
      <c r="F168" s="210">
        <f>5000</f>
        <v>5000</v>
      </c>
      <c r="G168" s="210">
        <f>F168+D168</f>
        <v>5000</v>
      </c>
      <c r="H168" s="116"/>
      <c r="I168" s="116"/>
      <c r="J168" s="91"/>
      <c r="M168" s="81"/>
    </row>
    <row r="169" spans="1:13" s="53" customFormat="1" ht="47.25">
      <c r="A169" s="204" t="s">
        <v>77</v>
      </c>
      <c r="B169" s="197" t="s">
        <v>154</v>
      </c>
      <c r="C169" s="86"/>
      <c r="D169" s="168"/>
      <c r="E169" s="86" t="s">
        <v>45</v>
      </c>
      <c r="F169" s="167">
        <f>2250578+1500000</f>
        <v>3750578</v>
      </c>
      <c r="G169" s="77">
        <f t="shared" si="7"/>
        <v>3750578</v>
      </c>
      <c r="H169" s="116"/>
      <c r="I169" s="115"/>
      <c r="J169" s="91">
        <f>G169-'[1]лист'!G165</f>
        <v>0</v>
      </c>
      <c r="M169" s="81"/>
    </row>
    <row r="170" spans="1:14" s="53" customFormat="1" ht="48.75" customHeight="1">
      <c r="A170" s="213" t="s">
        <v>125</v>
      </c>
      <c r="B170" s="217" t="s">
        <v>140</v>
      </c>
      <c r="C170" s="86" t="s">
        <v>413</v>
      </c>
      <c r="D170" s="157">
        <f>17937420+7700000</f>
        <v>25637420</v>
      </c>
      <c r="E170" s="86" t="s">
        <v>412</v>
      </c>
      <c r="F170" s="186">
        <f>1287772+1422029</f>
        <v>2709801</v>
      </c>
      <c r="G170" s="77">
        <f>D170+F170</f>
        <v>28347221</v>
      </c>
      <c r="H170" s="116"/>
      <c r="I170" s="115"/>
      <c r="J170" s="91">
        <f>G170-'[1]лист'!G166</f>
        <v>1422029</v>
      </c>
      <c r="M170" s="136"/>
      <c r="N170" s="91"/>
    </row>
    <row r="171" spans="1:13" s="53" customFormat="1" ht="45.75" customHeight="1">
      <c r="A171" s="215"/>
      <c r="B171" s="218"/>
      <c r="C171" s="86" t="s">
        <v>44</v>
      </c>
      <c r="D171" s="157">
        <v>885808</v>
      </c>
      <c r="E171" s="86"/>
      <c r="F171" s="186"/>
      <c r="G171" s="77">
        <f>D171+F171</f>
        <v>885808</v>
      </c>
      <c r="H171" s="116"/>
      <c r="I171" s="116"/>
      <c r="J171" s="91">
        <f>G171-'[1]лист'!G167</f>
        <v>0</v>
      </c>
      <c r="M171" s="81"/>
    </row>
    <row r="172" spans="1:13" s="53" customFormat="1" ht="47.25" customHeight="1">
      <c r="A172" s="214"/>
      <c r="B172" s="226"/>
      <c r="C172" s="102" t="s">
        <v>366</v>
      </c>
      <c r="D172" s="176">
        <v>3000</v>
      </c>
      <c r="E172" s="75"/>
      <c r="F172" s="186"/>
      <c r="G172" s="75">
        <f>D172+F172</f>
        <v>3000</v>
      </c>
      <c r="H172" s="116"/>
      <c r="I172" s="116"/>
      <c r="J172" s="91">
        <f>G172-'[1]лист'!G168</f>
        <v>0</v>
      </c>
      <c r="M172" s="81"/>
    </row>
    <row r="173" spans="1:13" s="53" customFormat="1" ht="47.25">
      <c r="A173" s="87" t="s">
        <v>192</v>
      </c>
      <c r="B173" s="88" t="s">
        <v>101</v>
      </c>
      <c r="C173" s="86"/>
      <c r="D173" s="162">
        <f>D175</f>
        <v>24295</v>
      </c>
      <c r="E173" s="96"/>
      <c r="F173" s="162">
        <f>F174</f>
        <v>28000</v>
      </c>
      <c r="G173" s="90">
        <f aca="true" t="shared" si="8" ref="G173:G179">D173+F173</f>
        <v>52295</v>
      </c>
      <c r="H173" s="115"/>
      <c r="I173" s="115"/>
      <c r="J173" s="91">
        <f>G173-'[1]лист'!G169</f>
        <v>-15864</v>
      </c>
      <c r="M173" s="81"/>
    </row>
    <row r="174" spans="1:13" s="53" customFormat="1" ht="48" customHeight="1">
      <c r="A174" s="97" t="s">
        <v>211</v>
      </c>
      <c r="B174" s="86" t="s">
        <v>212</v>
      </c>
      <c r="C174" s="86"/>
      <c r="D174" s="157"/>
      <c r="E174" s="86" t="s">
        <v>26</v>
      </c>
      <c r="F174" s="167">
        <f>61915-33915</f>
        <v>28000</v>
      </c>
      <c r="G174" s="77">
        <f t="shared" si="8"/>
        <v>28000</v>
      </c>
      <c r="H174" s="116"/>
      <c r="I174" s="115"/>
      <c r="J174" s="91">
        <f>G174-'[1]лист'!G170</f>
        <v>0</v>
      </c>
      <c r="M174" s="81"/>
    </row>
    <row r="175" spans="1:14" s="53" customFormat="1" ht="63">
      <c r="A175" s="97" t="s">
        <v>125</v>
      </c>
      <c r="B175" s="86" t="s">
        <v>140</v>
      </c>
      <c r="C175" s="86" t="s">
        <v>36</v>
      </c>
      <c r="D175" s="157">
        <f>40159-15864</f>
        <v>24295</v>
      </c>
      <c r="E175" s="86"/>
      <c r="F175" s="173"/>
      <c r="G175" s="77">
        <f t="shared" si="8"/>
        <v>24295</v>
      </c>
      <c r="H175" s="116"/>
      <c r="I175" s="116"/>
      <c r="J175" s="91">
        <f>G175-'[1]лист'!G171</f>
        <v>-15864</v>
      </c>
      <c r="M175" s="136"/>
      <c r="N175" s="91"/>
    </row>
    <row r="176" spans="1:13" s="53" customFormat="1" ht="47.25">
      <c r="A176" s="87" t="s">
        <v>196</v>
      </c>
      <c r="B176" s="88" t="s">
        <v>103</v>
      </c>
      <c r="C176" s="86"/>
      <c r="D176" s="162">
        <f>D177+D179+D180+D182+D178+D181</f>
        <v>1312052</v>
      </c>
      <c r="E176" s="96"/>
      <c r="F176" s="170">
        <f>F177+F178+F182</f>
        <v>812719</v>
      </c>
      <c r="G176" s="90">
        <f t="shared" si="8"/>
        <v>2124771</v>
      </c>
      <c r="H176" s="116"/>
      <c r="I176" s="116"/>
      <c r="J176" s="91">
        <f>G176-'[1]лист'!G172</f>
        <v>-1095510</v>
      </c>
      <c r="M176" s="81"/>
    </row>
    <row r="177" spans="1:13" s="53" customFormat="1" ht="47.25">
      <c r="A177" s="97" t="s">
        <v>211</v>
      </c>
      <c r="B177" s="86" t="s">
        <v>212</v>
      </c>
      <c r="C177" s="86"/>
      <c r="D177" s="157"/>
      <c r="E177" s="86" t="s">
        <v>26</v>
      </c>
      <c r="F177" s="167">
        <v>14000</v>
      </c>
      <c r="G177" s="77">
        <f t="shared" si="8"/>
        <v>14000</v>
      </c>
      <c r="H177" s="116"/>
      <c r="I177" s="115"/>
      <c r="J177" s="91">
        <f>G177-'[1]лист'!G173</f>
        <v>0</v>
      </c>
      <c r="M177" s="81"/>
    </row>
    <row r="178" spans="1:13" s="53" customFormat="1" ht="47.25">
      <c r="A178" s="97" t="s">
        <v>492</v>
      </c>
      <c r="B178" s="86" t="s">
        <v>497</v>
      </c>
      <c r="D178" s="157"/>
      <c r="E178" s="86" t="s">
        <v>35</v>
      </c>
      <c r="F178" s="173">
        <f>1550464-852232</f>
        <v>698232</v>
      </c>
      <c r="G178" s="77">
        <f t="shared" si="8"/>
        <v>698232</v>
      </c>
      <c r="H178" s="116"/>
      <c r="I178" s="116"/>
      <c r="J178" s="91">
        <f>G178-'[1]лист'!G174</f>
        <v>-852232</v>
      </c>
      <c r="M178" s="81"/>
    </row>
    <row r="179" spans="1:14" s="53" customFormat="1" ht="47.25">
      <c r="A179" s="220">
        <v>250404</v>
      </c>
      <c r="B179" s="230" t="s">
        <v>140</v>
      </c>
      <c r="C179" s="86" t="s">
        <v>34</v>
      </c>
      <c r="D179" s="164">
        <v>24055</v>
      </c>
      <c r="E179" s="86"/>
      <c r="F179" s="161"/>
      <c r="G179" s="77">
        <f t="shared" si="8"/>
        <v>24055</v>
      </c>
      <c r="H179" s="116"/>
      <c r="I179" s="115"/>
      <c r="J179" s="91">
        <f>G179-'[1]лист'!G175</f>
        <v>0</v>
      </c>
      <c r="M179" s="136"/>
      <c r="N179" s="91"/>
    </row>
    <row r="180" spans="1:13" s="53" customFormat="1" ht="47.25">
      <c r="A180" s="235"/>
      <c r="B180" s="230"/>
      <c r="C180" s="86" t="s">
        <v>259</v>
      </c>
      <c r="D180" s="164">
        <f>2910648-1479373-243278</f>
        <v>1187997</v>
      </c>
      <c r="F180" s="186"/>
      <c r="G180" s="77">
        <f>D180</f>
        <v>1187997</v>
      </c>
      <c r="H180" s="116"/>
      <c r="I180" s="116"/>
      <c r="J180" s="91">
        <f>G180-'[1]лист'!G176</f>
        <v>-243278</v>
      </c>
      <c r="M180" s="81"/>
    </row>
    <row r="181" spans="1:13" s="53" customFormat="1" ht="51" customHeight="1">
      <c r="A181" s="235"/>
      <c r="B181" s="230"/>
      <c r="C181" s="86" t="s">
        <v>412</v>
      </c>
      <c r="D181" s="164">
        <v>100000</v>
      </c>
      <c r="E181" s="86"/>
      <c r="F181" s="186"/>
      <c r="G181" s="77">
        <f>D181</f>
        <v>100000</v>
      </c>
      <c r="H181" s="116"/>
      <c r="I181" s="116"/>
      <c r="J181" s="91">
        <f>G181-'[1]лист'!G177</f>
        <v>0</v>
      </c>
      <c r="M181" s="81"/>
    </row>
    <row r="182" spans="1:13" s="53" customFormat="1" ht="66" customHeight="1">
      <c r="A182" s="236"/>
      <c r="B182" s="230"/>
      <c r="D182" s="164"/>
      <c r="E182" s="86" t="s">
        <v>37</v>
      </c>
      <c r="F182" s="173">
        <v>100487</v>
      </c>
      <c r="G182" s="77">
        <f>D182+F182</f>
        <v>100487</v>
      </c>
      <c r="H182" s="116"/>
      <c r="I182" s="116"/>
      <c r="J182" s="91">
        <f>G182-'[1]лист'!G178</f>
        <v>0</v>
      </c>
      <c r="M182" s="81"/>
    </row>
    <row r="183" spans="1:13" s="53" customFormat="1" ht="48.75" customHeight="1" hidden="1">
      <c r="A183" s="97"/>
      <c r="B183" s="86"/>
      <c r="C183" s="86"/>
      <c r="D183" s="164"/>
      <c r="F183" s="190"/>
      <c r="G183" s="77"/>
      <c r="H183" s="116"/>
      <c r="I183" s="116"/>
      <c r="J183" s="91">
        <f>G183-'[1]лист'!G179</f>
        <v>0</v>
      </c>
      <c r="M183" s="81"/>
    </row>
    <row r="184" spans="1:13" s="53" customFormat="1" ht="47.25">
      <c r="A184" s="87" t="s">
        <v>200</v>
      </c>
      <c r="B184" s="88" t="s">
        <v>107</v>
      </c>
      <c r="C184" s="88"/>
      <c r="D184" s="162"/>
      <c r="E184" s="113"/>
      <c r="F184" s="162">
        <f>F185+F186</f>
        <v>1082906</v>
      </c>
      <c r="G184" s="89">
        <f aca="true" t="shared" si="9" ref="G184:G189">D184+F184</f>
        <v>1082906</v>
      </c>
      <c r="H184" s="115"/>
      <c r="I184" s="115"/>
      <c r="J184" s="91">
        <f>G184-'[1]лист'!G180</f>
        <v>0</v>
      </c>
      <c r="M184" s="81"/>
    </row>
    <row r="185" spans="1:13" s="53" customFormat="1" ht="47.25">
      <c r="A185" s="97" t="s">
        <v>211</v>
      </c>
      <c r="B185" s="86" t="s">
        <v>212</v>
      </c>
      <c r="C185" s="86"/>
      <c r="D185" s="157"/>
      <c r="E185" s="86" t="s">
        <v>26</v>
      </c>
      <c r="F185" s="157">
        <f>41720+98600-20720</f>
        <v>119600</v>
      </c>
      <c r="G185" s="76">
        <f t="shared" si="9"/>
        <v>119600</v>
      </c>
      <c r="H185" s="116"/>
      <c r="I185" s="115"/>
      <c r="J185" s="91">
        <f>G185-'[1]лист'!G181</f>
        <v>0</v>
      </c>
      <c r="M185" s="81"/>
    </row>
    <row r="186" spans="1:13" s="53" customFormat="1" ht="31.5">
      <c r="A186" s="97" t="s">
        <v>89</v>
      </c>
      <c r="B186" s="86" t="s">
        <v>90</v>
      </c>
      <c r="C186" s="86"/>
      <c r="D186" s="157"/>
      <c r="E186" s="86" t="s">
        <v>252</v>
      </c>
      <c r="F186" s="167">
        <v>963306</v>
      </c>
      <c r="G186" s="76">
        <f t="shared" si="9"/>
        <v>963306</v>
      </c>
      <c r="H186" s="116"/>
      <c r="I186" s="115"/>
      <c r="J186" s="91">
        <f>G186-'[1]лист'!G182</f>
        <v>0</v>
      </c>
      <c r="M186" s="81"/>
    </row>
    <row r="187" spans="1:13" s="53" customFormat="1" ht="31.5">
      <c r="A187" s="87" t="s">
        <v>197</v>
      </c>
      <c r="B187" s="88" t="s">
        <v>104</v>
      </c>
      <c r="C187" s="86"/>
      <c r="D187" s="162"/>
      <c r="E187" s="96"/>
      <c r="F187" s="162">
        <f>F189+F188</f>
        <v>45249826</v>
      </c>
      <c r="G187" s="89">
        <f t="shared" si="9"/>
        <v>45249826</v>
      </c>
      <c r="H187" s="115"/>
      <c r="I187" s="115"/>
      <c r="J187" s="91">
        <f>G187-'[1]лист'!G183</f>
        <v>0</v>
      </c>
      <c r="M187" s="81"/>
    </row>
    <row r="188" spans="1:13" s="53" customFormat="1" ht="47.25" customHeight="1">
      <c r="A188" s="97" t="s">
        <v>211</v>
      </c>
      <c r="B188" s="86" t="s">
        <v>212</v>
      </c>
      <c r="C188" s="86"/>
      <c r="D188" s="157"/>
      <c r="E188" s="86" t="s">
        <v>26</v>
      </c>
      <c r="F188" s="167">
        <v>21000</v>
      </c>
      <c r="G188" s="76">
        <f>D188+F188</f>
        <v>21000</v>
      </c>
      <c r="H188" s="116"/>
      <c r="I188" s="115"/>
      <c r="J188" s="91">
        <f>G188-'[1]лист'!G184</f>
        <v>0</v>
      </c>
      <c r="M188" s="81"/>
    </row>
    <row r="189" spans="1:13" s="53" customFormat="1" ht="47.25" customHeight="1">
      <c r="A189" s="86">
        <v>240601</v>
      </c>
      <c r="B189" s="86" t="s">
        <v>154</v>
      </c>
      <c r="C189" s="86"/>
      <c r="D189" s="168"/>
      <c r="E189" s="86" t="s">
        <v>45</v>
      </c>
      <c r="F189" s="167">
        <f>14470369+273484+3500000+16136+26968837</f>
        <v>45228826</v>
      </c>
      <c r="G189" s="76">
        <f t="shared" si="9"/>
        <v>45228826</v>
      </c>
      <c r="H189" s="116"/>
      <c r="I189" s="115"/>
      <c r="J189" s="91">
        <f>G189-'[1]лист'!G185</f>
        <v>0</v>
      </c>
      <c r="M189" s="81"/>
    </row>
    <row r="190" spans="1:13" s="53" customFormat="1" ht="47.25">
      <c r="A190" s="87" t="s">
        <v>195</v>
      </c>
      <c r="B190" s="88" t="s">
        <v>105</v>
      </c>
      <c r="C190" s="86"/>
      <c r="D190" s="162">
        <f>D193+D195+D200+D201+D194+D192</f>
        <v>31455872</v>
      </c>
      <c r="E190" s="96"/>
      <c r="F190" s="162">
        <f>F191+F193+F196+F198+F199+F200+F201+F197</f>
        <v>7985487</v>
      </c>
      <c r="G190" s="89">
        <f aca="true" t="shared" si="10" ref="G190:G202">D190+F190</f>
        <v>39441359</v>
      </c>
      <c r="H190" s="115"/>
      <c r="I190" s="115"/>
      <c r="J190" s="91">
        <f>G190-'[1]лист'!G186</f>
        <v>470238</v>
      </c>
      <c r="M190" s="81"/>
    </row>
    <row r="191" spans="1:13" s="53" customFormat="1" ht="47.25">
      <c r="A191" s="97" t="s">
        <v>211</v>
      </c>
      <c r="B191" s="86" t="s">
        <v>212</v>
      </c>
      <c r="C191" s="86"/>
      <c r="D191" s="157"/>
      <c r="E191" s="86" t="s">
        <v>26</v>
      </c>
      <c r="F191" s="173">
        <v>7000</v>
      </c>
      <c r="G191" s="76">
        <f t="shared" si="10"/>
        <v>7000</v>
      </c>
      <c r="H191" s="116"/>
      <c r="I191" s="116"/>
      <c r="J191" s="91">
        <f>G191-'[1]лист'!G187</f>
        <v>0</v>
      </c>
      <c r="M191" s="81"/>
    </row>
    <row r="192" spans="1:13" s="53" customFormat="1" ht="77.25" customHeight="1">
      <c r="A192" s="97" t="s">
        <v>142</v>
      </c>
      <c r="B192" s="86" t="s">
        <v>143</v>
      </c>
      <c r="C192" s="86" t="s">
        <v>381</v>
      </c>
      <c r="D192" s="157">
        <v>458000</v>
      </c>
      <c r="E192" s="86"/>
      <c r="F192" s="173"/>
      <c r="G192" s="76">
        <f t="shared" si="10"/>
        <v>458000</v>
      </c>
      <c r="H192" s="116"/>
      <c r="I192" s="116"/>
      <c r="J192" s="91"/>
      <c r="M192" s="81"/>
    </row>
    <row r="193" spans="1:14" s="53" customFormat="1" ht="63">
      <c r="A193" s="97" t="s">
        <v>79</v>
      </c>
      <c r="B193" s="86" t="s">
        <v>80</v>
      </c>
      <c r="C193" s="86" t="s">
        <v>62</v>
      </c>
      <c r="D193" s="157">
        <f>2300000+250000</f>
        <v>2550000</v>
      </c>
      <c r="E193" s="86"/>
      <c r="F193" s="167"/>
      <c r="G193" s="76">
        <f t="shared" si="10"/>
        <v>2550000</v>
      </c>
      <c r="H193" s="116"/>
      <c r="I193" s="115"/>
      <c r="J193" s="91">
        <f>G193-'[1]лист'!G188</f>
        <v>-296214</v>
      </c>
      <c r="M193" s="136"/>
      <c r="N193" s="91"/>
    </row>
    <row r="194" spans="1:14" s="53" customFormat="1" ht="78.75">
      <c r="A194" s="97" t="s">
        <v>256</v>
      </c>
      <c r="B194" s="86" t="s">
        <v>257</v>
      </c>
      <c r="C194" s="86" t="s">
        <v>356</v>
      </c>
      <c r="D194" s="157">
        <v>335149</v>
      </c>
      <c r="E194" s="86"/>
      <c r="F194" s="167"/>
      <c r="G194" s="76">
        <f t="shared" si="10"/>
        <v>335149</v>
      </c>
      <c r="H194" s="116"/>
      <c r="I194" s="115"/>
      <c r="J194" s="91">
        <f>G194-'[1]лист'!G189</f>
        <v>0</v>
      </c>
      <c r="M194" s="136"/>
      <c r="N194" s="91"/>
    </row>
    <row r="195" spans="1:14" s="53" customFormat="1" ht="81.75" customHeight="1">
      <c r="A195" s="97" t="s">
        <v>130</v>
      </c>
      <c r="B195" s="86" t="s">
        <v>131</v>
      </c>
      <c r="C195" s="86" t="s">
        <v>63</v>
      </c>
      <c r="D195" s="157">
        <f>10000000+14665000</f>
        <v>24665000</v>
      </c>
      <c r="E195" s="86"/>
      <c r="F195" s="173"/>
      <c r="G195" s="76">
        <f t="shared" si="10"/>
        <v>24665000</v>
      </c>
      <c r="H195" s="116"/>
      <c r="I195" s="116"/>
      <c r="J195" s="91">
        <f>G195-'[1]лист'!G190</f>
        <v>0</v>
      </c>
      <c r="M195" s="136"/>
      <c r="N195" s="91"/>
    </row>
    <row r="196" spans="1:13" s="53" customFormat="1" ht="78.75">
      <c r="A196" s="213" t="s">
        <v>132</v>
      </c>
      <c r="B196" s="217" t="s">
        <v>133</v>
      </c>
      <c r="C196" s="86"/>
      <c r="D196" s="157"/>
      <c r="E196" s="86" t="s">
        <v>63</v>
      </c>
      <c r="F196" s="167">
        <f>1355142+999999</f>
        <v>2355141</v>
      </c>
      <c r="G196" s="76">
        <f t="shared" si="10"/>
        <v>2355141</v>
      </c>
      <c r="H196" s="116"/>
      <c r="I196" s="115"/>
      <c r="J196" s="91">
        <f>G196-'[1]лист'!G191</f>
        <v>0</v>
      </c>
      <c r="M196" s="81"/>
    </row>
    <row r="197" spans="1:13" s="53" customFormat="1" ht="63">
      <c r="A197" s="215"/>
      <c r="B197" s="218"/>
      <c r="C197" s="86"/>
      <c r="D197" s="157"/>
      <c r="E197" s="86" t="s">
        <v>381</v>
      </c>
      <c r="F197" s="167">
        <v>1006452</v>
      </c>
      <c r="G197" s="76">
        <f t="shared" si="10"/>
        <v>1006452</v>
      </c>
      <c r="H197" s="116"/>
      <c r="I197" s="115"/>
      <c r="J197" s="91"/>
      <c r="M197" s="81"/>
    </row>
    <row r="198" spans="1:13" s="53" customFormat="1" ht="83.25" customHeight="1">
      <c r="A198" s="225" t="s">
        <v>146</v>
      </c>
      <c r="B198" s="224" t="s">
        <v>275</v>
      </c>
      <c r="C198" s="224"/>
      <c r="D198" s="157"/>
      <c r="E198" s="86" t="s">
        <v>63</v>
      </c>
      <c r="F198" s="167">
        <f>66000+1474480</f>
        <v>1540480</v>
      </c>
      <c r="G198" s="76">
        <f t="shared" si="10"/>
        <v>1540480</v>
      </c>
      <c r="H198" s="116"/>
      <c r="I198" s="115"/>
      <c r="J198" s="91">
        <f>G198-'[1]лист'!G193</f>
        <v>0</v>
      </c>
      <c r="M198" s="81"/>
    </row>
    <row r="199" spans="1:13" s="53" customFormat="1" ht="63">
      <c r="A199" s="225"/>
      <c r="B199" s="224"/>
      <c r="C199" s="224"/>
      <c r="D199" s="177"/>
      <c r="E199" s="86" t="s">
        <v>381</v>
      </c>
      <c r="F199" s="167">
        <f>1573041+368374</f>
        <v>1941415</v>
      </c>
      <c r="G199" s="76">
        <f t="shared" si="10"/>
        <v>1941415</v>
      </c>
      <c r="H199" s="116"/>
      <c r="I199" s="115"/>
      <c r="J199" s="91">
        <f>G199-'[1]лист'!G194</f>
        <v>0</v>
      </c>
      <c r="M199" s="81"/>
    </row>
    <row r="200" spans="1:14" s="53" customFormat="1" ht="87.75" customHeight="1">
      <c r="A200" s="213" t="s">
        <v>265</v>
      </c>
      <c r="B200" s="217" t="s">
        <v>266</v>
      </c>
      <c r="C200" s="86" t="s">
        <v>64</v>
      </c>
      <c r="D200" s="157">
        <v>122723</v>
      </c>
      <c r="E200" s="86"/>
      <c r="F200" s="167"/>
      <c r="G200" s="76">
        <f t="shared" si="10"/>
        <v>122723</v>
      </c>
      <c r="H200" s="116"/>
      <c r="I200" s="115"/>
      <c r="J200" s="91">
        <f>G200-'[1]лист'!G195</f>
        <v>0</v>
      </c>
      <c r="M200" s="136"/>
      <c r="N200" s="91"/>
    </row>
    <row r="201" spans="1:13" s="53" customFormat="1" ht="69.75" customHeight="1">
      <c r="A201" s="215"/>
      <c r="B201" s="218"/>
      <c r="C201" s="86" t="s">
        <v>381</v>
      </c>
      <c r="D201" s="157">
        <f>2425000+900000</f>
        <v>3325000</v>
      </c>
      <c r="E201" s="86" t="s">
        <v>381</v>
      </c>
      <c r="F201" s="167">
        <f>480946+1254053-600000</f>
        <v>1134999</v>
      </c>
      <c r="G201" s="76">
        <f t="shared" si="10"/>
        <v>4459999</v>
      </c>
      <c r="H201" s="116"/>
      <c r="I201" s="115"/>
      <c r="J201" s="91">
        <f>G201-'[1]лист'!G196</f>
        <v>-600000</v>
      </c>
      <c r="M201" s="81"/>
    </row>
    <row r="202" spans="1:13" s="53" customFormat="1" ht="78.75" customHeight="1">
      <c r="A202" s="87" t="s">
        <v>190</v>
      </c>
      <c r="B202" s="88" t="s">
        <v>100</v>
      </c>
      <c r="C202" s="86"/>
      <c r="D202" s="162">
        <f>D204+D205+D206</f>
        <v>6859937</v>
      </c>
      <c r="E202" s="96"/>
      <c r="F202" s="170">
        <f>F204+F205+F203</f>
        <v>6501142</v>
      </c>
      <c r="G202" s="90">
        <f t="shared" si="10"/>
        <v>13361079</v>
      </c>
      <c r="H202" s="115"/>
      <c r="I202" s="115"/>
      <c r="J202" s="91">
        <f>G202-'[1]лист'!G197</f>
        <v>324012</v>
      </c>
      <c r="M202" s="81"/>
    </row>
    <row r="203" spans="1:13" s="53" customFormat="1" ht="54" customHeight="1">
      <c r="A203" s="97" t="s">
        <v>211</v>
      </c>
      <c r="B203" s="86" t="s">
        <v>212</v>
      </c>
      <c r="C203" s="86"/>
      <c r="D203" s="157"/>
      <c r="E203" s="86" t="s">
        <v>26</v>
      </c>
      <c r="F203" s="186">
        <v>7000</v>
      </c>
      <c r="G203" s="77">
        <f aca="true" t="shared" si="11" ref="G203:G216">D203+F203</f>
        <v>7000</v>
      </c>
      <c r="H203" s="116"/>
      <c r="I203" s="115"/>
      <c r="J203" s="91">
        <f>G203-'[1]лист'!G198</f>
        <v>0</v>
      </c>
      <c r="M203" s="81"/>
    </row>
    <row r="204" spans="1:14" s="53" customFormat="1" ht="69.75" customHeight="1">
      <c r="A204" s="97" t="s">
        <v>136</v>
      </c>
      <c r="B204" s="86" t="s">
        <v>137</v>
      </c>
      <c r="C204" s="86" t="s">
        <v>38</v>
      </c>
      <c r="D204" s="157">
        <f>3201442+185549+225250+99000</f>
        <v>3711241</v>
      </c>
      <c r="E204" s="86" t="s">
        <v>38</v>
      </c>
      <c r="F204" s="186">
        <v>6203691</v>
      </c>
      <c r="G204" s="77">
        <f>D204+F204</f>
        <v>9914932</v>
      </c>
      <c r="H204" s="115">
        <v>82552</v>
      </c>
      <c r="I204" s="115"/>
      <c r="J204" s="91">
        <f>G204-'[1]лист'!G199</f>
        <v>324250</v>
      </c>
      <c r="M204" s="136"/>
      <c r="N204" s="91"/>
    </row>
    <row r="205" spans="1:14" s="53" customFormat="1" ht="63">
      <c r="A205" s="225" t="s">
        <v>138</v>
      </c>
      <c r="B205" s="224" t="s">
        <v>139</v>
      </c>
      <c r="C205" s="86" t="s">
        <v>38</v>
      </c>
      <c r="D205" s="157">
        <f>3059895+87849</f>
        <v>3147744</v>
      </c>
      <c r="E205" s="86" t="s">
        <v>38</v>
      </c>
      <c r="F205" s="186">
        <v>290451</v>
      </c>
      <c r="G205" s="77">
        <f>D205+F205</f>
        <v>3438195</v>
      </c>
      <c r="H205" s="115">
        <v>64182</v>
      </c>
      <c r="I205" s="115"/>
      <c r="J205" s="91">
        <f>G205-'[1]лист'!G200</f>
        <v>0</v>
      </c>
      <c r="M205" s="136"/>
      <c r="N205" s="91"/>
    </row>
    <row r="206" spans="1:13" s="53" customFormat="1" ht="68.25" customHeight="1">
      <c r="A206" s="225"/>
      <c r="B206" s="224"/>
      <c r="C206" s="86" t="s">
        <v>19</v>
      </c>
      <c r="D206" s="157">
        <f>1190-238</f>
        <v>952</v>
      </c>
      <c r="E206" s="86"/>
      <c r="F206" s="186"/>
      <c r="G206" s="77">
        <f t="shared" si="11"/>
        <v>952</v>
      </c>
      <c r="H206" s="116"/>
      <c r="I206" s="116"/>
      <c r="J206" s="91">
        <f>G206-'[1]лист'!G201</f>
        <v>-238</v>
      </c>
      <c r="M206" s="81"/>
    </row>
    <row r="207" spans="1:13" s="53" customFormat="1" ht="47.25">
      <c r="A207" s="87" t="s">
        <v>199</v>
      </c>
      <c r="B207" s="88" t="s">
        <v>106</v>
      </c>
      <c r="C207" s="86"/>
      <c r="D207" s="162">
        <f>D211</f>
        <v>499000</v>
      </c>
      <c r="E207" s="96"/>
      <c r="F207" s="162">
        <f>F208+F209+F210</f>
        <v>4968916</v>
      </c>
      <c r="G207" s="89">
        <f>D207+F207</f>
        <v>5467916</v>
      </c>
      <c r="H207" s="115"/>
      <c r="I207" s="115"/>
      <c r="J207" s="91">
        <f>G207-'[1]лист'!G202</f>
        <v>-12000000</v>
      </c>
      <c r="M207" s="81"/>
    </row>
    <row r="208" spans="1:13" s="53" customFormat="1" ht="47.25">
      <c r="A208" s="97" t="s">
        <v>211</v>
      </c>
      <c r="B208" s="86" t="s">
        <v>212</v>
      </c>
      <c r="C208" s="86"/>
      <c r="D208" s="157"/>
      <c r="E208" s="86" t="s">
        <v>26</v>
      </c>
      <c r="F208" s="157">
        <v>35000</v>
      </c>
      <c r="G208" s="76">
        <f t="shared" si="11"/>
        <v>35000</v>
      </c>
      <c r="H208" s="116"/>
      <c r="I208" s="115"/>
      <c r="J208" s="91">
        <f>G208-'[1]лист'!G203</f>
        <v>0</v>
      </c>
      <c r="M208" s="81"/>
    </row>
    <row r="209" spans="1:13" s="53" customFormat="1" ht="63">
      <c r="A209" s="97" t="s">
        <v>132</v>
      </c>
      <c r="B209" s="86" t="s">
        <v>133</v>
      </c>
      <c r="C209" s="86"/>
      <c r="D209" s="168"/>
      <c r="E209" s="86" t="s">
        <v>39</v>
      </c>
      <c r="F209" s="186">
        <f>3511384+4054385-3000000</f>
        <v>4565769</v>
      </c>
      <c r="G209" s="76">
        <f t="shared" si="11"/>
        <v>4565769</v>
      </c>
      <c r="H209" s="116"/>
      <c r="I209" s="115"/>
      <c r="J209" s="91">
        <f>G209-'[1]лист'!G204</f>
        <v>-3000000</v>
      </c>
      <c r="M209" s="81"/>
    </row>
    <row r="210" spans="1:13" s="53" customFormat="1" ht="63.75" customHeight="1">
      <c r="A210" s="97" t="s">
        <v>147</v>
      </c>
      <c r="B210" s="86" t="s">
        <v>148</v>
      </c>
      <c r="C210" s="86"/>
      <c r="D210" s="168"/>
      <c r="E210" s="86" t="s">
        <v>39</v>
      </c>
      <c r="F210" s="167">
        <f>3500000+5868147-9000000</f>
        <v>368147</v>
      </c>
      <c r="G210" s="76">
        <f t="shared" si="11"/>
        <v>368147</v>
      </c>
      <c r="H210" s="116"/>
      <c r="I210" s="115"/>
      <c r="J210" s="91">
        <f>G210-'[1]лист'!G205</f>
        <v>-9000000</v>
      </c>
      <c r="M210" s="81"/>
    </row>
    <row r="211" spans="1:13" s="53" customFormat="1" ht="53.25" customHeight="1">
      <c r="A211" s="97" t="s">
        <v>125</v>
      </c>
      <c r="B211" s="86" t="s">
        <v>140</v>
      </c>
      <c r="C211" s="86" t="s">
        <v>412</v>
      </c>
      <c r="D211" s="157">
        <f>309000+190000</f>
        <v>499000</v>
      </c>
      <c r="E211" s="86"/>
      <c r="F211" s="167"/>
      <c r="G211" s="76">
        <f t="shared" si="11"/>
        <v>499000</v>
      </c>
      <c r="H211" s="116"/>
      <c r="I211" s="116"/>
      <c r="J211" s="91">
        <f>G211-'[1]лист'!G206</f>
        <v>0</v>
      </c>
      <c r="M211" s="81"/>
    </row>
    <row r="212" spans="1:13" s="53" customFormat="1" ht="46.5" customHeight="1">
      <c r="A212" s="87" t="s">
        <v>198</v>
      </c>
      <c r="B212" s="88" t="s">
        <v>85</v>
      </c>
      <c r="C212" s="86"/>
      <c r="D212" s="162">
        <f>D214+D215</f>
        <v>45802</v>
      </c>
      <c r="E212" s="96"/>
      <c r="F212" s="170">
        <f>F213</f>
        <v>70000</v>
      </c>
      <c r="G212" s="90">
        <f>D212+F212</f>
        <v>115802</v>
      </c>
      <c r="H212" s="116"/>
      <c r="I212" s="116"/>
      <c r="J212" s="91">
        <f>G212-'[1]лист'!G207</f>
        <v>0</v>
      </c>
      <c r="M212" s="81"/>
    </row>
    <row r="213" spans="1:13" s="53" customFormat="1" ht="46.5" customHeight="1">
      <c r="A213" s="213" t="s">
        <v>211</v>
      </c>
      <c r="B213" s="217" t="s">
        <v>212</v>
      </c>
      <c r="C213" s="86"/>
      <c r="D213" s="164"/>
      <c r="E213" s="86" t="s">
        <v>26</v>
      </c>
      <c r="F213" s="167">
        <v>70000</v>
      </c>
      <c r="G213" s="77">
        <f>D213+F213</f>
        <v>70000</v>
      </c>
      <c r="H213" s="116"/>
      <c r="I213" s="115"/>
      <c r="J213" s="91">
        <f>G213-'[1]лист'!G208</f>
        <v>0</v>
      </c>
      <c r="M213" s="81"/>
    </row>
    <row r="214" spans="1:13" s="53" customFormat="1" ht="63.75" customHeight="1">
      <c r="A214" s="227"/>
      <c r="B214" s="219"/>
      <c r="C214" s="86" t="s">
        <v>36</v>
      </c>
      <c r="D214" s="164">
        <v>2602</v>
      </c>
      <c r="E214" s="86"/>
      <c r="F214" s="190"/>
      <c r="G214" s="77">
        <f>D214+F214</f>
        <v>2602</v>
      </c>
      <c r="H214" s="116"/>
      <c r="I214" s="115"/>
      <c r="J214" s="91">
        <f>G214-'[1]лист'!G209</f>
        <v>0</v>
      </c>
      <c r="M214" s="81"/>
    </row>
    <row r="215" spans="1:14" s="53" customFormat="1" ht="39" customHeight="1">
      <c r="A215" s="97" t="s">
        <v>125</v>
      </c>
      <c r="B215" s="86" t="s">
        <v>140</v>
      </c>
      <c r="C215" s="86" t="s">
        <v>170</v>
      </c>
      <c r="D215" s="157">
        <v>43200</v>
      </c>
      <c r="E215" s="86"/>
      <c r="F215" s="173"/>
      <c r="G215" s="77">
        <f t="shared" si="11"/>
        <v>43200</v>
      </c>
      <c r="H215" s="116"/>
      <c r="I215" s="116"/>
      <c r="J215" s="91">
        <f>G215-'[1]лист'!G210</f>
        <v>0</v>
      </c>
      <c r="M215" s="136"/>
      <c r="N215" s="91"/>
    </row>
    <row r="216" spans="1:13" s="53" customFormat="1" ht="47.25" customHeight="1" hidden="1">
      <c r="A216" s="87" t="s">
        <v>239</v>
      </c>
      <c r="B216" s="88" t="s">
        <v>85</v>
      </c>
      <c r="C216" s="86"/>
      <c r="D216" s="178">
        <v>0</v>
      </c>
      <c r="E216" s="86"/>
      <c r="F216" s="162">
        <f>F218+F219</f>
        <v>0</v>
      </c>
      <c r="G216" s="89">
        <f t="shared" si="11"/>
        <v>0</v>
      </c>
      <c r="H216" s="115"/>
      <c r="I216" s="115"/>
      <c r="J216" s="91">
        <f>G216-'[1]лист'!G211</f>
        <v>0</v>
      </c>
      <c r="M216" s="81"/>
    </row>
    <row r="217" spans="1:13" s="53" customFormat="1" ht="45" customHeight="1" hidden="1">
      <c r="A217" s="97" t="s">
        <v>149</v>
      </c>
      <c r="B217" s="86" t="s">
        <v>241</v>
      </c>
      <c r="C217" s="86"/>
      <c r="D217" s="168"/>
      <c r="E217" s="86" t="s">
        <v>249</v>
      </c>
      <c r="F217" s="186">
        <v>0</v>
      </c>
      <c r="G217" s="92">
        <v>0</v>
      </c>
      <c r="H217" s="116"/>
      <c r="I217" s="116"/>
      <c r="J217" s="91">
        <f>G217-'[1]лист'!G212</f>
        <v>0</v>
      </c>
      <c r="M217" s="81"/>
    </row>
    <row r="218" spans="1:13" s="53" customFormat="1" ht="51.75" customHeight="1" hidden="1">
      <c r="A218" s="220">
        <v>250380</v>
      </c>
      <c r="B218" s="217" t="s">
        <v>389</v>
      </c>
      <c r="C218" s="86"/>
      <c r="D218" s="168"/>
      <c r="E218" s="86" t="s">
        <v>370</v>
      </c>
      <c r="F218" s="167">
        <v>0</v>
      </c>
      <c r="G218" s="77">
        <f>F218</f>
        <v>0</v>
      </c>
      <c r="H218" s="116"/>
      <c r="I218" s="116"/>
      <c r="J218" s="91">
        <f>G218-'[1]лист'!G213</f>
        <v>0</v>
      </c>
      <c r="M218" s="81"/>
    </row>
    <row r="219" spans="1:13" s="53" customFormat="1" ht="51.75" customHeight="1" hidden="1">
      <c r="A219" s="222"/>
      <c r="B219" s="219"/>
      <c r="C219" s="86"/>
      <c r="D219" s="168"/>
      <c r="E219" s="86" t="s">
        <v>392</v>
      </c>
      <c r="F219" s="167">
        <v>0</v>
      </c>
      <c r="G219" s="77">
        <f>F219</f>
        <v>0</v>
      </c>
      <c r="H219" s="116"/>
      <c r="I219" s="116"/>
      <c r="J219" s="91">
        <f>G219-'[1]лист'!G214</f>
        <v>0</v>
      </c>
      <c r="M219" s="81"/>
    </row>
    <row r="220" spans="1:13" s="53" customFormat="1" ht="47.25">
      <c r="A220" s="87" t="s">
        <v>180</v>
      </c>
      <c r="B220" s="88" t="s">
        <v>88</v>
      </c>
      <c r="C220" s="86"/>
      <c r="D220" s="162">
        <f>D222+D225+D226+D227+D228+D230+D231+D223+D229</f>
        <v>1271893</v>
      </c>
      <c r="E220" s="86"/>
      <c r="F220" s="162">
        <f>F221+F224</f>
        <v>51499</v>
      </c>
      <c r="G220" s="89">
        <f>D220+F220</f>
        <v>1323392</v>
      </c>
      <c r="H220" s="115">
        <f>H221</f>
        <v>62390</v>
      </c>
      <c r="I220" s="115"/>
      <c r="J220" s="91">
        <f>G220-'[1]лист'!G215</f>
        <v>118505</v>
      </c>
      <c r="M220" s="81"/>
    </row>
    <row r="221" spans="1:13" s="53" customFormat="1" ht="53.25" customHeight="1">
      <c r="A221" s="97" t="s">
        <v>211</v>
      </c>
      <c r="B221" s="86" t="s">
        <v>212</v>
      </c>
      <c r="C221" s="86"/>
      <c r="D221" s="157"/>
      <c r="E221" s="86" t="s">
        <v>26</v>
      </c>
      <c r="F221" s="167">
        <f>68812+24300-42080</f>
        <v>51032</v>
      </c>
      <c r="G221" s="77">
        <f>F221</f>
        <v>51032</v>
      </c>
      <c r="H221" s="116">
        <v>62390</v>
      </c>
      <c r="I221" s="115"/>
      <c r="J221" s="91">
        <f>G221-'[1]лист'!G216</f>
        <v>-42080</v>
      </c>
      <c r="M221" s="81"/>
    </row>
    <row r="222" spans="1:14" s="53" customFormat="1" ht="52.5" customHeight="1">
      <c r="A222" s="97" t="s">
        <v>142</v>
      </c>
      <c r="B222" s="86" t="s">
        <v>143</v>
      </c>
      <c r="C222" s="86" t="s">
        <v>413</v>
      </c>
      <c r="D222" s="157">
        <f>510000+114800+43194</f>
        <v>667994</v>
      </c>
      <c r="E222" s="86"/>
      <c r="F222" s="167"/>
      <c r="G222" s="77">
        <f>D222</f>
        <v>667994</v>
      </c>
      <c r="H222" s="116"/>
      <c r="I222" s="116"/>
      <c r="J222" s="91">
        <f>G222-'[1]лист'!G217</f>
        <v>43194</v>
      </c>
      <c r="M222" s="136"/>
      <c r="N222" s="91"/>
    </row>
    <row r="223" spans="1:14" s="53" customFormat="1" ht="71.25" customHeight="1">
      <c r="A223" s="97" t="s">
        <v>136</v>
      </c>
      <c r="B223" s="86" t="s">
        <v>137</v>
      </c>
      <c r="C223" s="86" t="s">
        <v>38</v>
      </c>
      <c r="D223" s="157">
        <v>60000</v>
      </c>
      <c r="E223" s="86"/>
      <c r="F223" s="167"/>
      <c r="G223" s="77">
        <f>D223</f>
        <v>60000</v>
      </c>
      <c r="H223" s="116"/>
      <c r="I223" s="116"/>
      <c r="J223" s="91"/>
      <c r="M223" s="136"/>
      <c r="N223" s="91"/>
    </row>
    <row r="224" spans="1:13" s="53" customFormat="1" ht="95.25" customHeight="1">
      <c r="A224" s="97" t="s">
        <v>119</v>
      </c>
      <c r="B224" s="86" t="s">
        <v>272</v>
      </c>
      <c r="C224" s="86"/>
      <c r="D224" s="157"/>
      <c r="E224" s="86" t="s">
        <v>253</v>
      </c>
      <c r="F224" s="167">
        <f>467</f>
        <v>467</v>
      </c>
      <c r="G224" s="77">
        <f>F224</f>
        <v>467</v>
      </c>
      <c r="H224" s="116"/>
      <c r="I224" s="116"/>
      <c r="J224" s="91">
        <f>G224-'[1]лист'!G218</f>
        <v>0</v>
      </c>
      <c r="M224" s="81"/>
    </row>
    <row r="225" spans="1:14" s="53" customFormat="1" ht="50.25" customHeight="1">
      <c r="A225" s="225" t="s">
        <v>125</v>
      </c>
      <c r="B225" s="224" t="s">
        <v>140</v>
      </c>
      <c r="C225" s="86" t="s">
        <v>40</v>
      </c>
      <c r="D225" s="157">
        <v>155037</v>
      </c>
      <c r="E225" s="86"/>
      <c r="F225" s="173"/>
      <c r="G225" s="77">
        <f aca="true" t="shared" si="12" ref="G225:G231">D225</f>
        <v>155037</v>
      </c>
      <c r="H225" s="116"/>
      <c r="I225" s="116"/>
      <c r="J225" s="91">
        <f>G225-'[1]лист'!G219</f>
        <v>0</v>
      </c>
      <c r="M225" s="136"/>
      <c r="N225" s="91"/>
    </row>
    <row r="226" spans="1:13" s="53" customFormat="1" ht="54" customHeight="1">
      <c r="A226" s="225"/>
      <c r="B226" s="224"/>
      <c r="C226" s="86" t="s">
        <v>413</v>
      </c>
      <c r="D226" s="157">
        <v>66308</v>
      </c>
      <c r="E226" s="86"/>
      <c r="F226" s="173"/>
      <c r="G226" s="77">
        <f t="shared" si="12"/>
        <v>66308</v>
      </c>
      <c r="H226" s="116"/>
      <c r="I226" s="116"/>
      <c r="J226" s="91">
        <f>G226-'[1]лист'!G220</f>
        <v>0</v>
      </c>
      <c r="M226" s="81"/>
    </row>
    <row r="227" spans="1:13" s="53" customFormat="1" ht="52.5" customHeight="1">
      <c r="A227" s="225"/>
      <c r="B227" s="224"/>
      <c r="C227" s="86" t="s">
        <v>41</v>
      </c>
      <c r="D227" s="157">
        <v>233800</v>
      </c>
      <c r="E227" s="86"/>
      <c r="F227" s="173"/>
      <c r="G227" s="77">
        <f t="shared" si="12"/>
        <v>233800</v>
      </c>
      <c r="H227" s="116"/>
      <c r="I227" s="116"/>
      <c r="J227" s="91">
        <f>G227-'[1]лист'!G221</f>
        <v>0</v>
      </c>
      <c r="M227" s="81"/>
    </row>
    <row r="228" spans="1:13" s="53" customFormat="1" ht="71.25" customHeight="1">
      <c r="A228" s="225"/>
      <c r="B228" s="224"/>
      <c r="C228" s="86" t="s">
        <v>48</v>
      </c>
      <c r="D228" s="157">
        <v>5100</v>
      </c>
      <c r="E228" s="86"/>
      <c r="F228" s="173"/>
      <c r="G228" s="77">
        <f t="shared" si="12"/>
        <v>5100</v>
      </c>
      <c r="H228" s="116"/>
      <c r="I228" s="116"/>
      <c r="J228" s="91">
        <f>G228-'[1]лист'!G222</f>
        <v>0</v>
      </c>
      <c r="M228" s="81"/>
    </row>
    <row r="229" spans="1:13" s="53" customFormat="1" ht="71.25" customHeight="1">
      <c r="A229" s="225"/>
      <c r="B229" s="224"/>
      <c r="C229" s="86" t="s">
        <v>171</v>
      </c>
      <c r="D229" s="157">
        <v>57391</v>
      </c>
      <c r="E229" s="86"/>
      <c r="F229" s="173"/>
      <c r="G229" s="77">
        <f t="shared" si="12"/>
        <v>57391</v>
      </c>
      <c r="H229" s="116"/>
      <c r="I229" s="116"/>
      <c r="J229" s="91"/>
      <c r="M229" s="81"/>
    </row>
    <row r="230" spans="1:13" s="53" customFormat="1" ht="66.75" customHeight="1">
      <c r="A230" s="225"/>
      <c r="B230" s="224"/>
      <c r="C230" s="86" t="s">
        <v>51</v>
      </c>
      <c r="D230" s="157">
        <v>25298</v>
      </c>
      <c r="E230" s="86"/>
      <c r="F230" s="173"/>
      <c r="G230" s="77">
        <f t="shared" si="12"/>
        <v>25298</v>
      </c>
      <c r="H230" s="116"/>
      <c r="I230" s="116"/>
      <c r="J230" s="91">
        <f>G230-'[1]лист'!G223</f>
        <v>0</v>
      </c>
      <c r="M230" s="81"/>
    </row>
    <row r="231" spans="1:13" s="53" customFormat="1" ht="63.75" customHeight="1">
      <c r="A231" s="225"/>
      <c r="B231" s="224"/>
      <c r="C231" s="86" t="s">
        <v>36</v>
      </c>
      <c r="D231" s="157">
        <v>965</v>
      </c>
      <c r="E231" s="86"/>
      <c r="F231" s="173"/>
      <c r="G231" s="77">
        <f t="shared" si="12"/>
        <v>965</v>
      </c>
      <c r="H231" s="116"/>
      <c r="I231" s="116"/>
      <c r="J231" s="91">
        <f>G231-'[1]лист'!G224</f>
        <v>0</v>
      </c>
      <c r="M231" s="81"/>
    </row>
    <row r="232" spans="1:13" s="53" customFormat="1" ht="47.25">
      <c r="A232" s="87" t="s">
        <v>181</v>
      </c>
      <c r="B232" s="88" t="s">
        <v>91</v>
      </c>
      <c r="C232" s="86"/>
      <c r="D232" s="162">
        <f>D234+D238+D239+D240+D243+D236+D241+D242</f>
        <v>875890</v>
      </c>
      <c r="E232" s="88"/>
      <c r="F232" s="162">
        <f>F233+F234+F235+F237</f>
        <v>44049</v>
      </c>
      <c r="G232" s="89">
        <f>D232+F232</f>
        <v>919939</v>
      </c>
      <c r="H232" s="115">
        <f>H234</f>
        <v>5146</v>
      </c>
      <c r="I232" s="115"/>
      <c r="J232" s="91">
        <f>G232-'[1]лист'!G225</f>
        <v>85170</v>
      </c>
      <c r="M232" s="81"/>
    </row>
    <row r="233" spans="1:13" s="53" customFormat="1" ht="45.75" customHeight="1">
      <c r="A233" s="97" t="s">
        <v>211</v>
      </c>
      <c r="B233" s="86" t="s">
        <v>212</v>
      </c>
      <c r="C233" s="86"/>
      <c r="D233" s="157"/>
      <c r="E233" s="86" t="s">
        <v>26</v>
      </c>
      <c r="F233" s="167">
        <f>27827-6827</f>
        <v>21000</v>
      </c>
      <c r="G233" s="77">
        <f>F233</f>
        <v>21000</v>
      </c>
      <c r="H233" s="116"/>
      <c r="I233" s="115"/>
      <c r="J233" s="91">
        <f>G233-'[1]лист'!G226</f>
        <v>-6827</v>
      </c>
      <c r="M233" s="81"/>
    </row>
    <row r="234" spans="1:14" s="53" customFormat="1" ht="50.25" customHeight="1">
      <c r="A234" s="225" t="s">
        <v>142</v>
      </c>
      <c r="B234" s="224" t="s">
        <v>143</v>
      </c>
      <c r="C234" s="86" t="s">
        <v>412</v>
      </c>
      <c r="D234" s="157">
        <f>440000+256512-7000</f>
        <v>689512</v>
      </c>
      <c r="E234" s="86" t="s">
        <v>413</v>
      </c>
      <c r="F234" s="167">
        <f>5146+6827</f>
        <v>11973</v>
      </c>
      <c r="G234" s="77">
        <f>D234+F234</f>
        <v>701485</v>
      </c>
      <c r="H234" s="116">
        <v>5146</v>
      </c>
      <c r="I234" s="115"/>
      <c r="J234" s="91">
        <f>G234-'[1]лист'!G227</f>
        <v>6827</v>
      </c>
      <c r="M234" s="136"/>
      <c r="N234" s="91"/>
    </row>
    <row r="235" spans="1:13" s="53" customFormat="1" ht="47.25">
      <c r="A235" s="225"/>
      <c r="B235" s="224"/>
      <c r="C235" s="86"/>
      <c r="D235" s="157"/>
      <c r="E235" s="93" t="s">
        <v>10</v>
      </c>
      <c r="F235" s="191">
        <v>396</v>
      </c>
      <c r="G235" s="114">
        <f>F235</f>
        <v>396</v>
      </c>
      <c r="H235" s="116"/>
      <c r="I235" s="116"/>
      <c r="J235" s="91">
        <f>G235-'[1]лист'!G228</f>
        <v>0</v>
      </c>
      <c r="M235" s="81"/>
    </row>
    <row r="236" spans="1:13" s="53" customFormat="1" ht="63">
      <c r="A236" s="97" t="s">
        <v>136</v>
      </c>
      <c r="B236" s="86" t="s">
        <v>137</v>
      </c>
      <c r="C236" s="86" t="s">
        <v>38</v>
      </c>
      <c r="D236" s="157">
        <v>60000</v>
      </c>
      <c r="E236" s="93"/>
      <c r="F236" s="191"/>
      <c r="G236" s="165">
        <f>F236+D236</f>
        <v>60000</v>
      </c>
      <c r="H236" s="116"/>
      <c r="I236" s="116"/>
      <c r="J236" s="91"/>
      <c r="M236" s="81"/>
    </row>
    <row r="237" spans="1:13" s="53" customFormat="1" ht="99.75" customHeight="1">
      <c r="A237" s="97" t="s">
        <v>119</v>
      </c>
      <c r="B237" s="86" t="s">
        <v>272</v>
      </c>
      <c r="C237" s="86"/>
      <c r="D237" s="157"/>
      <c r="E237" s="86" t="s">
        <v>253</v>
      </c>
      <c r="F237" s="167">
        <f>10680</f>
        <v>10680</v>
      </c>
      <c r="G237" s="77">
        <f>F237</f>
        <v>10680</v>
      </c>
      <c r="H237" s="116"/>
      <c r="I237" s="115"/>
      <c r="J237" s="91">
        <f>G237-'[1]лист'!G229</f>
        <v>0</v>
      </c>
      <c r="M237" s="81"/>
    </row>
    <row r="238" spans="1:14" s="53" customFormat="1" ht="47.25">
      <c r="A238" s="225" t="s">
        <v>125</v>
      </c>
      <c r="B238" s="224" t="s">
        <v>140</v>
      </c>
      <c r="C238" s="86" t="s">
        <v>46</v>
      </c>
      <c r="D238" s="157">
        <v>10800</v>
      </c>
      <c r="E238" s="86"/>
      <c r="F238" s="173"/>
      <c r="G238" s="77">
        <f>D238</f>
        <v>10800</v>
      </c>
      <c r="H238" s="116"/>
      <c r="I238" s="116"/>
      <c r="J238" s="91">
        <f>G238-'[1]лист'!G230</f>
        <v>0</v>
      </c>
      <c r="M238" s="136"/>
      <c r="N238" s="91"/>
    </row>
    <row r="239" spans="1:13" s="53" customFormat="1" ht="56.25" customHeight="1">
      <c r="A239" s="225"/>
      <c r="B239" s="224"/>
      <c r="C239" s="86" t="s">
        <v>41</v>
      </c>
      <c r="D239" s="157">
        <f>31950+31950</f>
        <v>63900</v>
      </c>
      <c r="E239" s="86"/>
      <c r="F239" s="173"/>
      <c r="G239" s="77">
        <f>D239</f>
        <v>63900</v>
      </c>
      <c r="H239" s="116"/>
      <c r="I239" s="116"/>
      <c r="J239" s="91">
        <f>G239-'[1]лист'!G231</f>
        <v>0</v>
      </c>
      <c r="M239" s="81"/>
    </row>
    <row r="240" spans="1:13" s="53" customFormat="1" ht="66.75" customHeight="1">
      <c r="A240" s="225"/>
      <c r="B240" s="224"/>
      <c r="C240" s="86" t="s">
        <v>48</v>
      </c>
      <c r="D240" s="157">
        <v>5100</v>
      </c>
      <c r="E240" s="86"/>
      <c r="F240" s="173"/>
      <c r="G240" s="77">
        <f>D240</f>
        <v>5100</v>
      </c>
      <c r="H240" s="116"/>
      <c r="I240" s="116"/>
      <c r="J240" s="91">
        <f>G240-'[1]лист'!G232</f>
        <v>0</v>
      </c>
      <c r="M240" s="81"/>
    </row>
    <row r="241" spans="1:13" s="53" customFormat="1" ht="66.75" customHeight="1">
      <c r="A241" s="225"/>
      <c r="B241" s="224"/>
      <c r="C241" s="86" t="s">
        <v>412</v>
      </c>
      <c r="D241" s="157">
        <v>9926</v>
      </c>
      <c r="E241" s="86"/>
      <c r="F241" s="173"/>
      <c r="G241" s="77">
        <f>D241+F241</f>
        <v>9926</v>
      </c>
      <c r="H241" s="116"/>
      <c r="I241" s="116"/>
      <c r="J241" s="91"/>
      <c r="M241" s="81"/>
    </row>
    <row r="242" spans="1:13" s="53" customFormat="1" ht="66.75" customHeight="1">
      <c r="A242" s="225"/>
      <c r="B242" s="224"/>
      <c r="C242" s="86" t="s">
        <v>171</v>
      </c>
      <c r="D242" s="157">
        <v>15244</v>
      </c>
      <c r="E242" s="86"/>
      <c r="F242" s="173"/>
      <c r="G242" s="77">
        <f>D242+F242</f>
        <v>15244</v>
      </c>
      <c r="H242" s="116"/>
      <c r="I242" s="116"/>
      <c r="J242" s="91"/>
      <c r="M242" s="81"/>
    </row>
    <row r="243" spans="1:13" s="53" customFormat="1" ht="63">
      <c r="A243" s="225"/>
      <c r="B243" s="224"/>
      <c r="C243" s="86" t="s">
        <v>51</v>
      </c>
      <c r="D243" s="157">
        <v>21408</v>
      </c>
      <c r="E243" s="86"/>
      <c r="F243" s="173"/>
      <c r="G243" s="77">
        <f>D243</f>
        <v>21408</v>
      </c>
      <c r="H243" s="116"/>
      <c r="I243" s="116"/>
      <c r="J243" s="91">
        <f>G243-'[1]лист'!G233</f>
        <v>0</v>
      </c>
      <c r="M243" s="81"/>
    </row>
    <row r="244" spans="1:13" s="53" customFormat="1" ht="47.25">
      <c r="A244" s="87" t="s">
        <v>182</v>
      </c>
      <c r="B244" s="88" t="s">
        <v>92</v>
      </c>
      <c r="C244" s="86"/>
      <c r="D244" s="162">
        <f>D245+D246+D250+D251+D252+D253+D254+D256+D248+D255</f>
        <v>1770702</v>
      </c>
      <c r="E244" s="88"/>
      <c r="F244" s="162">
        <f>F245+F246+F247+F249</f>
        <v>1942602</v>
      </c>
      <c r="G244" s="89">
        <f>D244+F244</f>
        <v>3713304</v>
      </c>
      <c r="H244" s="115">
        <f>H245+H246</f>
        <v>147151</v>
      </c>
      <c r="I244" s="115"/>
      <c r="J244" s="91">
        <f>G244-'[1]лист'!G234</f>
        <v>-2868603</v>
      </c>
      <c r="M244" s="81"/>
    </row>
    <row r="245" spans="1:13" s="53" customFormat="1" ht="53.25" customHeight="1">
      <c r="A245" s="97" t="s">
        <v>211</v>
      </c>
      <c r="B245" s="86" t="s">
        <v>212</v>
      </c>
      <c r="C245" s="86"/>
      <c r="D245" s="157"/>
      <c r="E245" s="86" t="s">
        <v>26</v>
      </c>
      <c r="F245" s="167">
        <f>27975+68300-6975</f>
        <v>89300</v>
      </c>
      <c r="G245" s="77">
        <f>F245</f>
        <v>89300</v>
      </c>
      <c r="H245" s="116">
        <v>14978</v>
      </c>
      <c r="I245" s="115"/>
      <c r="J245" s="91">
        <f>G245-'[1]лист'!G235</f>
        <v>-6975</v>
      </c>
      <c r="M245" s="81"/>
    </row>
    <row r="246" spans="1:14" s="53" customFormat="1" ht="56.25" customHeight="1">
      <c r="A246" s="97" t="s">
        <v>142</v>
      </c>
      <c r="B246" s="86" t="s">
        <v>143</v>
      </c>
      <c r="C246" s="86" t="s">
        <v>413</v>
      </c>
      <c r="D246" s="157">
        <f>710000+652709</f>
        <v>1362709</v>
      </c>
      <c r="E246" s="86" t="s">
        <v>413</v>
      </c>
      <c r="F246" s="167">
        <v>132173</v>
      </c>
      <c r="G246" s="77">
        <f>D246+F246</f>
        <v>1494882</v>
      </c>
      <c r="H246" s="116">
        <v>132173</v>
      </c>
      <c r="I246" s="115"/>
      <c r="J246" s="91">
        <f>G246-'[1]лист'!G236</f>
        <v>0</v>
      </c>
      <c r="M246" s="136"/>
      <c r="N246" s="91"/>
    </row>
    <row r="247" spans="1:13" s="53" customFormat="1" ht="47.25">
      <c r="A247" s="97" t="s">
        <v>132</v>
      </c>
      <c r="B247" s="86" t="s">
        <v>133</v>
      </c>
      <c r="C247" s="86"/>
      <c r="D247" s="157"/>
      <c r="E247" s="86" t="s">
        <v>413</v>
      </c>
      <c r="F247" s="167">
        <f>4407946+288810-2988810</f>
        <v>1707946</v>
      </c>
      <c r="G247" s="77">
        <f>F247</f>
        <v>1707946</v>
      </c>
      <c r="H247" s="116"/>
      <c r="I247" s="115"/>
      <c r="J247" s="91">
        <f>G247-'[1]лист'!G237</f>
        <v>-2988810</v>
      </c>
      <c r="M247" s="81"/>
    </row>
    <row r="248" spans="1:13" s="53" customFormat="1" ht="63">
      <c r="A248" s="97" t="s">
        <v>136</v>
      </c>
      <c r="B248" s="86" t="s">
        <v>137</v>
      </c>
      <c r="C248" s="86" t="s">
        <v>38</v>
      </c>
      <c r="D248" s="157">
        <v>60000</v>
      </c>
      <c r="E248" s="86"/>
      <c r="F248" s="167"/>
      <c r="G248" s="77">
        <f>F248+D248</f>
        <v>60000</v>
      </c>
      <c r="H248" s="116"/>
      <c r="I248" s="115"/>
      <c r="J248" s="91"/>
      <c r="M248" s="81"/>
    </row>
    <row r="249" spans="1:13" s="53" customFormat="1" ht="99.75" customHeight="1">
      <c r="A249" s="97" t="s">
        <v>119</v>
      </c>
      <c r="B249" s="86" t="s">
        <v>272</v>
      </c>
      <c r="C249" s="86"/>
      <c r="D249" s="157"/>
      <c r="E249" s="86" t="s">
        <v>253</v>
      </c>
      <c r="F249" s="167">
        <f>13183</f>
        <v>13183</v>
      </c>
      <c r="G249" s="77">
        <f>F249</f>
        <v>13183</v>
      </c>
      <c r="H249" s="116"/>
      <c r="I249" s="116"/>
      <c r="J249" s="91">
        <f>G249-'[1]лист'!G238</f>
        <v>0</v>
      </c>
      <c r="M249" s="81"/>
    </row>
    <row r="250" spans="1:14" s="53" customFormat="1" ht="54" customHeight="1">
      <c r="A250" s="225" t="s">
        <v>125</v>
      </c>
      <c r="B250" s="224" t="s">
        <v>140</v>
      </c>
      <c r="C250" s="86" t="s">
        <v>46</v>
      </c>
      <c r="D250" s="157">
        <v>108138</v>
      </c>
      <c r="E250" s="86"/>
      <c r="F250" s="173"/>
      <c r="G250" s="77">
        <f aca="true" t="shared" si="13" ref="G250:G256">D250</f>
        <v>108138</v>
      </c>
      <c r="H250" s="116"/>
      <c r="I250" s="116"/>
      <c r="J250" s="91">
        <f>G250-'[1]лист'!G239</f>
        <v>0</v>
      </c>
      <c r="M250" s="136"/>
      <c r="N250" s="91"/>
    </row>
    <row r="251" spans="1:13" s="53" customFormat="1" ht="54" customHeight="1">
      <c r="A251" s="225"/>
      <c r="B251" s="224"/>
      <c r="C251" s="86" t="s">
        <v>413</v>
      </c>
      <c r="D251" s="157">
        <v>66600</v>
      </c>
      <c r="E251" s="86"/>
      <c r="F251" s="173"/>
      <c r="G251" s="77">
        <f t="shared" si="13"/>
        <v>66600</v>
      </c>
      <c r="H251" s="116"/>
      <c r="I251" s="116"/>
      <c r="J251" s="91">
        <f>G251-'[1]лист'!G240</f>
        <v>0</v>
      </c>
      <c r="M251" s="81"/>
    </row>
    <row r="252" spans="1:13" s="53" customFormat="1" ht="53.25" customHeight="1">
      <c r="A252" s="225"/>
      <c r="B252" s="224"/>
      <c r="C252" s="86" t="s">
        <v>41</v>
      </c>
      <c r="D252" s="157">
        <f>38505+20215</f>
        <v>58720</v>
      </c>
      <c r="E252" s="86"/>
      <c r="F252" s="173"/>
      <c r="G252" s="77">
        <f t="shared" si="13"/>
        <v>58720</v>
      </c>
      <c r="H252" s="116"/>
      <c r="I252" s="116"/>
      <c r="J252" s="91">
        <f>G252-'[1]лист'!G241</f>
        <v>0</v>
      </c>
      <c r="M252" s="81"/>
    </row>
    <row r="253" spans="1:13" s="53" customFormat="1" ht="63">
      <c r="A253" s="225"/>
      <c r="B253" s="224"/>
      <c r="C253" s="86" t="s">
        <v>48</v>
      </c>
      <c r="D253" s="157">
        <v>2756</v>
      </c>
      <c r="E253" s="86"/>
      <c r="F253" s="173"/>
      <c r="G253" s="77">
        <f t="shared" si="13"/>
        <v>2756</v>
      </c>
      <c r="H253" s="116"/>
      <c r="I253" s="116"/>
      <c r="J253" s="91">
        <f>G253-'[1]лист'!G242</f>
        <v>0</v>
      </c>
      <c r="M253" s="81"/>
    </row>
    <row r="254" spans="1:13" s="53" customFormat="1" ht="63">
      <c r="A254" s="225"/>
      <c r="B254" s="224"/>
      <c r="C254" s="86" t="s">
        <v>51</v>
      </c>
      <c r="D254" s="157">
        <f>18932+14100</f>
        <v>33032</v>
      </c>
      <c r="E254" s="86"/>
      <c r="F254" s="173"/>
      <c r="G254" s="77">
        <f t="shared" si="13"/>
        <v>33032</v>
      </c>
      <c r="H254" s="116"/>
      <c r="I254" s="116"/>
      <c r="J254" s="91">
        <f>G254-'[1]лист'!G243</f>
        <v>0</v>
      </c>
      <c r="M254" s="81"/>
    </row>
    <row r="255" spans="1:13" s="53" customFormat="1" ht="47.25">
      <c r="A255" s="225"/>
      <c r="B255" s="224"/>
      <c r="C255" s="86" t="s">
        <v>171</v>
      </c>
      <c r="D255" s="157">
        <v>67182</v>
      </c>
      <c r="E255" s="86"/>
      <c r="F255" s="173"/>
      <c r="G255" s="77">
        <f>F255+D255</f>
        <v>67182</v>
      </c>
      <c r="H255" s="116"/>
      <c r="I255" s="116"/>
      <c r="J255" s="91"/>
      <c r="M255" s="81"/>
    </row>
    <row r="256" spans="1:13" s="53" customFormat="1" ht="63">
      <c r="A256" s="225"/>
      <c r="B256" s="224"/>
      <c r="C256" s="86" t="s">
        <v>36</v>
      </c>
      <c r="D256" s="157">
        <v>11565</v>
      </c>
      <c r="E256" s="86"/>
      <c r="F256" s="173"/>
      <c r="G256" s="77">
        <f t="shared" si="13"/>
        <v>11565</v>
      </c>
      <c r="H256" s="116"/>
      <c r="I256" s="116"/>
      <c r="J256" s="91">
        <f>G256-'[1]лист'!G244</f>
        <v>0</v>
      </c>
      <c r="M256" s="81"/>
    </row>
    <row r="257" spans="1:13" s="53" customFormat="1" ht="47.25">
      <c r="A257" s="87" t="s">
        <v>183</v>
      </c>
      <c r="B257" s="88" t="s">
        <v>93</v>
      </c>
      <c r="C257" s="86"/>
      <c r="D257" s="162">
        <f>D259+D263+D264+D265+D266+D267+D269+D261+D262+D268</f>
        <v>1210901</v>
      </c>
      <c r="E257" s="88"/>
      <c r="F257" s="162">
        <f>F258+F259+F260</f>
        <v>148673</v>
      </c>
      <c r="G257" s="90">
        <f>D257+F257</f>
        <v>1359574</v>
      </c>
      <c r="H257" s="115">
        <f>H259</f>
        <v>10000</v>
      </c>
      <c r="I257" s="115"/>
      <c r="J257" s="91">
        <f>G257-'[1]лист'!G245</f>
        <v>-887801</v>
      </c>
      <c r="M257" s="81"/>
    </row>
    <row r="258" spans="1:13" s="53" customFormat="1" ht="47.25">
      <c r="A258" s="97" t="s">
        <v>211</v>
      </c>
      <c r="B258" s="86" t="s">
        <v>212</v>
      </c>
      <c r="C258" s="86"/>
      <c r="D258" s="157"/>
      <c r="E258" s="86" t="s">
        <v>47</v>
      </c>
      <c r="F258" s="167">
        <f>42375+20767</f>
        <v>63142</v>
      </c>
      <c r="G258" s="77">
        <f>F258</f>
        <v>63142</v>
      </c>
      <c r="H258" s="116"/>
      <c r="I258" s="115"/>
      <c r="J258" s="91">
        <f>G258-'[1]лист'!G246</f>
        <v>0</v>
      </c>
      <c r="M258" s="81"/>
    </row>
    <row r="259" spans="1:14" s="53" customFormat="1" ht="47.25">
      <c r="A259" s="97" t="s">
        <v>142</v>
      </c>
      <c r="B259" s="86" t="s">
        <v>143</v>
      </c>
      <c r="C259" s="86" t="s">
        <v>413</v>
      </c>
      <c r="D259" s="157">
        <f>480000+391197+37867</f>
        <v>909064</v>
      </c>
      <c r="E259" s="86" t="s">
        <v>413</v>
      </c>
      <c r="F259" s="167">
        <f>10000+46800</f>
        <v>56800</v>
      </c>
      <c r="G259" s="77">
        <f>D259+F259</f>
        <v>965864</v>
      </c>
      <c r="H259" s="116">
        <v>10000</v>
      </c>
      <c r="I259" s="115"/>
      <c r="J259" s="91">
        <f>G259-'[1]лист'!G247</f>
        <v>37867</v>
      </c>
      <c r="M259" s="136"/>
      <c r="N259" s="91"/>
    </row>
    <row r="260" spans="1:13" s="53" customFormat="1" ht="53.25" customHeight="1">
      <c r="A260" s="97" t="s">
        <v>132</v>
      </c>
      <c r="B260" s="86" t="s">
        <v>133</v>
      </c>
      <c r="C260" s="86"/>
      <c r="D260" s="157"/>
      <c r="E260" s="86" t="s">
        <v>413</v>
      </c>
      <c r="F260" s="167">
        <f>221000+807731-1000000</f>
        <v>28731</v>
      </c>
      <c r="G260" s="77">
        <f>F260</f>
        <v>28731</v>
      </c>
      <c r="H260" s="116"/>
      <c r="I260" s="115"/>
      <c r="J260" s="91">
        <f>G260-'[1]лист'!G248</f>
        <v>-1000000</v>
      </c>
      <c r="M260" s="81"/>
    </row>
    <row r="261" spans="1:13" s="53" customFormat="1" ht="53.25" customHeight="1">
      <c r="A261" s="97" t="s">
        <v>254</v>
      </c>
      <c r="B261" s="86" t="s">
        <v>255</v>
      </c>
      <c r="C261" s="86" t="s">
        <v>355</v>
      </c>
      <c r="D261" s="168">
        <v>22725</v>
      </c>
      <c r="E261" s="86"/>
      <c r="F261" s="167"/>
      <c r="G261" s="77">
        <f>D261+F261</f>
        <v>22725</v>
      </c>
      <c r="H261" s="116"/>
      <c r="I261" s="116"/>
      <c r="J261" s="91">
        <f>G261-'[1]лист'!G249</f>
        <v>0</v>
      </c>
      <c r="M261" s="81"/>
    </row>
    <row r="262" spans="1:13" s="53" customFormat="1" ht="73.5" customHeight="1">
      <c r="A262" s="97" t="s">
        <v>136</v>
      </c>
      <c r="B262" s="86" t="s">
        <v>137</v>
      </c>
      <c r="C262" s="86" t="s">
        <v>38</v>
      </c>
      <c r="D262" s="168">
        <v>60000</v>
      </c>
      <c r="E262" s="86"/>
      <c r="F262" s="167"/>
      <c r="G262" s="77">
        <f>D262+F262</f>
        <v>60000</v>
      </c>
      <c r="H262" s="116"/>
      <c r="I262" s="116"/>
      <c r="J262" s="91"/>
      <c r="M262" s="81"/>
    </row>
    <row r="263" spans="1:14" s="53" customFormat="1" ht="47.25">
      <c r="A263" s="225" t="s">
        <v>125</v>
      </c>
      <c r="B263" s="224" t="s">
        <v>140</v>
      </c>
      <c r="C263" s="86" t="s">
        <v>40</v>
      </c>
      <c r="D263" s="157">
        <v>111797</v>
      </c>
      <c r="E263" s="86"/>
      <c r="F263" s="173"/>
      <c r="G263" s="77">
        <f aca="true" t="shared" si="14" ref="G263:G269">D263</f>
        <v>111797</v>
      </c>
      <c r="H263" s="116"/>
      <c r="I263" s="116"/>
      <c r="J263" s="91">
        <f>G263-'[1]лист'!G250</f>
        <v>0</v>
      </c>
      <c r="M263" s="136"/>
      <c r="N263" s="91"/>
    </row>
    <row r="264" spans="1:13" s="53" customFormat="1" ht="52.5" customHeight="1">
      <c r="A264" s="225"/>
      <c r="B264" s="224"/>
      <c r="C264" s="86" t="s">
        <v>413</v>
      </c>
      <c r="D264" s="157">
        <v>16686</v>
      </c>
      <c r="E264" s="86"/>
      <c r="F264" s="173"/>
      <c r="G264" s="77">
        <f t="shared" si="14"/>
        <v>16686</v>
      </c>
      <c r="H264" s="116"/>
      <c r="I264" s="116"/>
      <c r="J264" s="91">
        <f>G264-'[1]лист'!G251</f>
        <v>0</v>
      </c>
      <c r="M264" s="81"/>
    </row>
    <row r="265" spans="1:13" s="53" customFormat="1" ht="54" customHeight="1">
      <c r="A265" s="225"/>
      <c r="B265" s="224"/>
      <c r="C265" s="86" t="s">
        <v>41</v>
      </c>
      <c r="D265" s="157">
        <f>26015+20991</f>
        <v>47006</v>
      </c>
      <c r="E265" s="86"/>
      <c r="F265" s="173"/>
      <c r="G265" s="77">
        <f t="shared" si="14"/>
        <v>47006</v>
      </c>
      <c r="H265" s="116"/>
      <c r="I265" s="116"/>
      <c r="J265" s="91">
        <f>G265-'[1]лист'!G252</f>
        <v>0</v>
      </c>
      <c r="M265" s="81"/>
    </row>
    <row r="266" spans="1:13" s="53" customFormat="1" ht="68.25" customHeight="1">
      <c r="A266" s="225"/>
      <c r="B266" s="224"/>
      <c r="C266" s="86" t="s">
        <v>48</v>
      </c>
      <c r="D266" s="157">
        <v>4133</v>
      </c>
      <c r="E266" s="86"/>
      <c r="F266" s="173"/>
      <c r="G266" s="77">
        <f t="shared" si="14"/>
        <v>4133</v>
      </c>
      <c r="H266" s="116"/>
      <c r="I266" s="116"/>
      <c r="J266" s="91">
        <f>G266-'[1]лист'!G253</f>
        <v>0</v>
      </c>
      <c r="M266" s="81"/>
    </row>
    <row r="267" spans="1:13" s="53" customFormat="1" ht="63">
      <c r="A267" s="225"/>
      <c r="B267" s="224"/>
      <c r="C267" s="86" t="s">
        <v>51</v>
      </c>
      <c r="D267" s="157">
        <v>23096</v>
      </c>
      <c r="E267" s="86"/>
      <c r="F267" s="173"/>
      <c r="G267" s="77">
        <f t="shared" si="14"/>
        <v>23096</v>
      </c>
      <c r="H267" s="116"/>
      <c r="I267" s="116"/>
      <c r="J267" s="91">
        <f>G267-'[1]лист'!G254</f>
        <v>0</v>
      </c>
      <c r="M267" s="81"/>
    </row>
    <row r="268" spans="1:13" s="53" customFormat="1" ht="47.25">
      <c r="A268" s="225"/>
      <c r="B268" s="224"/>
      <c r="C268" s="86" t="s">
        <v>171</v>
      </c>
      <c r="D268" s="157">
        <v>14332</v>
      </c>
      <c r="E268" s="86"/>
      <c r="F268" s="173"/>
      <c r="G268" s="77">
        <f t="shared" si="14"/>
        <v>14332</v>
      </c>
      <c r="H268" s="116"/>
      <c r="I268" s="116"/>
      <c r="J268" s="91"/>
      <c r="M268" s="81"/>
    </row>
    <row r="269" spans="1:13" s="53" customFormat="1" ht="69.75" customHeight="1">
      <c r="A269" s="225"/>
      <c r="B269" s="224"/>
      <c r="C269" s="86" t="s">
        <v>36</v>
      </c>
      <c r="D269" s="157">
        <v>2062</v>
      </c>
      <c r="E269" s="86"/>
      <c r="F269" s="173"/>
      <c r="G269" s="77">
        <f t="shared" si="14"/>
        <v>2062</v>
      </c>
      <c r="H269" s="116"/>
      <c r="I269" s="116"/>
      <c r="J269" s="91">
        <f>G269-'[1]лист'!G255</f>
        <v>0</v>
      </c>
      <c r="M269" s="81"/>
    </row>
    <row r="270" spans="1:13" s="116" customFormat="1" ht="47.25">
      <c r="A270" s="87" t="s">
        <v>184</v>
      </c>
      <c r="B270" s="88" t="s">
        <v>94</v>
      </c>
      <c r="C270" s="88"/>
      <c r="D270" s="162">
        <f>D271+D273+D276+D277+D278+D279+D280+D282+D274+D281</f>
        <v>1750464</v>
      </c>
      <c r="E270" s="88"/>
      <c r="F270" s="162">
        <f>F272+F275</f>
        <v>78115</v>
      </c>
      <c r="G270" s="89">
        <f>D270+F270</f>
        <v>1828579</v>
      </c>
      <c r="H270" s="115">
        <f>H271</f>
        <v>150458</v>
      </c>
      <c r="I270" s="115"/>
      <c r="J270" s="91">
        <f>G270-'[1]лист'!G256</f>
        <v>159550</v>
      </c>
      <c r="M270" s="138"/>
    </row>
    <row r="271" spans="1:13" s="116" customFormat="1" ht="69" customHeight="1">
      <c r="A271" s="213" t="s">
        <v>211</v>
      </c>
      <c r="B271" s="217" t="s">
        <v>212</v>
      </c>
      <c r="C271" s="86" t="s">
        <v>36</v>
      </c>
      <c r="D271" s="157">
        <v>7791</v>
      </c>
      <c r="E271" s="86"/>
      <c r="F271" s="167"/>
      <c r="G271" s="77">
        <f>D271</f>
        <v>7791</v>
      </c>
      <c r="H271" s="116">
        <v>150458</v>
      </c>
      <c r="J271" s="91">
        <f>G271-'[1]лист'!G257</f>
        <v>0</v>
      </c>
      <c r="M271" s="138"/>
    </row>
    <row r="272" spans="1:13" s="116" customFormat="1" ht="54.75" customHeight="1">
      <c r="A272" s="227"/>
      <c r="B272" s="219"/>
      <c r="C272" s="86"/>
      <c r="D272" s="157"/>
      <c r="E272" s="86" t="s">
        <v>26</v>
      </c>
      <c r="F272" s="167">
        <v>27975</v>
      </c>
      <c r="G272" s="77">
        <f>F272</f>
        <v>27975</v>
      </c>
      <c r="I272" s="115"/>
      <c r="J272" s="91">
        <f>G272-'[1]лист'!G258</f>
        <v>0</v>
      </c>
      <c r="K272" s="53"/>
      <c r="M272" s="138"/>
    </row>
    <row r="273" spans="1:14" s="53" customFormat="1" ht="49.5" customHeight="1">
      <c r="A273" s="97" t="s">
        <v>142</v>
      </c>
      <c r="B273" s="86" t="s">
        <v>143</v>
      </c>
      <c r="C273" s="86" t="s">
        <v>413</v>
      </c>
      <c r="D273" s="157">
        <f>768655+392094</f>
        <v>1160749</v>
      </c>
      <c r="E273" s="86"/>
      <c r="F273" s="167"/>
      <c r="G273" s="77">
        <f>D273</f>
        <v>1160749</v>
      </c>
      <c r="H273" s="116"/>
      <c r="I273" s="116"/>
      <c r="J273" s="91">
        <f>G273-'[1]лист'!G259</f>
        <v>0</v>
      </c>
      <c r="M273" s="136"/>
      <c r="N273" s="91"/>
    </row>
    <row r="274" spans="1:14" s="53" customFormat="1" ht="77.25" customHeight="1">
      <c r="A274" s="97" t="s">
        <v>136</v>
      </c>
      <c r="B274" s="86" t="s">
        <v>137</v>
      </c>
      <c r="C274" s="86" t="s">
        <v>38</v>
      </c>
      <c r="D274" s="157">
        <v>60000</v>
      </c>
      <c r="E274" s="86"/>
      <c r="F274" s="167"/>
      <c r="G274" s="77">
        <f>D274</f>
        <v>60000</v>
      </c>
      <c r="H274" s="116"/>
      <c r="I274" s="116"/>
      <c r="J274" s="91"/>
      <c r="M274" s="136"/>
      <c r="N274" s="91"/>
    </row>
    <row r="275" spans="1:13" s="53" customFormat="1" ht="93.75" customHeight="1">
      <c r="A275" s="97" t="s">
        <v>119</v>
      </c>
      <c r="B275" s="86" t="s">
        <v>272</v>
      </c>
      <c r="C275" s="86"/>
      <c r="D275" s="157"/>
      <c r="E275" s="86" t="s">
        <v>253</v>
      </c>
      <c r="F275" s="167">
        <f>50000+140</f>
        <v>50140</v>
      </c>
      <c r="G275" s="77">
        <f>F275</f>
        <v>50140</v>
      </c>
      <c r="H275" s="116"/>
      <c r="I275" s="115"/>
      <c r="J275" s="91">
        <f>G275-'[1]лист'!G260</f>
        <v>0</v>
      </c>
      <c r="M275" s="81"/>
    </row>
    <row r="276" spans="1:14" s="53" customFormat="1" ht="47.25">
      <c r="A276" s="225" t="s">
        <v>125</v>
      </c>
      <c r="B276" s="224" t="s">
        <v>140</v>
      </c>
      <c r="C276" s="86" t="s">
        <v>46</v>
      </c>
      <c r="D276" s="157">
        <v>245113</v>
      </c>
      <c r="E276" s="86"/>
      <c r="F276" s="173"/>
      <c r="G276" s="77">
        <f aca="true" t="shared" si="15" ref="G276:G282">D276</f>
        <v>245113</v>
      </c>
      <c r="H276" s="116"/>
      <c r="I276" s="116"/>
      <c r="J276" s="91">
        <f>G276-'[1]лист'!G261</f>
        <v>0</v>
      </c>
      <c r="M276" s="136"/>
      <c r="N276" s="91"/>
    </row>
    <row r="277" spans="1:13" s="53" customFormat="1" ht="47.25">
      <c r="A277" s="225"/>
      <c r="B277" s="224"/>
      <c r="C277" s="86" t="s">
        <v>41</v>
      </c>
      <c r="D277" s="157">
        <f>63468+58560</f>
        <v>122028</v>
      </c>
      <c r="E277" s="86"/>
      <c r="F277" s="173"/>
      <c r="G277" s="77">
        <f t="shared" si="15"/>
        <v>122028</v>
      </c>
      <c r="H277" s="116"/>
      <c r="I277" s="116"/>
      <c r="J277" s="91">
        <f>G277-'[1]лист'!G262</f>
        <v>0</v>
      </c>
      <c r="M277" s="81"/>
    </row>
    <row r="278" spans="1:13" s="53" customFormat="1" ht="63">
      <c r="A278" s="225"/>
      <c r="B278" s="224"/>
      <c r="C278" s="86" t="s">
        <v>48</v>
      </c>
      <c r="D278" s="157">
        <v>3100</v>
      </c>
      <c r="E278" s="86"/>
      <c r="F278" s="173"/>
      <c r="G278" s="77">
        <f t="shared" si="15"/>
        <v>3100</v>
      </c>
      <c r="H278" s="116"/>
      <c r="I278" s="116"/>
      <c r="J278" s="91">
        <f>G278-'[1]лист'!G263</f>
        <v>0</v>
      </c>
      <c r="M278" s="81"/>
    </row>
    <row r="279" spans="1:13" s="53" customFormat="1" ht="63">
      <c r="A279" s="225"/>
      <c r="B279" s="224"/>
      <c r="C279" s="86" t="s">
        <v>51</v>
      </c>
      <c r="D279" s="157">
        <v>18610</v>
      </c>
      <c r="E279" s="86"/>
      <c r="F279" s="173"/>
      <c r="G279" s="77">
        <f t="shared" si="15"/>
        <v>18610</v>
      </c>
      <c r="H279" s="116"/>
      <c r="I279" s="116"/>
      <c r="J279" s="91">
        <f>G279-'[1]лист'!G264</f>
        <v>0</v>
      </c>
      <c r="M279" s="81"/>
    </row>
    <row r="280" spans="1:13" s="53" customFormat="1" ht="47.25">
      <c r="A280" s="225"/>
      <c r="B280" s="224"/>
      <c r="C280" s="86" t="s">
        <v>413</v>
      </c>
      <c r="D280" s="157">
        <v>32058</v>
      </c>
      <c r="E280" s="86"/>
      <c r="F280" s="173"/>
      <c r="G280" s="77">
        <f t="shared" si="15"/>
        <v>32058</v>
      </c>
      <c r="H280" s="116"/>
      <c r="I280" s="116"/>
      <c r="J280" s="91">
        <f>G280-'[1]лист'!G265</f>
        <v>0</v>
      </c>
      <c r="M280" s="81"/>
    </row>
    <row r="281" spans="1:13" s="53" customFormat="1" ht="47.25">
      <c r="A281" s="225"/>
      <c r="B281" s="224"/>
      <c r="C281" s="86" t="s">
        <v>171</v>
      </c>
      <c r="D281" s="157">
        <f>99200+350</f>
        <v>99550</v>
      </c>
      <c r="E281" s="86"/>
      <c r="F281" s="173"/>
      <c r="G281" s="77">
        <f>D281+F281</f>
        <v>99550</v>
      </c>
      <c r="H281" s="116"/>
      <c r="I281" s="116"/>
      <c r="J281" s="91"/>
      <c r="M281" s="81"/>
    </row>
    <row r="282" spans="1:13" s="53" customFormat="1" ht="65.25" customHeight="1">
      <c r="A282" s="225"/>
      <c r="B282" s="224"/>
      <c r="C282" s="86" t="s">
        <v>36</v>
      </c>
      <c r="D282" s="157">
        <v>1465</v>
      </c>
      <c r="E282" s="86"/>
      <c r="F282" s="173"/>
      <c r="G282" s="77">
        <f t="shared" si="15"/>
        <v>1465</v>
      </c>
      <c r="H282" s="116"/>
      <c r="I282" s="116"/>
      <c r="J282" s="91">
        <f>G282-'[1]лист'!G266</f>
        <v>0</v>
      </c>
      <c r="M282" s="81"/>
    </row>
    <row r="283" spans="1:13" s="116" customFormat="1" ht="47.25">
      <c r="A283" s="87" t="s">
        <v>185</v>
      </c>
      <c r="B283" s="88" t="s">
        <v>95</v>
      </c>
      <c r="C283" s="88"/>
      <c r="D283" s="162">
        <f>D286+D289+D290+D291+D292+D294+D295+D287+D293</f>
        <v>1311711</v>
      </c>
      <c r="E283" s="88"/>
      <c r="F283" s="162">
        <f>F284+F285+F286+F288</f>
        <v>101237</v>
      </c>
      <c r="G283" s="90">
        <f>D283+F283</f>
        <v>1412948</v>
      </c>
      <c r="H283" s="115">
        <f>H288</f>
        <v>52167</v>
      </c>
      <c r="I283" s="115"/>
      <c r="J283" s="91">
        <f>G283-'[1]лист'!G267</f>
        <v>84832</v>
      </c>
      <c r="M283" s="138"/>
    </row>
    <row r="284" spans="1:13" s="116" customFormat="1" ht="49.5" customHeight="1">
      <c r="A284" s="97" t="s">
        <v>211</v>
      </c>
      <c r="B284" s="86" t="s">
        <v>212</v>
      </c>
      <c r="C284" s="86"/>
      <c r="D284" s="157"/>
      <c r="E284" s="86" t="s">
        <v>47</v>
      </c>
      <c r="F284" s="167">
        <f>27975-6975</f>
        <v>21000</v>
      </c>
      <c r="G284" s="77">
        <f>F284</f>
        <v>21000</v>
      </c>
      <c r="I284" s="115"/>
      <c r="J284" s="91">
        <f>G284-'[1]лист'!G268</f>
        <v>0</v>
      </c>
      <c r="L284" s="115"/>
      <c r="M284" s="138"/>
    </row>
    <row r="285" spans="1:13" s="116" customFormat="1" ht="49.5" customHeight="1">
      <c r="A285" s="97" t="s">
        <v>132</v>
      </c>
      <c r="B285" s="86" t="s">
        <v>133</v>
      </c>
      <c r="C285" s="86"/>
      <c r="D285" s="157"/>
      <c r="E285" s="86" t="s">
        <v>413</v>
      </c>
      <c r="F285" s="167">
        <f>3000+758</f>
        <v>3758</v>
      </c>
      <c r="G285" s="77">
        <f>F285</f>
        <v>3758</v>
      </c>
      <c r="I285" s="115"/>
      <c r="J285" s="91">
        <f>G285-'[1]лист'!G269</f>
        <v>0</v>
      </c>
      <c r="M285" s="138"/>
    </row>
    <row r="286" spans="1:14" s="53" customFormat="1" ht="53.25" customHeight="1">
      <c r="A286" s="97" t="s">
        <v>142</v>
      </c>
      <c r="B286" s="86" t="s">
        <v>143</v>
      </c>
      <c r="C286" s="86" t="s">
        <v>413</v>
      </c>
      <c r="D286" s="157">
        <f>650000+398852</f>
        <v>1048852</v>
      </c>
      <c r="E286" s="86"/>
      <c r="F286" s="167"/>
      <c r="G286" s="77">
        <f>D286+F286</f>
        <v>1048852</v>
      </c>
      <c r="H286" s="116"/>
      <c r="I286" s="116"/>
      <c r="J286" s="91">
        <f>G286-'[1]лист'!G270</f>
        <v>0</v>
      </c>
      <c r="M286" s="136"/>
      <c r="N286" s="91"/>
    </row>
    <row r="287" spans="1:14" s="53" customFormat="1" ht="73.5" customHeight="1">
      <c r="A287" s="97" t="s">
        <v>136</v>
      </c>
      <c r="B287" s="86" t="s">
        <v>137</v>
      </c>
      <c r="C287" s="86" t="s">
        <v>38</v>
      </c>
      <c r="D287" s="157">
        <v>60000</v>
      </c>
      <c r="E287" s="86"/>
      <c r="F287" s="167"/>
      <c r="G287" s="77">
        <f>D287+F287</f>
        <v>60000</v>
      </c>
      <c r="H287" s="116"/>
      <c r="I287" s="116"/>
      <c r="J287" s="91"/>
      <c r="M287" s="136"/>
      <c r="N287" s="91"/>
    </row>
    <row r="288" spans="1:13" s="53" customFormat="1" ht="93.75" customHeight="1">
      <c r="A288" s="97" t="s">
        <v>119</v>
      </c>
      <c r="B288" s="86" t="s">
        <v>272</v>
      </c>
      <c r="C288" s="86"/>
      <c r="D288" s="157"/>
      <c r="E288" s="86" t="s">
        <v>253</v>
      </c>
      <c r="F288" s="167">
        <f>50000+26479</f>
        <v>76479</v>
      </c>
      <c r="G288" s="77">
        <f>F288</f>
        <v>76479</v>
      </c>
      <c r="H288" s="116">
        <v>52167</v>
      </c>
      <c r="I288" s="115"/>
      <c r="J288" s="91">
        <f>G288-'[1]лист'!G271</f>
        <v>0</v>
      </c>
      <c r="M288" s="81"/>
    </row>
    <row r="289" spans="1:14" s="53" customFormat="1" ht="50.25" customHeight="1">
      <c r="A289" s="225" t="s">
        <v>125</v>
      </c>
      <c r="B289" s="224" t="s">
        <v>140</v>
      </c>
      <c r="C289" s="86" t="s">
        <v>40</v>
      </c>
      <c r="D289" s="157">
        <v>72092</v>
      </c>
      <c r="E289" s="86"/>
      <c r="F289" s="173"/>
      <c r="G289" s="77">
        <f aca="true" t="shared" si="16" ref="G289:G295">D289</f>
        <v>72092</v>
      </c>
      <c r="H289" s="116"/>
      <c r="I289" s="116"/>
      <c r="J289" s="91">
        <f>G289-'[1]лист'!G272</f>
        <v>0</v>
      </c>
      <c r="M289" s="136"/>
      <c r="N289" s="91"/>
    </row>
    <row r="290" spans="1:13" s="53" customFormat="1" ht="50.25" customHeight="1">
      <c r="A290" s="225"/>
      <c r="B290" s="224"/>
      <c r="C290" s="86" t="s">
        <v>41</v>
      </c>
      <c r="D290" s="157">
        <v>43038</v>
      </c>
      <c r="E290" s="86"/>
      <c r="F290" s="173"/>
      <c r="G290" s="77">
        <f t="shared" si="16"/>
        <v>43038</v>
      </c>
      <c r="H290" s="116"/>
      <c r="I290" s="116"/>
      <c r="J290" s="91">
        <f>G290-'[1]лист'!G273</f>
        <v>0</v>
      </c>
      <c r="M290" s="81"/>
    </row>
    <row r="291" spans="1:13" s="53" customFormat="1" ht="66" customHeight="1">
      <c r="A291" s="225"/>
      <c r="B291" s="224"/>
      <c r="C291" s="86" t="s">
        <v>48</v>
      </c>
      <c r="D291" s="157">
        <v>2067</v>
      </c>
      <c r="E291" s="86"/>
      <c r="F291" s="173"/>
      <c r="G291" s="77">
        <f t="shared" si="16"/>
        <v>2067</v>
      </c>
      <c r="H291" s="116"/>
      <c r="I291" s="116"/>
      <c r="J291" s="91">
        <f>G291-'[1]лист'!G274</f>
        <v>0</v>
      </c>
      <c r="M291" s="81"/>
    </row>
    <row r="292" spans="1:13" s="53" customFormat="1" ht="69.75" customHeight="1">
      <c r="A292" s="225"/>
      <c r="B292" s="224"/>
      <c r="C292" s="86" t="s">
        <v>51</v>
      </c>
      <c r="D292" s="157">
        <v>26781</v>
      </c>
      <c r="E292" s="86"/>
      <c r="F292" s="173"/>
      <c r="G292" s="77">
        <f t="shared" si="16"/>
        <v>26781</v>
      </c>
      <c r="H292" s="116"/>
      <c r="I292" s="116"/>
      <c r="J292" s="91">
        <f>G292-'[1]лист'!G275</f>
        <v>0</v>
      </c>
      <c r="M292" s="81"/>
    </row>
    <row r="293" spans="1:13" s="53" customFormat="1" ht="69.75" customHeight="1">
      <c r="A293" s="225"/>
      <c r="B293" s="224"/>
      <c r="C293" s="86" t="s">
        <v>171</v>
      </c>
      <c r="D293" s="157">
        <v>24832</v>
      </c>
      <c r="E293" s="86"/>
      <c r="F293" s="173"/>
      <c r="G293" s="77">
        <f t="shared" si="16"/>
        <v>24832</v>
      </c>
      <c r="H293" s="116"/>
      <c r="I293" s="116"/>
      <c r="J293" s="91"/>
      <c r="M293" s="81"/>
    </row>
    <row r="294" spans="1:13" s="53" customFormat="1" ht="53.25" customHeight="1">
      <c r="A294" s="225"/>
      <c r="B294" s="224"/>
      <c r="C294" s="86" t="s">
        <v>413</v>
      </c>
      <c r="D294" s="157">
        <v>33132</v>
      </c>
      <c r="E294" s="86"/>
      <c r="F294" s="173"/>
      <c r="G294" s="77">
        <f t="shared" si="16"/>
        <v>33132</v>
      </c>
      <c r="H294" s="116"/>
      <c r="I294" s="116"/>
      <c r="J294" s="91">
        <f>G294-'[1]лист'!G276</f>
        <v>0</v>
      </c>
      <c r="M294" s="81"/>
    </row>
    <row r="295" spans="1:13" s="53" customFormat="1" ht="69" customHeight="1">
      <c r="A295" s="225"/>
      <c r="B295" s="224"/>
      <c r="C295" s="86" t="s">
        <v>19</v>
      </c>
      <c r="D295" s="157">
        <v>917</v>
      </c>
      <c r="E295" s="86"/>
      <c r="F295" s="173"/>
      <c r="G295" s="77">
        <f t="shared" si="16"/>
        <v>917</v>
      </c>
      <c r="H295" s="116"/>
      <c r="I295" s="116"/>
      <c r="J295" s="91">
        <f>G295-'[1]лист'!G277</f>
        <v>0</v>
      </c>
      <c r="M295" s="81"/>
    </row>
    <row r="296" spans="1:13" s="53" customFormat="1" ht="46.5" customHeight="1">
      <c r="A296" s="87" t="s">
        <v>186</v>
      </c>
      <c r="B296" s="88" t="s">
        <v>96</v>
      </c>
      <c r="C296" s="86"/>
      <c r="D296" s="162">
        <f>D297+D299+D301+D302+D303+D304+D306+D307+D300+D305</f>
        <v>1303980</v>
      </c>
      <c r="E296" s="86"/>
      <c r="F296" s="162">
        <f>F298+F299</f>
        <v>97047</v>
      </c>
      <c r="G296" s="89">
        <f>D296+F296</f>
        <v>1401027</v>
      </c>
      <c r="H296" s="115">
        <f>H297</f>
        <v>18530</v>
      </c>
      <c r="I296" s="115"/>
      <c r="J296" s="91">
        <f>G296-'[1]лист'!G278</f>
        <v>154850</v>
      </c>
      <c r="M296" s="81"/>
    </row>
    <row r="297" spans="1:13" s="53" customFormat="1" ht="63">
      <c r="A297" s="225" t="s">
        <v>211</v>
      </c>
      <c r="B297" s="224" t="s">
        <v>212</v>
      </c>
      <c r="C297" s="86" t="s">
        <v>36</v>
      </c>
      <c r="D297" s="157">
        <v>339</v>
      </c>
      <c r="E297" s="86"/>
      <c r="F297" s="162"/>
      <c r="G297" s="77">
        <f>D297</f>
        <v>339</v>
      </c>
      <c r="H297" s="115">
        <v>18530</v>
      </c>
      <c r="I297" s="115"/>
      <c r="J297" s="91">
        <f>G297-'[1]лист'!G279</f>
        <v>0</v>
      </c>
      <c r="M297" s="81"/>
    </row>
    <row r="298" spans="1:13" s="53" customFormat="1" ht="47.25">
      <c r="A298" s="225"/>
      <c r="B298" s="224"/>
      <c r="C298" s="86"/>
      <c r="D298" s="157"/>
      <c r="E298" s="86" t="s">
        <v>47</v>
      </c>
      <c r="F298" s="167">
        <v>27975</v>
      </c>
      <c r="G298" s="77">
        <f>F298</f>
        <v>27975</v>
      </c>
      <c r="H298" s="116"/>
      <c r="I298" s="115"/>
      <c r="J298" s="91">
        <f>G298-'[1]лист'!G280</f>
        <v>0</v>
      </c>
      <c r="M298" s="81"/>
    </row>
    <row r="299" spans="1:14" s="53" customFormat="1" ht="47.25">
      <c r="A299" s="97" t="s">
        <v>142</v>
      </c>
      <c r="B299" s="86" t="s">
        <v>143</v>
      </c>
      <c r="C299" s="86" t="s">
        <v>413</v>
      </c>
      <c r="D299" s="157">
        <f>527000+373536</f>
        <v>900536</v>
      </c>
      <c r="E299" s="86" t="s">
        <v>413</v>
      </c>
      <c r="F299" s="167">
        <v>69072</v>
      </c>
      <c r="G299" s="77">
        <f>D299+F299</f>
        <v>969608</v>
      </c>
      <c r="H299" s="116"/>
      <c r="I299" s="115"/>
      <c r="J299" s="91">
        <f>G299-'[1]лист'!G281</f>
        <v>0</v>
      </c>
      <c r="M299" s="136"/>
      <c r="N299" s="91"/>
    </row>
    <row r="300" spans="1:14" s="53" customFormat="1" ht="63">
      <c r="A300" s="97" t="s">
        <v>136</v>
      </c>
      <c r="B300" s="86" t="s">
        <v>137</v>
      </c>
      <c r="C300" s="86" t="s">
        <v>38</v>
      </c>
      <c r="D300" s="157">
        <v>60000</v>
      </c>
      <c r="E300" s="86"/>
      <c r="F300" s="167"/>
      <c r="G300" s="77">
        <f>D300+F300</f>
        <v>60000</v>
      </c>
      <c r="H300" s="116"/>
      <c r="I300" s="115"/>
      <c r="J300" s="91"/>
      <c r="M300" s="136"/>
      <c r="N300" s="91"/>
    </row>
    <row r="301" spans="1:14" s="53" customFormat="1" ht="47.25">
      <c r="A301" s="225" t="s">
        <v>125</v>
      </c>
      <c r="B301" s="224" t="s">
        <v>140</v>
      </c>
      <c r="C301" s="86" t="s">
        <v>40</v>
      </c>
      <c r="D301" s="157">
        <v>100929</v>
      </c>
      <c r="E301" s="86"/>
      <c r="F301" s="173"/>
      <c r="G301" s="77">
        <f aca="true" t="shared" si="17" ref="G301:G307">D301</f>
        <v>100929</v>
      </c>
      <c r="H301" s="116"/>
      <c r="I301" s="116"/>
      <c r="J301" s="91">
        <f>G301-'[1]лист'!G282</f>
        <v>0</v>
      </c>
      <c r="M301" s="136"/>
      <c r="N301" s="91"/>
    </row>
    <row r="302" spans="1:13" s="53" customFormat="1" ht="47.25">
      <c r="A302" s="225"/>
      <c r="B302" s="224"/>
      <c r="C302" s="86" t="s">
        <v>41</v>
      </c>
      <c r="D302" s="157">
        <f>60000+30000</f>
        <v>90000</v>
      </c>
      <c r="E302" s="86"/>
      <c r="F302" s="173"/>
      <c r="G302" s="77">
        <f t="shared" si="17"/>
        <v>90000</v>
      </c>
      <c r="H302" s="116"/>
      <c r="I302" s="116"/>
      <c r="J302" s="91">
        <f>G302-'[1]лист'!G283</f>
        <v>0</v>
      </c>
      <c r="M302" s="81"/>
    </row>
    <row r="303" spans="1:13" s="53" customFormat="1" ht="63">
      <c r="A303" s="225"/>
      <c r="B303" s="224"/>
      <c r="C303" s="86" t="s">
        <v>48</v>
      </c>
      <c r="D303" s="157">
        <v>3500</v>
      </c>
      <c r="E303" s="86"/>
      <c r="F303" s="173"/>
      <c r="G303" s="77">
        <f t="shared" si="17"/>
        <v>3500</v>
      </c>
      <c r="H303" s="116"/>
      <c r="I303" s="116"/>
      <c r="J303" s="91">
        <f>G303-'[1]лист'!G284</f>
        <v>0</v>
      </c>
      <c r="M303" s="81"/>
    </row>
    <row r="304" spans="1:13" s="53" customFormat="1" ht="63">
      <c r="A304" s="225"/>
      <c r="B304" s="224"/>
      <c r="C304" s="86" t="s">
        <v>51</v>
      </c>
      <c r="D304" s="157">
        <v>19000</v>
      </c>
      <c r="E304" s="86"/>
      <c r="F304" s="173"/>
      <c r="G304" s="77">
        <f t="shared" si="17"/>
        <v>19000</v>
      </c>
      <c r="H304" s="116"/>
      <c r="I304" s="116"/>
      <c r="J304" s="91">
        <f>G304-'[1]лист'!G285</f>
        <v>0</v>
      </c>
      <c r="M304" s="81"/>
    </row>
    <row r="305" spans="1:13" s="53" customFormat="1" ht="47.25">
      <c r="A305" s="225"/>
      <c r="B305" s="224"/>
      <c r="C305" s="86" t="s">
        <v>171</v>
      </c>
      <c r="D305" s="157">
        <v>94850</v>
      </c>
      <c r="E305" s="86"/>
      <c r="F305" s="173"/>
      <c r="G305" s="77">
        <f t="shared" si="17"/>
        <v>94850</v>
      </c>
      <c r="H305" s="116"/>
      <c r="I305" s="116"/>
      <c r="J305" s="91"/>
      <c r="M305" s="81"/>
    </row>
    <row r="306" spans="1:13" s="53" customFormat="1" ht="47.25">
      <c r="A306" s="225"/>
      <c r="B306" s="224"/>
      <c r="C306" s="86" t="s">
        <v>413</v>
      </c>
      <c r="D306" s="157">
        <v>32792</v>
      </c>
      <c r="E306" s="86"/>
      <c r="F306" s="173"/>
      <c r="G306" s="77">
        <f t="shared" si="17"/>
        <v>32792</v>
      </c>
      <c r="H306" s="116"/>
      <c r="I306" s="116"/>
      <c r="J306" s="91">
        <f>G306-'[1]лист'!G286</f>
        <v>0</v>
      </c>
      <c r="M306" s="81"/>
    </row>
    <row r="307" spans="1:13" s="53" customFormat="1" ht="68.25" customHeight="1">
      <c r="A307" s="225"/>
      <c r="B307" s="224"/>
      <c r="C307" s="86" t="s">
        <v>36</v>
      </c>
      <c r="D307" s="157">
        <v>2034</v>
      </c>
      <c r="E307" s="86"/>
      <c r="F307" s="173"/>
      <c r="G307" s="77">
        <f t="shared" si="17"/>
        <v>2034</v>
      </c>
      <c r="H307" s="116"/>
      <c r="I307" s="116"/>
      <c r="J307" s="91">
        <f>G307-'[1]лист'!G287</f>
        <v>0</v>
      </c>
      <c r="M307" s="81"/>
    </row>
    <row r="308" spans="1:13" s="117" customFormat="1" ht="15.75">
      <c r="A308" s="88"/>
      <c r="B308" s="88" t="s">
        <v>114</v>
      </c>
      <c r="C308" s="88"/>
      <c r="D308" s="170">
        <f>D11+D24+D72+D96+D118+D140+D145+D173+D176+D184+D187+D190+D202+D207+D212+D216+D220+D232+D244+D257+D270+D283+D296</f>
        <v>321361596</v>
      </c>
      <c r="E308" s="112"/>
      <c r="F308" s="170">
        <f>F11+F24+F72+F96+F118+F140+F145+F173+F176+F184+F187+F190+F202+F207+F212+F216+F220+F232+F244+F257+F270+F283+F296+F116</f>
        <v>349180131</v>
      </c>
      <c r="G308" s="90">
        <f>D308+F308</f>
        <v>670541727</v>
      </c>
      <c r="H308" s="153">
        <f>H11+H24+H72+H96+H118+H204+H205+H220+H232+H244+H257+H270+H283+H296</f>
        <v>55353200</v>
      </c>
      <c r="I308" s="153">
        <f>F308-H308</f>
        <v>293826931</v>
      </c>
      <c r="J308" s="91">
        <f>G308-'[1]лист'!G288</f>
        <v>-621270</v>
      </c>
      <c r="K308" s="118"/>
      <c r="M308" s="139"/>
    </row>
    <row r="309" spans="1:14" ht="15" customHeight="1">
      <c r="A309" s="119"/>
      <c r="B309" s="119"/>
      <c r="C309" s="119"/>
      <c r="D309" s="179"/>
      <c r="E309" s="119"/>
      <c r="F309" s="179"/>
      <c r="G309" s="120"/>
      <c r="H309" s="144">
        <v>671162997</v>
      </c>
      <c r="N309" s="121"/>
    </row>
    <row r="310" spans="1:13" s="124" customFormat="1" ht="35.25" customHeight="1">
      <c r="A310" s="232" t="s">
        <v>246</v>
      </c>
      <c r="B310" s="232"/>
      <c r="C310" s="122"/>
      <c r="D310" s="180"/>
      <c r="E310" s="123"/>
      <c r="F310" s="192" t="s">
        <v>247</v>
      </c>
      <c r="H310" s="195">
        <f>G308-H309</f>
        <v>-621270</v>
      </c>
      <c r="I310" s="147">
        <f>303358+9450+1335647+800000-40000-1341696-1000000-67389-94486+225250-257232-42080+43194+37867+50000-65000</f>
        <v>-103117</v>
      </c>
      <c r="J310" s="196">
        <f>H310-I310</f>
        <v>-518153</v>
      </c>
      <c r="M310" s="140"/>
    </row>
    <row r="311" spans="6:7" ht="18" customHeight="1">
      <c r="F311" s="193"/>
      <c r="G311" s="118"/>
    </row>
    <row r="312" spans="4:7" ht="18" customHeight="1">
      <c r="D312" s="181">
        <f>D296+D283+D270+D257+D244+D232+D220+D212+D207+D202+D190+D187+D184+D176+D173+D145+D140+D118+D116+D96+D72+D24+D11</f>
        <v>321361596</v>
      </c>
      <c r="F312" s="194">
        <f>F296+F283+F270+F257+F244+F232+F220+F212+F207+F202+F190+F187+F184+F176+F173+F145+F140+F118+F116+F96+F72+F24+F11</f>
        <v>349180131</v>
      </c>
      <c r="G312" s="118">
        <f>G296+G283+G270+G257+G244+G232+G220+G212+G207+G202+G190+G187+G184+G176+G173+G145+G140+G118+G116+G96+G72+G24+G11</f>
        <v>670541727</v>
      </c>
    </row>
    <row r="313" spans="4:7" ht="18" customHeight="1">
      <c r="D313" s="181">
        <f>D308-D312</f>
        <v>0</v>
      </c>
      <c r="F313" s="181">
        <f>F308-F312</f>
        <v>0</v>
      </c>
      <c r="G313" s="125">
        <f>G308-G312</f>
        <v>0</v>
      </c>
    </row>
    <row r="314" spans="3:7" ht="18" customHeight="1">
      <c r="C314" s="78" t="s">
        <v>169</v>
      </c>
      <c r="D314" s="181">
        <f>D22+D229+D242+D255+D268+D281+D293+D305</f>
        <v>873381</v>
      </c>
      <c r="E314" s="125"/>
      <c r="F314" s="181"/>
      <c r="G314" s="125">
        <f>G22+G229+G242+G255+G268+G281+G293+G305</f>
        <v>873381</v>
      </c>
    </row>
    <row r="315" spans="3:7" ht="15.75">
      <c r="C315" s="78" t="s">
        <v>318</v>
      </c>
      <c r="D315" s="181">
        <v>0</v>
      </c>
      <c r="F315" s="181">
        <f>F298+F284+F272+F258+F245+F233+F221+F213+F208+F203+F191+F188+F185+F177+F174+F146+F141+F117+F97+F73+F25+F12</f>
        <v>2042519</v>
      </c>
      <c r="G315" s="125">
        <f>G298+G284+G272+G258+G245+G233+G221+G213+G208+G203+G191+G188+G185+G177+G174+G146+G141+G117+G97+G73+G25+G12</f>
        <v>2042519</v>
      </c>
    </row>
    <row r="316" spans="3:7" ht="15.75">
      <c r="C316" s="78" t="s">
        <v>319</v>
      </c>
      <c r="D316" s="181">
        <f>D13+D26+D30+D35+D37+D43+D44+D47+D49+D50+D60+D63+D74+D79++D98+D99+D105+D120+D124+D126+D130+D134+D138+D147+D175+D206+D214+D231+D256+D269+D271+D282+D295+D297+D307</f>
        <v>702323</v>
      </c>
      <c r="F316" s="181">
        <v>0</v>
      </c>
      <c r="G316" s="125">
        <f>G13+G26+G30+G35+G37+G43+G44+G47+G49+G50+G60+G63+G74+G79+G98+G99+G105+G120+G124+G126+G130+G134+G138+G147+G175+G206+G214+G231+G256+G269+G271+G282+G295+G297+G307</f>
        <v>702323</v>
      </c>
    </row>
    <row r="317" spans="3:7" ht="15.75">
      <c r="C317" s="78" t="s">
        <v>320</v>
      </c>
      <c r="D317" s="181">
        <f>D14</f>
        <v>528500</v>
      </c>
      <c r="F317" s="181">
        <v>0</v>
      </c>
      <c r="G317" s="125">
        <f>G14</f>
        <v>528500</v>
      </c>
    </row>
    <row r="318" spans="3:7" ht="15.75">
      <c r="C318" s="78" t="s">
        <v>463</v>
      </c>
      <c r="D318" s="181">
        <f>D19</f>
        <v>289189</v>
      </c>
      <c r="F318" s="181">
        <f>F16</f>
        <v>415760</v>
      </c>
      <c r="G318" s="125">
        <f>G19+G16</f>
        <v>704949</v>
      </c>
    </row>
    <row r="319" spans="3:7" ht="15.75">
      <c r="C319" s="78" t="s">
        <v>321</v>
      </c>
      <c r="D319" s="181">
        <v>0</v>
      </c>
      <c r="F319" s="181">
        <f>F288+F275+F249+F237+F224+F115+F17</f>
        <v>579369</v>
      </c>
      <c r="G319" s="125">
        <f>G288+G275+G249+G237+G224+G115+G17</f>
        <v>579369</v>
      </c>
    </row>
    <row r="320" spans="3:7" ht="15.75">
      <c r="C320" s="78" t="s">
        <v>462</v>
      </c>
      <c r="D320" s="181">
        <f>D18</f>
        <v>295150</v>
      </c>
      <c r="F320" s="181">
        <v>0</v>
      </c>
      <c r="G320" s="125">
        <f>G18</f>
        <v>295150</v>
      </c>
    </row>
    <row r="321" spans="3:13" s="132" customFormat="1" ht="15.75">
      <c r="C321" s="132" t="s">
        <v>456</v>
      </c>
      <c r="D321" s="181">
        <f>D20</f>
        <v>3602413</v>
      </c>
      <c r="F321" s="181">
        <v>0</v>
      </c>
      <c r="G321" s="125">
        <f>G20</f>
        <v>3602413</v>
      </c>
      <c r="H321" s="148"/>
      <c r="I321" s="148"/>
      <c r="M321" s="141"/>
    </row>
    <row r="322" spans="3:8" ht="15.75">
      <c r="C322" s="78" t="s">
        <v>322</v>
      </c>
      <c r="D322" s="181">
        <f>D306+D299+D294+D286+D280+D273+D264+D259+D251+D246+D234+D226+D222+D211+D181+D170+D157+D155+D149+D148+D21+D241</f>
        <v>116293336</v>
      </c>
      <c r="F322" s="181">
        <f>F299+F285+F260+F259+F247+F246+F234+F170+F166+F165+F163+F160+F157+F156+F152</f>
        <v>205759217</v>
      </c>
      <c r="G322" s="125">
        <f>G306+G299+G294+G286+G285+G280+G273+G264+G260+G259+G251+G247+G246+G234+G226+G222+G211+G181+G170+G166+G165+G163+G160+G157+G156+G155+G152+G149+G148+G21+G241</f>
        <v>322052553</v>
      </c>
      <c r="H322" s="149"/>
    </row>
    <row r="323" spans="3:7" ht="15.75">
      <c r="C323" s="78" t="s">
        <v>323</v>
      </c>
      <c r="D323" s="181">
        <f>D23</f>
        <v>38100</v>
      </c>
      <c r="F323" s="181">
        <v>0</v>
      </c>
      <c r="G323" s="125">
        <f>G23</f>
        <v>38100</v>
      </c>
    </row>
    <row r="324" spans="3:7" ht="15.75">
      <c r="C324" s="78" t="s">
        <v>324</v>
      </c>
      <c r="D324" s="181">
        <f>D27+D31+D36+D46+D48+D53</f>
        <v>54156990</v>
      </c>
      <c r="F324" s="181">
        <f>F27+F31+F45+F46+F48+F65</f>
        <v>21906827</v>
      </c>
      <c r="G324" s="125">
        <f>G27+G31+G36+G45+G46+G48+G65+G53</f>
        <v>76063817</v>
      </c>
    </row>
    <row r="325" spans="3:7" ht="15.75">
      <c r="C325" s="78" t="s">
        <v>325</v>
      </c>
      <c r="D325" s="181">
        <f>D32+D55</f>
        <v>4809268</v>
      </c>
      <c r="F325" s="181">
        <f>F32</f>
        <v>127071</v>
      </c>
      <c r="G325" s="125">
        <f>G55+G32</f>
        <v>4936339</v>
      </c>
    </row>
    <row r="326" spans="3:7" ht="15.75">
      <c r="C326" s="78" t="s">
        <v>326</v>
      </c>
      <c r="D326" s="181">
        <f>D40</f>
        <v>30385081</v>
      </c>
      <c r="F326" s="181">
        <f>F40+F66</f>
        <v>1795024</v>
      </c>
      <c r="G326" s="125">
        <f>G40+G66</f>
        <v>32180105</v>
      </c>
    </row>
    <row r="327" spans="3:7" ht="15.75">
      <c r="C327" s="78" t="s">
        <v>327</v>
      </c>
      <c r="D327" s="181">
        <f>D54</f>
        <v>578672</v>
      </c>
      <c r="F327" s="181">
        <f>F54</f>
        <v>0</v>
      </c>
      <c r="G327" s="125">
        <f>G54</f>
        <v>578672</v>
      </c>
    </row>
    <row r="328" spans="3:7" ht="15.75">
      <c r="C328" s="78" t="s">
        <v>328</v>
      </c>
      <c r="D328" s="181">
        <f>D56+D57+D58+D64</f>
        <v>1351066</v>
      </c>
      <c r="F328" s="181">
        <f>F56+F57+F58+F64+F67</f>
        <v>1323975</v>
      </c>
      <c r="G328" s="125">
        <f>G67+G64+G58+G57+G56</f>
        <v>2675041</v>
      </c>
    </row>
    <row r="329" spans="3:7" ht="15.75">
      <c r="C329" s="78" t="s">
        <v>329</v>
      </c>
      <c r="D329" s="181">
        <f>D61</f>
        <v>719429</v>
      </c>
      <c r="F329" s="181">
        <f>F61</f>
        <v>0</v>
      </c>
      <c r="G329" s="125">
        <f>G61</f>
        <v>719429</v>
      </c>
    </row>
    <row r="330" spans="3:7" ht="15.75">
      <c r="C330" s="78" t="s">
        <v>330</v>
      </c>
      <c r="D330" s="160">
        <f>D261+D68</f>
        <v>282540</v>
      </c>
      <c r="F330" s="181">
        <v>0</v>
      </c>
      <c r="G330" s="125">
        <f>G261+G68</f>
        <v>282540</v>
      </c>
    </row>
    <row r="331" spans="3:7" ht="15.75">
      <c r="C331" s="78" t="s">
        <v>489</v>
      </c>
      <c r="D331" s="160">
        <v>0</v>
      </c>
      <c r="F331" s="181">
        <f>F189+F69+F169</f>
        <v>49568758</v>
      </c>
      <c r="G331" s="125">
        <f>G189+G69+G169</f>
        <v>49568758</v>
      </c>
    </row>
    <row r="332" spans="3:7" ht="15.75">
      <c r="C332" s="78" t="s">
        <v>331</v>
      </c>
      <c r="D332" s="160">
        <f>D70+D71</f>
        <v>2112911</v>
      </c>
      <c r="F332" s="181">
        <f>F70+F71</f>
        <v>501606</v>
      </c>
      <c r="G332" s="125">
        <f>G70+G71</f>
        <v>2614517</v>
      </c>
    </row>
    <row r="333" spans="3:7" ht="15.75">
      <c r="C333" s="78" t="s">
        <v>363</v>
      </c>
      <c r="D333" s="181">
        <f>D89+D86+D80+D75+D83</f>
        <v>21782367</v>
      </c>
      <c r="F333" s="181">
        <f>F75+F80+F83+F86+F89+F92+F93+F95</f>
        <v>26517302</v>
      </c>
      <c r="G333" s="125">
        <f>G75+G80+G83+G86+G89+G92+G93+G95</f>
        <v>48299669</v>
      </c>
    </row>
    <row r="334" spans="3:7" ht="15.75">
      <c r="C334" s="78" t="s">
        <v>332</v>
      </c>
      <c r="D334" s="181">
        <f>D76</f>
        <v>1111000</v>
      </c>
      <c r="F334" s="181">
        <v>0</v>
      </c>
      <c r="G334" s="125">
        <f>G76</f>
        <v>1111000</v>
      </c>
    </row>
    <row r="335" spans="3:7" ht="15.75">
      <c r="C335" s="78" t="s">
        <v>333</v>
      </c>
      <c r="D335" s="181">
        <f>D91</f>
        <v>11907833</v>
      </c>
      <c r="F335" s="181">
        <v>0</v>
      </c>
      <c r="G335" s="78">
        <f>G91</f>
        <v>11907833</v>
      </c>
    </row>
    <row r="336" spans="3:7" ht="15.75">
      <c r="C336" s="78" t="s">
        <v>334</v>
      </c>
      <c r="D336" s="181">
        <f>D94</f>
        <v>3146037</v>
      </c>
      <c r="F336" s="181">
        <v>0</v>
      </c>
      <c r="G336" s="125">
        <f>G94</f>
        <v>3146037</v>
      </c>
    </row>
    <row r="337" spans="3:7" ht="15.75">
      <c r="C337" s="78" t="s">
        <v>484</v>
      </c>
      <c r="D337" s="181">
        <f>D100+D101+D106+D108+D111+D112+D113</f>
        <v>15011558</v>
      </c>
      <c r="F337" s="181">
        <f>F101+F110</f>
        <v>5614614</v>
      </c>
      <c r="G337" s="125">
        <f>G100+G101+G106+G108+G110+G111+G112+G113</f>
        <v>20626172</v>
      </c>
    </row>
    <row r="338" spans="3:7" ht="15.75">
      <c r="C338" s="78" t="s">
        <v>335</v>
      </c>
      <c r="D338" s="181">
        <f>D102+D171</f>
        <v>910000</v>
      </c>
      <c r="F338" s="181">
        <f>F171+F102</f>
        <v>24192</v>
      </c>
      <c r="G338" s="125">
        <f>G171+G102</f>
        <v>934192</v>
      </c>
    </row>
    <row r="339" spans="3:7" ht="15.75">
      <c r="C339" s="78" t="s">
        <v>481</v>
      </c>
      <c r="D339" s="181">
        <f>D119+D121+D125+D136</f>
        <v>1969147</v>
      </c>
      <c r="F339" s="181">
        <f>F119+F121+F125+F129+F136+F139</f>
        <v>3762963</v>
      </c>
      <c r="G339" s="125">
        <f>G119+G121+G125+G129+G136+G139</f>
        <v>5732110</v>
      </c>
    </row>
    <row r="340" spans="3:7" ht="15.75">
      <c r="C340" s="78" t="s">
        <v>336</v>
      </c>
      <c r="D340" s="181">
        <f>D133</f>
        <v>993217</v>
      </c>
      <c r="F340" s="181">
        <v>0</v>
      </c>
      <c r="G340" s="125">
        <f>G133</f>
        <v>993217</v>
      </c>
    </row>
    <row r="341" spans="3:7" ht="15.75">
      <c r="C341" s="78" t="s">
        <v>337</v>
      </c>
      <c r="D341" s="160">
        <f>D135</f>
        <v>701961</v>
      </c>
      <c r="F341" s="181">
        <f>F135</f>
        <v>10020</v>
      </c>
      <c r="G341" s="125">
        <f>G135</f>
        <v>711981</v>
      </c>
    </row>
    <row r="342" spans="3:7" ht="15.75">
      <c r="C342" s="78" t="s">
        <v>338</v>
      </c>
      <c r="D342" s="160">
        <f>D137</f>
        <v>118000</v>
      </c>
      <c r="F342" s="181">
        <v>0</v>
      </c>
      <c r="G342" s="125">
        <f>G137</f>
        <v>118000</v>
      </c>
    </row>
    <row r="343" spans="3:7" ht="15.75">
      <c r="C343" s="78" t="s">
        <v>339</v>
      </c>
      <c r="D343" s="160">
        <f>D142</f>
        <v>0</v>
      </c>
      <c r="F343" s="181">
        <f>F142</f>
        <v>986200</v>
      </c>
      <c r="G343" s="125">
        <f>G142</f>
        <v>986200</v>
      </c>
    </row>
    <row r="344" spans="3:7" ht="15.75">
      <c r="C344" s="78" t="s">
        <v>340</v>
      </c>
      <c r="D344" s="181">
        <f>D143</f>
        <v>120711</v>
      </c>
      <c r="F344" s="181">
        <v>0</v>
      </c>
      <c r="G344" s="125">
        <f>G143</f>
        <v>120711</v>
      </c>
    </row>
    <row r="345" spans="3:7" ht="15.75">
      <c r="C345" s="78" t="s">
        <v>341</v>
      </c>
      <c r="D345" s="181">
        <f>D144</f>
        <v>245025</v>
      </c>
      <c r="F345" s="181">
        <v>0</v>
      </c>
      <c r="G345" s="125">
        <f>G144</f>
        <v>245025</v>
      </c>
    </row>
    <row r="346" spans="3:7" ht="15.75">
      <c r="C346" s="78" t="s">
        <v>342</v>
      </c>
      <c r="D346" s="181">
        <v>0</v>
      </c>
      <c r="F346" s="181">
        <f>F164</f>
        <v>987691</v>
      </c>
      <c r="G346" s="125">
        <f>G164</f>
        <v>987691</v>
      </c>
    </row>
    <row r="347" spans="3:7" ht="15.75">
      <c r="C347" s="78" t="s">
        <v>360</v>
      </c>
      <c r="D347" s="181">
        <f>D180</f>
        <v>1187997</v>
      </c>
      <c r="F347" s="181">
        <v>0</v>
      </c>
      <c r="G347" s="125">
        <f>G180</f>
        <v>1187997</v>
      </c>
    </row>
    <row r="348" spans="3:7" ht="15.75">
      <c r="C348" s="78" t="s">
        <v>343</v>
      </c>
      <c r="D348" s="181">
        <f>D179</f>
        <v>24055</v>
      </c>
      <c r="F348" s="181">
        <f>F178</f>
        <v>698232</v>
      </c>
      <c r="G348" s="125">
        <f>G179+G178</f>
        <v>722287</v>
      </c>
    </row>
    <row r="349" spans="3:7" ht="15.75">
      <c r="C349" s="78" t="s">
        <v>344</v>
      </c>
      <c r="D349" s="181">
        <v>0</v>
      </c>
      <c r="F349" s="181">
        <f>F182</f>
        <v>100487</v>
      </c>
      <c r="G349" s="125">
        <f>G182</f>
        <v>100487</v>
      </c>
    </row>
    <row r="350" spans="3:7" ht="15.75">
      <c r="C350" s="78" t="s">
        <v>345</v>
      </c>
      <c r="D350" s="181">
        <v>0</v>
      </c>
      <c r="F350" s="181">
        <f>F186</f>
        <v>963306</v>
      </c>
      <c r="G350" s="125">
        <f>G186</f>
        <v>963306</v>
      </c>
    </row>
    <row r="351" spans="3:7" ht="15.75">
      <c r="C351" s="78" t="s">
        <v>464</v>
      </c>
      <c r="D351" s="181">
        <f>D193</f>
        <v>2550000</v>
      </c>
      <c r="F351" s="181">
        <f>F193</f>
        <v>0</v>
      </c>
      <c r="G351" s="125">
        <f>G193</f>
        <v>2550000</v>
      </c>
    </row>
    <row r="352" spans="3:9" ht="15.75">
      <c r="C352" s="78" t="s">
        <v>346</v>
      </c>
      <c r="D352" s="181">
        <f>D194</f>
        <v>335149</v>
      </c>
      <c r="E352" s="84"/>
      <c r="F352" s="181">
        <v>0</v>
      </c>
      <c r="G352" s="125">
        <f>G194</f>
        <v>335149</v>
      </c>
      <c r="H352" s="149"/>
      <c r="I352" s="149"/>
    </row>
    <row r="353" spans="3:7" ht="15.75">
      <c r="C353" s="78" t="s">
        <v>347</v>
      </c>
      <c r="D353" s="181">
        <f>D195+D200</f>
        <v>24787723</v>
      </c>
      <c r="F353" s="181">
        <f>F195+F196+F198</f>
        <v>3895621</v>
      </c>
      <c r="G353" s="125">
        <f>G198+G196+G195+G200</f>
        <v>28683344</v>
      </c>
    </row>
    <row r="354" spans="3:7" ht="15.75">
      <c r="C354" s="78" t="s">
        <v>348</v>
      </c>
      <c r="D354" s="181">
        <f>D201+D192</f>
        <v>3783000</v>
      </c>
      <c r="F354" s="181">
        <f>F201+F199+F197</f>
        <v>4082866</v>
      </c>
      <c r="G354" s="125">
        <f>G201+G199+G197+G192</f>
        <v>7865866</v>
      </c>
    </row>
    <row r="355" spans="3:7" ht="15.75">
      <c r="C355" s="78" t="s">
        <v>18</v>
      </c>
      <c r="D355" s="181">
        <f>D204+D205+D223+D236+D248+D262+D274+D287+D300</f>
        <v>7278985</v>
      </c>
      <c r="F355" s="181">
        <f>F204+F205</f>
        <v>6494142</v>
      </c>
      <c r="G355" s="125">
        <f>G204+G205+G223+G236+G248+G262+G274+G287+G300</f>
        <v>13773127</v>
      </c>
    </row>
    <row r="356" spans="3:7" ht="15.75">
      <c r="C356" s="78" t="s">
        <v>349</v>
      </c>
      <c r="D356" s="160">
        <v>0</v>
      </c>
      <c r="F356" s="181">
        <f>F209+F210</f>
        <v>4933916</v>
      </c>
      <c r="G356" s="125">
        <f>G209+G210</f>
        <v>4933916</v>
      </c>
    </row>
    <row r="357" spans="3:7" ht="15.75">
      <c r="C357" s="78" t="s">
        <v>350</v>
      </c>
      <c r="D357" s="181">
        <f>D215</f>
        <v>43200</v>
      </c>
      <c r="F357" s="160">
        <v>0</v>
      </c>
      <c r="G357" s="125">
        <f>G215</f>
        <v>43200</v>
      </c>
    </row>
    <row r="358" spans="3:7" ht="15.75">
      <c r="C358" s="78" t="s">
        <v>351</v>
      </c>
      <c r="D358" s="181">
        <f>D301+D289+D276+D263+D250+D238+D225</f>
        <v>803906</v>
      </c>
      <c r="F358" s="160">
        <v>0</v>
      </c>
      <c r="G358" s="125">
        <f>G301+G276+G263+G250+G238+G225+G289</f>
        <v>803906</v>
      </c>
    </row>
    <row r="359" spans="3:7" ht="15.75">
      <c r="C359" s="78" t="s">
        <v>352</v>
      </c>
      <c r="D359" s="181">
        <f>D302+D290+D277+D265+D252+D239+D227</f>
        <v>658492</v>
      </c>
      <c r="F359" s="181">
        <v>0</v>
      </c>
      <c r="G359" s="125">
        <f>G302+G290+G277+G265+G252+G239+G227</f>
        <v>658492</v>
      </c>
    </row>
    <row r="360" spans="3:7" ht="15.75">
      <c r="C360" s="78" t="s">
        <v>353</v>
      </c>
      <c r="D360" s="181">
        <f>D303+D291+D278+D266+D253+D240+D228</f>
        <v>25756</v>
      </c>
      <c r="F360" s="160">
        <v>0</v>
      </c>
      <c r="G360" s="125">
        <f>G303+G291+G278+G266+G253+G240+G228</f>
        <v>25756</v>
      </c>
    </row>
    <row r="361" spans="3:7" ht="15.75">
      <c r="C361" s="78" t="s">
        <v>354</v>
      </c>
      <c r="D361" s="181">
        <f>D304+D292+D279+D267+D254+D243+D230</f>
        <v>167225</v>
      </c>
      <c r="F361" s="181">
        <v>0</v>
      </c>
      <c r="G361" s="125">
        <f>G304+G292+G279+G267+G254+G243+G230</f>
        <v>167225</v>
      </c>
    </row>
    <row r="362" spans="3:13" s="126" customFormat="1" ht="25.5" customHeight="1">
      <c r="C362" s="126" t="s">
        <v>316</v>
      </c>
      <c r="D362" s="182">
        <f>D29+D34+D78+D81+D90+D104+D109+D123+D150+D158+D172+D128+D85</f>
        <v>4420390</v>
      </c>
      <c r="F362" s="182">
        <f>F29+F34+F39+F42+F62+F78+F81+F88+F90+F104+F107+F123+F128+F154+F158+F162+F132+F51+F52+F168</f>
        <v>4579610</v>
      </c>
      <c r="G362" s="127">
        <f>G29+G34+G39+G42+G51+G52+G62+G78+G81+G85+G88+G90+G104+G107+G109+G123+G128+G132+G150+G154+G158+G162+G168+G172</f>
        <v>9000000</v>
      </c>
      <c r="H362" s="151"/>
      <c r="I362" s="151"/>
      <c r="M362" s="142"/>
    </row>
    <row r="363" spans="3:13" s="128" customFormat="1" ht="27" customHeight="1">
      <c r="C363" s="128" t="s">
        <v>317</v>
      </c>
      <c r="D363" s="183">
        <f>D151+D122+D103+D84+D77+D41+D33+D28</f>
        <v>260513</v>
      </c>
      <c r="F363" s="183">
        <f>F235+F161+F159+F153+F131+F127+F122+F103+F87+F82+F77+F59+F41+F38+F33+F28+F15</f>
        <v>1508843</v>
      </c>
      <c r="G363" s="129">
        <f>G235+G161+G159+G153+G151+G131+G127+G122+G103+G87+G82+G77+G59+G41+G38+G33+G28+G15+G84</f>
        <v>1769356</v>
      </c>
      <c r="H363" s="152"/>
      <c r="I363" s="152"/>
      <c r="M363" s="143"/>
    </row>
    <row r="364" spans="4:13" s="128" customFormat="1" ht="27" customHeight="1">
      <c r="D364" s="183"/>
      <c r="F364" s="183"/>
      <c r="G364" s="129"/>
      <c r="H364" s="152"/>
      <c r="I364" s="152"/>
      <c r="M364" s="143"/>
    </row>
    <row r="365" spans="3:13" s="150" customFormat="1" ht="15.75">
      <c r="C365" s="150" t="s">
        <v>361</v>
      </c>
      <c r="D365" s="184">
        <f>SUM(D314:D364)</f>
        <v>321361596</v>
      </c>
      <c r="E365" s="155"/>
      <c r="F365" s="184">
        <f>SUM(F314:F364)</f>
        <v>349180131</v>
      </c>
      <c r="G365" s="155">
        <f>SUM(G314:G364)</f>
        <v>670541727</v>
      </c>
      <c r="M365" s="156"/>
    </row>
    <row r="366" spans="3:8" ht="15.75">
      <c r="C366" s="133"/>
      <c r="D366" s="181">
        <f>D308-D365</f>
        <v>0</v>
      </c>
      <c r="E366" s="125"/>
      <c r="F366" s="181">
        <f>F308-F365</f>
        <v>0</v>
      </c>
      <c r="G366" s="125">
        <f>G308-G365</f>
        <v>0</v>
      </c>
      <c r="H366" s="149">
        <f>G366-F366</f>
        <v>0</v>
      </c>
    </row>
    <row r="367" spans="3:7" ht="15.75">
      <c r="C367" s="133"/>
      <c r="D367" s="181"/>
      <c r="E367" s="125"/>
      <c r="F367" s="181"/>
      <c r="G367" s="125"/>
    </row>
    <row r="369" spans="3:13" s="144" customFormat="1" ht="15.75">
      <c r="C369" s="144" t="s">
        <v>359</v>
      </c>
      <c r="D369" s="185">
        <f>D14+D18+D19+D20+D21+D23+D40+D41+D43+D63+D64+D68+D71+D55+D108+D109+D106+D111+D112+D113+D133+D134+D143+D144+D148+D149+D150+D151+D155+D157+D158+D170+D171+D172+D175+D179+D180+D181+D193+D194+D195+D200+D201+D204+D205+D206+D211+D215+D222+D225+D226+D227+D228+D230+D231+D234+D238+D239+D240+D243+D246+D250+D251+D252+D253+D254+D256+D259+D261+D263+D264+D265+D266+D267+D269+D273+D276+D277+D278+D279+D280+D282+D286+D289+D290+D291+D292+D294+D295+D299+D301+D302+D303+D304+D306+D307+D22+D229+D242+D255+D268+D281+D293+D305+D192+D241+D223+D236+D248+D262+D274+D287+D300</f>
        <v>216402146</v>
      </c>
      <c r="F369" s="185"/>
      <c r="M369" s="154"/>
    </row>
    <row r="372" ht="15.75">
      <c r="D372" s="181"/>
    </row>
  </sheetData>
  <sheetProtection/>
  <mergeCells count="129">
    <mergeCell ref="B52:B53"/>
    <mergeCell ref="B83:B85"/>
    <mergeCell ref="A160:A162"/>
    <mergeCell ref="B160:B162"/>
    <mergeCell ref="A135:A138"/>
    <mergeCell ref="B149:B151"/>
    <mergeCell ref="A108:A109"/>
    <mergeCell ref="A157:A159"/>
    <mergeCell ref="A125:A128"/>
    <mergeCell ref="E166:E167"/>
    <mergeCell ref="F166:F167"/>
    <mergeCell ref="D166:D167"/>
    <mergeCell ref="B133:B134"/>
    <mergeCell ref="B129:B132"/>
    <mergeCell ref="A129:A132"/>
    <mergeCell ref="B166:B168"/>
    <mergeCell ref="A61:A62"/>
    <mergeCell ref="B61:B62"/>
    <mergeCell ref="A121:A124"/>
    <mergeCell ref="B121:B124"/>
    <mergeCell ref="B119:B120"/>
    <mergeCell ref="B108:B109"/>
    <mergeCell ref="B271:B272"/>
    <mergeCell ref="A163:A164"/>
    <mergeCell ref="B163:B164"/>
    <mergeCell ref="A238:A243"/>
    <mergeCell ref="B238:B243"/>
    <mergeCell ref="A234:A235"/>
    <mergeCell ref="B234:B235"/>
    <mergeCell ref="A170:A172"/>
    <mergeCell ref="A179:A182"/>
    <mergeCell ref="B179:B182"/>
    <mergeCell ref="G166:G167"/>
    <mergeCell ref="A297:A298"/>
    <mergeCell ref="B297:B298"/>
    <mergeCell ref="A250:A256"/>
    <mergeCell ref="B250:B256"/>
    <mergeCell ref="A263:A269"/>
    <mergeCell ref="B263:B269"/>
    <mergeCell ref="A271:A272"/>
    <mergeCell ref="A225:A231"/>
    <mergeCell ref="B225:B231"/>
    <mergeCell ref="A310:B310"/>
    <mergeCell ref="A276:A282"/>
    <mergeCell ref="B276:B282"/>
    <mergeCell ref="A289:A295"/>
    <mergeCell ref="B289:B295"/>
    <mergeCell ref="A301:A307"/>
    <mergeCell ref="B301:B307"/>
    <mergeCell ref="A218:A219"/>
    <mergeCell ref="B218:B219"/>
    <mergeCell ref="B200:B201"/>
    <mergeCell ref="A200:A201"/>
    <mergeCell ref="C198:C199"/>
    <mergeCell ref="A213:A214"/>
    <mergeCell ref="B213:B214"/>
    <mergeCell ref="A205:A206"/>
    <mergeCell ref="B205:B206"/>
    <mergeCell ref="A198:A199"/>
    <mergeCell ref="B198:B199"/>
    <mergeCell ref="B170:B172"/>
    <mergeCell ref="B89:B90"/>
    <mergeCell ref="A97:A98"/>
    <mergeCell ref="B97:B98"/>
    <mergeCell ref="A91:A92"/>
    <mergeCell ref="B91:B92"/>
    <mergeCell ref="A146:A147"/>
    <mergeCell ref="B146:B147"/>
    <mergeCell ref="A149:A151"/>
    <mergeCell ref="A86:A88"/>
    <mergeCell ref="B125:B128"/>
    <mergeCell ref="A196:A197"/>
    <mergeCell ref="B196:B197"/>
    <mergeCell ref="B135:B138"/>
    <mergeCell ref="A133:A134"/>
    <mergeCell ref="B157:B159"/>
    <mergeCell ref="A152:A154"/>
    <mergeCell ref="B152:B154"/>
    <mergeCell ref="A101:A105"/>
    <mergeCell ref="A119:A120"/>
    <mergeCell ref="B101:B105"/>
    <mergeCell ref="A89:A90"/>
    <mergeCell ref="B86:B88"/>
    <mergeCell ref="A83:A84"/>
    <mergeCell ref="A80:A82"/>
    <mergeCell ref="B80:B82"/>
    <mergeCell ref="A63:A64"/>
    <mergeCell ref="A73:A74"/>
    <mergeCell ref="B73:B74"/>
    <mergeCell ref="A75:A79"/>
    <mergeCell ref="B75:B79"/>
    <mergeCell ref="A40:A43"/>
    <mergeCell ref="A27:A30"/>
    <mergeCell ref="B27:B30"/>
    <mergeCell ref="B58:B60"/>
    <mergeCell ref="A46:A47"/>
    <mergeCell ref="A44:A45"/>
    <mergeCell ref="A31:A35"/>
    <mergeCell ref="A50:A51"/>
    <mergeCell ref="B50:B51"/>
    <mergeCell ref="A52:A53"/>
    <mergeCell ref="B46:B47"/>
    <mergeCell ref="B31:B35"/>
    <mergeCell ref="B40:B43"/>
    <mergeCell ref="B44:B45"/>
    <mergeCell ref="A36:A39"/>
    <mergeCell ref="B36:B39"/>
    <mergeCell ref="B25:B26"/>
    <mergeCell ref="A25:A26"/>
    <mergeCell ref="C166:C167"/>
    <mergeCell ref="A106:A107"/>
    <mergeCell ref="B106:B107"/>
    <mergeCell ref="B48:B49"/>
    <mergeCell ref="B63:B64"/>
    <mergeCell ref="A48:A49"/>
    <mergeCell ref="C70:C71"/>
    <mergeCell ref="A65:A67"/>
    <mergeCell ref="B65:B67"/>
    <mergeCell ref="A58:A60"/>
    <mergeCell ref="B18:B23"/>
    <mergeCell ref="A18:A23"/>
    <mergeCell ref="A5:G5"/>
    <mergeCell ref="B8:B9"/>
    <mergeCell ref="C8:D8"/>
    <mergeCell ref="E8:F8"/>
    <mergeCell ref="A14:A15"/>
    <mergeCell ref="B14:B15"/>
    <mergeCell ref="A12:A13"/>
    <mergeCell ref="B12:B13"/>
  </mergeCells>
  <printOptions/>
  <pageMargins left="0.3937007874015748" right="0.2362204724409449" top="0.2" bottom="0.19" header="0.2" footer="0.19"/>
  <pageSetup fitToHeight="20" fitToWidth="1" horizontalDpi="600" verticalDpi="600" orientation="landscape" paperSize="9" scale="67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80"/>
  <sheetViews>
    <sheetView view="pageBreakPreview" zoomScale="75" zoomScaleSheetLayoutView="75" zoomScalePageLayoutView="0" workbookViewId="0" topLeftCell="A1">
      <pane xSplit="3" ySplit="9" topLeftCell="D7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H73" sqref="H73"/>
    </sheetView>
  </sheetViews>
  <sheetFormatPr defaultColWidth="9.140625" defaultRowHeight="12.75"/>
  <cols>
    <col min="1" max="1" width="9.28125" style="1" customWidth="1"/>
    <col min="2" max="2" width="35.8515625" style="1" customWidth="1"/>
    <col min="3" max="3" width="62.8515625" style="1" hidden="1" customWidth="1"/>
    <col min="4" max="4" width="12.57421875" style="1" hidden="1" customWidth="1"/>
    <col min="5" max="5" width="62.7109375" style="1" customWidth="1"/>
    <col min="6" max="6" width="13.421875" style="1" hidden="1" customWidth="1"/>
    <col min="7" max="7" width="15.28125" style="1" hidden="1" customWidth="1"/>
    <col min="8" max="8" width="16.28125" style="1" customWidth="1"/>
    <col min="9" max="9" width="14.421875" style="1" customWidth="1"/>
    <col min="10" max="10" width="11.00390625" style="1" bestFit="1" customWidth="1"/>
    <col min="11" max="11" width="12.140625" style="1" bestFit="1" customWidth="1"/>
    <col min="12" max="16384" width="9.140625" style="1" customWidth="1"/>
  </cols>
  <sheetData>
    <row r="1" spans="5:7" ht="52.5" customHeight="1">
      <c r="E1" s="14" t="s">
        <v>243</v>
      </c>
      <c r="G1" s="13"/>
    </row>
    <row r="2" spans="5:7" ht="28.5" customHeight="1">
      <c r="E2" s="14" t="s">
        <v>244</v>
      </c>
      <c r="G2" s="13"/>
    </row>
    <row r="3" spans="3:7" ht="39.75" customHeight="1">
      <c r="C3" s="8"/>
      <c r="E3" s="14" t="s">
        <v>407</v>
      </c>
      <c r="G3" s="13"/>
    </row>
    <row r="5" spans="1:10" s="6" customFormat="1" ht="28.5" customHeight="1">
      <c r="A5" s="240" t="s">
        <v>437</v>
      </c>
      <c r="B5" s="240"/>
      <c r="C5" s="240"/>
      <c r="D5" s="240"/>
      <c r="E5" s="240"/>
      <c r="F5" s="240"/>
      <c r="G5" s="240"/>
      <c r="H5" s="49"/>
      <c r="J5" s="50"/>
    </row>
    <row r="6" spans="1:4" ht="5.25" customHeight="1">
      <c r="A6" s="63"/>
      <c r="B6" s="63"/>
      <c r="C6" s="63"/>
      <c r="D6" s="63"/>
    </row>
    <row r="7" spans="1:8" ht="16.5" customHeight="1">
      <c r="A7" s="63"/>
      <c r="B7" s="63"/>
      <c r="C7" s="63"/>
      <c r="D7" s="63"/>
      <c r="E7" s="63"/>
      <c r="F7" s="63"/>
      <c r="G7" s="68" t="s">
        <v>113</v>
      </c>
      <c r="H7" s="63"/>
    </row>
    <row r="8" spans="1:8" s="2" customFormat="1" ht="45.75" customHeight="1">
      <c r="A8" s="64" t="s">
        <v>82</v>
      </c>
      <c r="B8" s="239" t="s">
        <v>84</v>
      </c>
      <c r="C8" s="239" t="s">
        <v>108</v>
      </c>
      <c r="D8" s="239"/>
      <c r="E8" s="239" t="s">
        <v>111</v>
      </c>
      <c r="F8" s="239"/>
      <c r="G8" s="4" t="s">
        <v>112</v>
      </c>
      <c r="H8" s="241" t="s">
        <v>15</v>
      </c>
    </row>
    <row r="9" spans="1:8" s="2" customFormat="1" ht="57.75" customHeight="1">
      <c r="A9" s="64" t="s">
        <v>83</v>
      </c>
      <c r="B9" s="239"/>
      <c r="C9" s="4" t="s">
        <v>109</v>
      </c>
      <c r="D9" s="4" t="s">
        <v>110</v>
      </c>
      <c r="E9" s="4" t="s">
        <v>109</v>
      </c>
      <c r="F9" s="4" t="s">
        <v>110</v>
      </c>
      <c r="G9" s="4" t="s">
        <v>110</v>
      </c>
      <c r="H9" s="242"/>
    </row>
    <row r="10" spans="1:8" s="2" customFormat="1" ht="16.5" customHeight="1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/>
    </row>
    <row r="11" spans="1:9" s="2" customFormat="1" ht="31.5" hidden="1">
      <c r="A11" s="22" t="s">
        <v>179</v>
      </c>
      <c r="B11" s="23" t="s">
        <v>86</v>
      </c>
      <c r="C11" s="4"/>
      <c r="D11" s="24">
        <f>D13+D14+D23+D24+D26+D28+D29+D30</f>
        <v>4344270</v>
      </c>
      <c r="E11" s="4"/>
      <c r="F11" s="28">
        <f>F12+F15+F16+F20+F21+F23+F24+F26+F28+F29+F30+F14</f>
        <v>910383</v>
      </c>
      <c r="G11" s="28">
        <f>D11+F11</f>
        <v>5254653</v>
      </c>
      <c r="H11" s="71"/>
      <c r="I11" s="46"/>
    </row>
    <row r="12" spans="1:9" s="20" customFormat="1" ht="31.5" hidden="1">
      <c r="A12" s="238" t="s">
        <v>211</v>
      </c>
      <c r="B12" s="239" t="s">
        <v>212</v>
      </c>
      <c r="C12" s="4"/>
      <c r="D12" s="17"/>
      <c r="E12" s="4" t="s">
        <v>498</v>
      </c>
      <c r="F12" s="19">
        <v>253199</v>
      </c>
      <c r="G12" s="19">
        <f>D12+F12</f>
        <v>253199</v>
      </c>
      <c r="H12" s="4"/>
      <c r="I12" s="46"/>
    </row>
    <row r="13" spans="1:9" s="20" customFormat="1" ht="68.25" customHeight="1" hidden="1">
      <c r="A13" s="238"/>
      <c r="B13" s="239"/>
      <c r="C13" s="4" t="s">
        <v>467</v>
      </c>
      <c r="D13" s="17">
        <v>1315</v>
      </c>
      <c r="E13" s="4"/>
      <c r="F13" s="19"/>
      <c r="G13" s="19">
        <f aca="true" t="shared" si="0" ref="G13:G31">D13+F13</f>
        <v>1315</v>
      </c>
      <c r="H13" s="4"/>
      <c r="I13" s="46"/>
    </row>
    <row r="14" spans="1:9" s="20" customFormat="1" ht="51" customHeight="1" hidden="1">
      <c r="A14" s="238" t="s">
        <v>126</v>
      </c>
      <c r="B14" s="239" t="s">
        <v>152</v>
      </c>
      <c r="C14" s="4" t="s">
        <v>13</v>
      </c>
      <c r="D14" s="17">
        <v>480000</v>
      </c>
      <c r="E14" s="4"/>
      <c r="F14" s="9"/>
      <c r="G14" s="19">
        <f t="shared" si="0"/>
        <v>480000</v>
      </c>
      <c r="H14" s="4"/>
      <c r="I14" s="46"/>
    </row>
    <row r="15" spans="1:9" s="20" customFormat="1" ht="47.25" hidden="1">
      <c r="A15" s="238"/>
      <c r="B15" s="239"/>
      <c r="C15" s="4"/>
      <c r="D15" s="17"/>
      <c r="E15" s="35" t="s">
        <v>10</v>
      </c>
      <c r="F15" s="36">
        <v>41424</v>
      </c>
      <c r="G15" s="59">
        <f t="shared" si="0"/>
        <v>41424</v>
      </c>
      <c r="H15" s="4"/>
      <c r="I15" s="46"/>
    </row>
    <row r="16" spans="1:9" s="20" customFormat="1" ht="52.5" customHeight="1" hidden="1">
      <c r="A16" s="238" t="s">
        <v>132</v>
      </c>
      <c r="B16" s="239" t="s">
        <v>133</v>
      </c>
      <c r="C16" s="239"/>
      <c r="D16" s="17"/>
      <c r="E16" s="4" t="s">
        <v>491</v>
      </c>
      <c r="F16" s="19">
        <v>415760</v>
      </c>
      <c r="G16" s="19">
        <f t="shared" si="0"/>
        <v>415760</v>
      </c>
      <c r="H16" s="4"/>
      <c r="I16" s="46"/>
    </row>
    <row r="17" spans="1:9" s="20" customFormat="1" ht="44.25" customHeight="1" hidden="1">
      <c r="A17" s="238"/>
      <c r="B17" s="239"/>
      <c r="C17" s="239"/>
      <c r="D17" s="5"/>
      <c r="E17" s="4" t="s">
        <v>174</v>
      </c>
      <c r="F17" s="9"/>
      <c r="G17" s="19">
        <f t="shared" si="0"/>
        <v>0</v>
      </c>
      <c r="H17" s="4"/>
      <c r="I17" s="46"/>
    </row>
    <row r="18" spans="1:9" s="20" customFormat="1" ht="47.25" customHeight="1" hidden="1">
      <c r="A18" s="238"/>
      <c r="B18" s="239"/>
      <c r="C18" s="239"/>
      <c r="D18" s="5"/>
      <c r="E18" s="4" t="s">
        <v>173</v>
      </c>
      <c r="F18" s="19">
        <v>0</v>
      </c>
      <c r="G18" s="19">
        <f t="shared" si="0"/>
        <v>0</v>
      </c>
      <c r="H18" s="4"/>
      <c r="I18" s="46"/>
    </row>
    <row r="19" spans="1:9" s="20" customFormat="1" ht="15.75" hidden="1">
      <c r="A19" s="238"/>
      <c r="B19" s="239"/>
      <c r="C19" s="239"/>
      <c r="D19" s="5"/>
      <c r="E19" s="4"/>
      <c r="F19" s="19">
        <v>0</v>
      </c>
      <c r="G19" s="19">
        <f t="shared" si="0"/>
        <v>0</v>
      </c>
      <c r="H19" s="4"/>
      <c r="I19" s="46"/>
    </row>
    <row r="20" spans="1:9" s="20" customFormat="1" ht="222" customHeight="1" hidden="1">
      <c r="A20" s="18" t="s">
        <v>262</v>
      </c>
      <c r="B20" s="40" t="s">
        <v>263</v>
      </c>
      <c r="C20" s="4"/>
      <c r="D20" s="5"/>
      <c r="E20" s="4" t="s">
        <v>305</v>
      </c>
      <c r="F20" s="19"/>
      <c r="G20" s="19">
        <f t="shared" si="0"/>
        <v>0</v>
      </c>
      <c r="H20" s="4"/>
      <c r="I20" s="46"/>
    </row>
    <row r="21" spans="1:9" s="20" customFormat="1" ht="46.5" customHeight="1" hidden="1">
      <c r="A21" s="26">
        <v>240900</v>
      </c>
      <c r="B21" s="4" t="s">
        <v>153</v>
      </c>
      <c r="C21" s="16"/>
      <c r="D21" s="15"/>
      <c r="E21" s="4" t="s">
        <v>457</v>
      </c>
      <c r="F21" s="19">
        <v>200000</v>
      </c>
      <c r="G21" s="19">
        <f t="shared" si="0"/>
        <v>200000</v>
      </c>
      <c r="H21" s="4"/>
      <c r="I21" s="46"/>
    </row>
    <row r="22" spans="1:9" s="20" customFormat="1" ht="75" customHeight="1" hidden="1">
      <c r="A22" s="26">
        <v>250203</v>
      </c>
      <c r="B22" s="4" t="s">
        <v>238</v>
      </c>
      <c r="C22" s="4"/>
      <c r="D22" s="21">
        <v>0</v>
      </c>
      <c r="E22" s="4"/>
      <c r="F22" s="9"/>
      <c r="G22" s="19">
        <f t="shared" si="0"/>
        <v>0</v>
      </c>
      <c r="H22" s="4"/>
      <c r="I22" s="46"/>
    </row>
    <row r="23" spans="1:9" s="20" customFormat="1" ht="78.75" hidden="1">
      <c r="A23" s="245">
        <v>250404</v>
      </c>
      <c r="B23" s="239" t="s">
        <v>140</v>
      </c>
      <c r="C23" s="4" t="s">
        <v>461</v>
      </c>
      <c r="D23" s="21">
        <v>304955</v>
      </c>
      <c r="E23" s="9"/>
      <c r="F23" s="12"/>
      <c r="G23" s="19">
        <f t="shared" si="0"/>
        <v>304955</v>
      </c>
      <c r="H23" s="4"/>
      <c r="I23" s="46"/>
    </row>
    <row r="24" spans="1:9" s="20" customFormat="1" ht="47.25" hidden="1">
      <c r="A24" s="245"/>
      <c r="B24" s="239"/>
      <c r="C24" s="4" t="s">
        <v>460</v>
      </c>
      <c r="D24" s="17">
        <v>209200</v>
      </c>
      <c r="E24" s="4"/>
      <c r="F24" s="19">
        <v>0</v>
      </c>
      <c r="G24" s="19">
        <f t="shared" si="0"/>
        <v>209200</v>
      </c>
      <c r="H24" s="4"/>
      <c r="I24" s="46"/>
    </row>
    <row r="25" spans="1:9" s="20" customFormat="1" ht="32.25" customHeight="1" hidden="1">
      <c r="A25" s="245"/>
      <c r="B25" s="239"/>
      <c r="C25" s="4" t="s">
        <v>175</v>
      </c>
      <c r="D25" s="17">
        <v>120000</v>
      </c>
      <c r="E25" s="4" t="s">
        <v>175</v>
      </c>
      <c r="F25" s="19">
        <v>0</v>
      </c>
      <c r="G25" s="19">
        <f t="shared" si="0"/>
        <v>120000</v>
      </c>
      <c r="H25" s="4"/>
      <c r="I25" s="46"/>
    </row>
    <row r="26" spans="1:9" s="20" customFormat="1" ht="65.25" customHeight="1" hidden="1">
      <c r="A26" s="245"/>
      <c r="B26" s="239"/>
      <c r="C26" s="4" t="s">
        <v>455</v>
      </c>
      <c r="D26" s="17">
        <v>3348800</v>
      </c>
      <c r="E26" s="4"/>
      <c r="F26" s="19">
        <v>0</v>
      </c>
      <c r="G26" s="19">
        <f t="shared" si="0"/>
        <v>3348800</v>
      </c>
      <c r="H26" s="4"/>
      <c r="I26" s="46"/>
    </row>
    <row r="27" spans="1:9" s="20" customFormat="1" ht="38.25" customHeight="1" hidden="1">
      <c r="A27" s="245"/>
      <c r="B27" s="239"/>
      <c r="C27" s="4" t="s">
        <v>242</v>
      </c>
      <c r="D27" s="17">
        <v>0</v>
      </c>
      <c r="E27" s="4"/>
      <c r="F27" s="19"/>
      <c r="G27" s="19">
        <f t="shared" si="0"/>
        <v>0</v>
      </c>
      <c r="H27" s="4"/>
      <c r="I27" s="46"/>
    </row>
    <row r="28" spans="1:9" s="20" customFormat="1" ht="46.5" customHeight="1" hidden="1">
      <c r="A28" s="245"/>
      <c r="B28" s="239"/>
      <c r="C28" s="35" t="s">
        <v>315</v>
      </c>
      <c r="D28" s="38">
        <v>0</v>
      </c>
      <c r="E28" s="35"/>
      <c r="F28" s="36"/>
      <c r="G28" s="59">
        <f t="shared" si="0"/>
        <v>0</v>
      </c>
      <c r="H28" s="4"/>
      <c r="I28" s="46"/>
    </row>
    <row r="29" spans="1:9" s="20" customFormat="1" ht="62.25" customHeight="1" hidden="1">
      <c r="A29" s="245"/>
      <c r="B29" s="239"/>
      <c r="C29" s="4" t="s">
        <v>414</v>
      </c>
      <c r="D29" s="17"/>
      <c r="E29" s="35"/>
      <c r="F29" s="36"/>
      <c r="G29" s="19">
        <f t="shared" si="0"/>
        <v>0</v>
      </c>
      <c r="H29" s="4"/>
      <c r="I29" s="46"/>
    </row>
    <row r="30" spans="1:9" s="20" customFormat="1" ht="63" hidden="1">
      <c r="A30" s="245"/>
      <c r="B30" s="239"/>
      <c r="C30" s="4" t="s">
        <v>305</v>
      </c>
      <c r="D30" s="17"/>
      <c r="E30" s="4"/>
      <c r="F30" s="19"/>
      <c r="G30" s="19">
        <f t="shared" si="0"/>
        <v>0</v>
      </c>
      <c r="H30" s="4"/>
      <c r="I30" s="46"/>
    </row>
    <row r="31" spans="1:9" s="20" customFormat="1" ht="47.25">
      <c r="A31" s="22" t="s">
        <v>187</v>
      </c>
      <c r="B31" s="23" t="s">
        <v>97</v>
      </c>
      <c r="C31" s="4"/>
      <c r="D31" s="24">
        <f>D33+D34+D35+D36+D37+D40+D41+D42+D44++D46+D49+D50+D51+D54+D56+D57+D58+D59+D60+D61+D62+D63+D64+D65+D66+D71+D72+D53+D55+D52+D43</f>
        <v>51174841</v>
      </c>
      <c r="E31" s="5"/>
      <c r="F31" s="24">
        <f>F34+F35+F37+F41+F45+F46+F49+F62+F54+F66+F67+F68+F69+F70+F71+F33+F43+F61+F52+F40</f>
        <v>20937895</v>
      </c>
      <c r="G31" s="24">
        <f t="shared" si="0"/>
        <v>72112736</v>
      </c>
      <c r="H31" s="71"/>
      <c r="I31" s="46"/>
    </row>
    <row r="32" spans="1:9" s="20" customFormat="1" ht="44.25" customHeight="1" hidden="1">
      <c r="A32" s="18" t="s">
        <v>211</v>
      </c>
      <c r="B32" s="4" t="s">
        <v>212</v>
      </c>
      <c r="C32" s="4" t="s">
        <v>236</v>
      </c>
      <c r="D32" s="17"/>
      <c r="E32" s="4"/>
      <c r="F32" s="19"/>
      <c r="G32" s="9">
        <v>0</v>
      </c>
      <c r="H32" s="4"/>
      <c r="I32" s="46"/>
    </row>
    <row r="33" spans="1:9" s="20" customFormat="1" ht="66" customHeight="1" hidden="1">
      <c r="A33" s="18" t="s">
        <v>211</v>
      </c>
      <c r="B33" s="4" t="s">
        <v>212</v>
      </c>
      <c r="C33" s="4" t="s">
        <v>467</v>
      </c>
      <c r="D33" s="17">
        <v>885</v>
      </c>
      <c r="E33" s="4" t="s">
        <v>498</v>
      </c>
      <c r="F33" s="19">
        <v>14000</v>
      </c>
      <c r="G33" s="19">
        <f>D33+F33</f>
        <v>14885</v>
      </c>
      <c r="H33" s="4"/>
      <c r="I33" s="46"/>
    </row>
    <row r="34" spans="1:9" s="20" customFormat="1" ht="33" customHeight="1">
      <c r="A34" s="238" t="s">
        <v>115</v>
      </c>
      <c r="B34" s="239" t="s">
        <v>155</v>
      </c>
      <c r="C34" s="4" t="s">
        <v>530</v>
      </c>
      <c r="D34" s="17">
        <v>4567066</v>
      </c>
      <c r="E34" s="4" t="s">
        <v>511</v>
      </c>
      <c r="F34" s="19">
        <f>3158108-F35</f>
        <v>2760193</v>
      </c>
      <c r="G34" s="19">
        <f>D34+F34</f>
        <v>7327259</v>
      </c>
      <c r="H34" s="71" t="s">
        <v>16</v>
      </c>
      <c r="I34" s="46"/>
    </row>
    <row r="35" spans="1:9" s="20" customFormat="1" ht="47.25" hidden="1">
      <c r="A35" s="238"/>
      <c r="B35" s="239"/>
      <c r="C35" s="35" t="s">
        <v>10</v>
      </c>
      <c r="D35" s="38">
        <v>24450</v>
      </c>
      <c r="E35" s="35" t="s">
        <v>10</v>
      </c>
      <c r="F35" s="36">
        <v>397915</v>
      </c>
      <c r="G35" s="19">
        <f>D35+F35</f>
        <v>422365</v>
      </c>
      <c r="H35" s="4"/>
      <c r="I35" s="46"/>
    </row>
    <row r="36" spans="1:9" s="20" customFormat="1" ht="71.25" customHeight="1" hidden="1">
      <c r="A36" s="238"/>
      <c r="B36" s="239"/>
      <c r="C36" s="4" t="s">
        <v>467</v>
      </c>
      <c r="D36" s="17">
        <v>209486</v>
      </c>
      <c r="E36" s="35"/>
      <c r="F36" s="36"/>
      <c r="G36" s="19">
        <f>D36+F36</f>
        <v>209486</v>
      </c>
      <c r="H36" s="4"/>
      <c r="I36" s="46"/>
    </row>
    <row r="37" spans="1:9" s="20" customFormat="1" ht="35.25" customHeight="1">
      <c r="A37" s="238" t="s">
        <v>116</v>
      </c>
      <c r="B37" s="238" t="s">
        <v>156</v>
      </c>
      <c r="C37" s="4" t="s">
        <v>530</v>
      </c>
      <c r="D37" s="17">
        <v>6523141</v>
      </c>
      <c r="E37" s="4" t="s">
        <v>511</v>
      </c>
      <c r="F37" s="19">
        <f>5369916-F41</f>
        <v>3882915</v>
      </c>
      <c r="G37" s="19">
        <f>D37+F37</f>
        <v>10406056</v>
      </c>
      <c r="H37" s="71">
        <v>127071</v>
      </c>
      <c r="I37" s="46"/>
    </row>
    <row r="38" spans="1:9" s="20" customFormat="1" ht="32.25" customHeight="1" hidden="1">
      <c r="A38" s="238"/>
      <c r="B38" s="238"/>
      <c r="C38" s="4" t="s">
        <v>278</v>
      </c>
      <c r="D38" s="17"/>
      <c r="E38" s="4" t="s">
        <v>278</v>
      </c>
      <c r="F38" s="19"/>
      <c r="G38" s="19">
        <f aca="true" t="shared" si="1" ref="G38:G48">D38+F38</f>
        <v>0</v>
      </c>
      <c r="H38" s="4"/>
      <c r="I38" s="46"/>
    </row>
    <row r="39" spans="1:9" s="20" customFormat="1" ht="66" customHeight="1" hidden="1">
      <c r="A39" s="238"/>
      <c r="B39" s="238"/>
      <c r="C39" s="4" t="s">
        <v>278</v>
      </c>
      <c r="D39" s="17"/>
      <c r="E39" s="4" t="s">
        <v>278</v>
      </c>
      <c r="F39" s="19"/>
      <c r="G39" s="19">
        <f t="shared" si="1"/>
        <v>0</v>
      </c>
      <c r="H39" s="4"/>
      <c r="I39" s="46"/>
    </row>
    <row r="40" spans="1:9" s="20" customFormat="1" ht="35.25" customHeight="1">
      <c r="A40" s="238"/>
      <c r="B40" s="238"/>
      <c r="C40" s="4" t="s">
        <v>531</v>
      </c>
      <c r="D40" s="17">
        <v>522962</v>
      </c>
      <c r="E40" s="4" t="s">
        <v>531</v>
      </c>
      <c r="F40" s="19">
        <v>127071</v>
      </c>
      <c r="G40" s="19">
        <f t="shared" si="1"/>
        <v>650033</v>
      </c>
      <c r="H40" s="4" t="s">
        <v>16</v>
      </c>
      <c r="I40" s="46"/>
    </row>
    <row r="41" spans="1:9" s="20" customFormat="1" ht="47.25" hidden="1">
      <c r="A41" s="238"/>
      <c r="B41" s="238"/>
      <c r="C41" s="35" t="s">
        <v>10</v>
      </c>
      <c r="D41" s="38">
        <v>99122</v>
      </c>
      <c r="E41" s="35" t="s">
        <v>10</v>
      </c>
      <c r="F41" s="36">
        <v>1487001</v>
      </c>
      <c r="G41" s="19">
        <f>D41+F41</f>
        <v>1586123</v>
      </c>
      <c r="H41" s="4"/>
      <c r="I41" s="46"/>
    </row>
    <row r="42" spans="1:9" s="20" customFormat="1" ht="66" customHeight="1" hidden="1">
      <c r="A42" s="238"/>
      <c r="B42" s="238"/>
      <c r="C42" s="4" t="s">
        <v>467</v>
      </c>
      <c r="D42" s="17">
        <v>322041</v>
      </c>
      <c r="E42" s="35"/>
      <c r="F42" s="36"/>
      <c r="G42" s="19">
        <f t="shared" si="1"/>
        <v>322041</v>
      </c>
      <c r="H42" s="4"/>
      <c r="I42" s="46"/>
    </row>
    <row r="43" spans="1:9" s="20" customFormat="1" ht="35.25" customHeight="1">
      <c r="A43" s="238" t="s">
        <v>117</v>
      </c>
      <c r="B43" s="239" t="s">
        <v>157</v>
      </c>
      <c r="C43" s="4" t="s">
        <v>530</v>
      </c>
      <c r="D43" s="17">
        <v>1636</v>
      </c>
      <c r="E43" s="4" t="s">
        <v>511</v>
      </c>
      <c r="F43" s="19">
        <f>14800-F45</f>
        <v>0</v>
      </c>
      <c r="G43" s="19">
        <f t="shared" si="1"/>
        <v>1636</v>
      </c>
      <c r="H43" s="4"/>
      <c r="I43" s="46"/>
    </row>
    <row r="44" spans="1:9" s="20" customFormat="1" ht="70.5" customHeight="1" hidden="1">
      <c r="A44" s="238"/>
      <c r="B44" s="239"/>
      <c r="C44" s="4" t="s">
        <v>467</v>
      </c>
      <c r="D44" s="17">
        <v>5234</v>
      </c>
      <c r="E44" s="4"/>
      <c r="F44" s="19"/>
      <c r="G44" s="19">
        <f t="shared" si="1"/>
        <v>5234</v>
      </c>
      <c r="H44" s="4"/>
      <c r="I44" s="46"/>
    </row>
    <row r="45" spans="1:9" s="20" customFormat="1" ht="47.25" hidden="1">
      <c r="A45" s="238"/>
      <c r="B45" s="239"/>
      <c r="C45" s="4"/>
      <c r="D45" s="17"/>
      <c r="E45" s="35" t="s">
        <v>10</v>
      </c>
      <c r="F45" s="36">
        <v>14800</v>
      </c>
      <c r="G45" s="19">
        <f t="shared" si="1"/>
        <v>14800</v>
      </c>
      <c r="H45" s="71"/>
      <c r="I45" s="46"/>
    </row>
    <row r="46" spans="1:9" s="20" customFormat="1" ht="39" customHeight="1">
      <c r="A46" s="238" t="s">
        <v>74</v>
      </c>
      <c r="B46" s="239" t="s">
        <v>75</v>
      </c>
      <c r="C46" s="4" t="s">
        <v>532</v>
      </c>
      <c r="D46" s="17">
        <v>29827597</v>
      </c>
      <c r="E46" s="4" t="s">
        <v>512</v>
      </c>
      <c r="F46" s="19">
        <f>151878+393294-F49</f>
        <v>511523</v>
      </c>
      <c r="G46" s="19">
        <f t="shared" si="1"/>
        <v>30339120</v>
      </c>
      <c r="H46" s="4">
        <v>393294</v>
      </c>
      <c r="I46" s="46"/>
    </row>
    <row r="47" spans="1:9" s="20" customFormat="1" ht="46.5" customHeight="1" hidden="1">
      <c r="A47" s="238"/>
      <c r="B47" s="239"/>
      <c r="C47" s="4" t="s">
        <v>405</v>
      </c>
      <c r="D47" s="17">
        <v>0</v>
      </c>
      <c r="E47" s="4" t="s">
        <v>405</v>
      </c>
      <c r="F47" s="19">
        <v>0</v>
      </c>
      <c r="G47" s="19">
        <f t="shared" si="1"/>
        <v>0</v>
      </c>
      <c r="H47" s="4"/>
      <c r="I47" s="46"/>
    </row>
    <row r="48" spans="1:9" s="20" customFormat="1" ht="51.75" customHeight="1" hidden="1">
      <c r="A48" s="238"/>
      <c r="B48" s="239"/>
      <c r="C48" s="4"/>
      <c r="D48" s="21">
        <v>0</v>
      </c>
      <c r="E48" s="26"/>
      <c r="F48" s="16"/>
      <c r="G48" s="19">
        <f t="shared" si="1"/>
        <v>0</v>
      </c>
      <c r="H48" s="4"/>
      <c r="I48" s="46"/>
    </row>
    <row r="49" spans="1:9" s="20" customFormat="1" ht="47.25" hidden="1">
      <c r="A49" s="238"/>
      <c r="B49" s="239"/>
      <c r="C49" s="35" t="s">
        <v>10</v>
      </c>
      <c r="D49" s="36">
        <v>5000</v>
      </c>
      <c r="E49" s="35" t="s">
        <v>10</v>
      </c>
      <c r="F49" s="36">
        <v>33649</v>
      </c>
      <c r="G49" s="19">
        <f>D49+F49</f>
        <v>38649</v>
      </c>
      <c r="H49" s="4"/>
      <c r="I49" s="46"/>
    </row>
    <row r="50" spans="1:9" s="20" customFormat="1" ht="66.75" customHeight="1" hidden="1">
      <c r="A50" s="238"/>
      <c r="B50" s="239"/>
      <c r="C50" s="4" t="s">
        <v>467</v>
      </c>
      <c r="D50" s="19">
        <v>38395</v>
      </c>
      <c r="E50" s="35"/>
      <c r="F50" s="36"/>
      <c r="G50" s="19">
        <f aca="true" t="shared" si="2" ref="G50:G70">D50+F50</f>
        <v>38395</v>
      </c>
      <c r="H50" s="4"/>
      <c r="I50" s="46"/>
    </row>
    <row r="51" spans="1:9" s="20" customFormat="1" ht="63.75" customHeight="1" hidden="1">
      <c r="A51" s="18" t="s">
        <v>376</v>
      </c>
      <c r="B51" s="4" t="s">
        <v>375</v>
      </c>
      <c r="C51" s="4" t="s">
        <v>467</v>
      </c>
      <c r="D51" s="19">
        <v>2108</v>
      </c>
      <c r="E51" s="35"/>
      <c r="F51" s="36"/>
      <c r="G51" s="19">
        <f t="shared" si="2"/>
        <v>2108</v>
      </c>
      <c r="H51" s="4"/>
      <c r="I51" s="46"/>
    </row>
    <row r="52" spans="1:9" s="20" customFormat="1" ht="48" customHeight="1">
      <c r="A52" s="243" t="s">
        <v>469</v>
      </c>
      <c r="B52" s="241" t="s">
        <v>501</v>
      </c>
      <c r="C52" s="4" t="s">
        <v>530</v>
      </c>
      <c r="D52" s="19">
        <v>30000</v>
      </c>
      <c r="E52" s="4" t="s">
        <v>511</v>
      </c>
      <c r="F52" s="19">
        <v>400000</v>
      </c>
      <c r="G52" s="19">
        <f>D52+F52</f>
        <v>430000</v>
      </c>
      <c r="H52" s="4" t="s">
        <v>16</v>
      </c>
      <c r="I52" s="46"/>
    </row>
    <row r="53" spans="1:9" s="20" customFormat="1" ht="63.75" customHeight="1" hidden="1">
      <c r="A53" s="244"/>
      <c r="B53" s="242"/>
      <c r="C53" s="4" t="s">
        <v>467</v>
      </c>
      <c r="D53" s="19">
        <v>1684</v>
      </c>
      <c r="E53" s="4"/>
      <c r="F53" s="19"/>
      <c r="G53" s="19">
        <f>D53+F53</f>
        <v>1684</v>
      </c>
      <c r="H53" s="4"/>
      <c r="I53" s="46"/>
    </row>
    <row r="54" spans="1:9" s="51" customFormat="1" ht="37.5" customHeight="1">
      <c r="A54" s="243" t="s">
        <v>383</v>
      </c>
      <c r="B54" s="241" t="s">
        <v>384</v>
      </c>
      <c r="C54" s="4" t="s">
        <v>530</v>
      </c>
      <c r="D54" s="19">
        <v>60000</v>
      </c>
      <c r="E54" s="4" t="s">
        <v>511</v>
      </c>
      <c r="F54" s="19">
        <v>94430</v>
      </c>
      <c r="G54" s="19">
        <f t="shared" si="2"/>
        <v>154430</v>
      </c>
      <c r="H54" s="71" t="s">
        <v>16</v>
      </c>
      <c r="I54" s="52"/>
    </row>
    <row r="55" spans="1:9" s="51" customFormat="1" ht="46.5" customHeight="1" hidden="1">
      <c r="A55" s="244"/>
      <c r="B55" s="242"/>
      <c r="C55" s="4" t="s">
        <v>467</v>
      </c>
      <c r="D55" s="19">
        <v>10998</v>
      </c>
      <c r="E55" s="4"/>
      <c r="F55" s="19"/>
      <c r="G55" s="19">
        <f>D55</f>
        <v>10998</v>
      </c>
      <c r="H55" s="71"/>
      <c r="I55" s="52"/>
    </row>
    <row r="56" spans="1:9" s="20" customFormat="1" ht="60.75" customHeight="1" hidden="1">
      <c r="A56" s="18" t="s">
        <v>377</v>
      </c>
      <c r="B56" s="4" t="s">
        <v>378</v>
      </c>
      <c r="C56" s="4" t="s">
        <v>467</v>
      </c>
      <c r="D56" s="19">
        <v>8769</v>
      </c>
      <c r="E56" s="35"/>
      <c r="F56" s="36"/>
      <c r="G56" s="19">
        <f t="shared" si="2"/>
        <v>8769</v>
      </c>
      <c r="H56" s="4"/>
      <c r="I56" s="46"/>
    </row>
    <row r="57" spans="1:9" s="20" customFormat="1" ht="47.25" hidden="1">
      <c r="A57" s="25" t="s">
        <v>129</v>
      </c>
      <c r="B57" s="4" t="s">
        <v>76</v>
      </c>
      <c r="C57" s="4" t="s">
        <v>2</v>
      </c>
      <c r="D57" s="21">
        <v>463467</v>
      </c>
      <c r="E57" s="4"/>
      <c r="F57" s="16"/>
      <c r="G57" s="19">
        <f t="shared" si="2"/>
        <v>463467</v>
      </c>
      <c r="H57" s="4"/>
      <c r="I57" s="46"/>
    </row>
    <row r="58" spans="1:9" s="20" customFormat="1" ht="95.25" customHeight="1" hidden="1">
      <c r="A58" s="18" t="s">
        <v>118</v>
      </c>
      <c r="B58" s="4" t="s">
        <v>151</v>
      </c>
      <c r="C58" s="4" t="s">
        <v>0</v>
      </c>
      <c r="D58" s="17">
        <v>4377290</v>
      </c>
      <c r="E58" s="4"/>
      <c r="F58" s="9"/>
      <c r="G58" s="19">
        <f t="shared" si="2"/>
        <v>4377290</v>
      </c>
      <c r="H58" s="4"/>
      <c r="I58" s="46"/>
    </row>
    <row r="59" spans="1:9" s="20" customFormat="1" ht="35.25" customHeight="1" hidden="1">
      <c r="A59" s="18" t="s">
        <v>203</v>
      </c>
      <c r="B59" s="4" t="s">
        <v>204</v>
      </c>
      <c r="C59" s="4" t="s">
        <v>1</v>
      </c>
      <c r="D59" s="17">
        <v>199559</v>
      </c>
      <c r="E59" s="4"/>
      <c r="F59" s="9"/>
      <c r="G59" s="19">
        <f t="shared" si="2"/>
        <v>199559</v>
      </c>
      <c r="H59" s="4"/>
      <c r="I59" s="46"/>
    </row>
    <row r="60" spans="1:9" s="20" customFormat="1" ht="47.25" hidden="1">
      <c r="A60" s="18" t="s">
        <v>289</v>
      </c>
      <c r="B60" s="4" t="s">
        <v>290</v>
      </c>
      <c r="C60" s="4" t="s">
        <v>1</v>
      </c>
      <c r="D60" s="17">
        <v>99067</v>
      </c>
      <c r="E60" s="4"/>
      <c r="F60" s="19"/>
      <c r="G60" s="19">
        <f t="shared" si="2"/>
        <v>99067</v>
      </c>
      <c r="H60" s="4"/>
      <c r="I60" s="46"/>
    </row>
    <row r="61" spans="1:9" s="20" customFormat="1" ht="31.5" customHeight="1">
      <c r="A61" s="238" t="s">
        <v>158</v>
      </c>
      <c r="B61" s="239" t="s">
        <v>237</v>
      </c>
      <c r="C61" s="4" t="s">
        <v>1</v>
      </c>
      <c r="D61" s="17">
        <v>447580</v>
      </c>
      <c r="E61" s="4" t="s">
        <v>513</v>
      </c>
      <c r="F61" s="19">
        <f>39500-F62</f>
        <v>0</v>
      </c>
      <c r="G61" s="19">
        <f t="shared" si="2"/>
        <v>447580</v>
      </c>
      <c r="H61" s="4" t="s">
        <v>16</v>
      </c>
      <c r="I61" s="46"/>
    </row>
    <row r="62" spans="1:9" s="20" customFormat="1" ht="47.25" hidden="1">
      <c r="A62" s="238"/>
      <c r="B62" s="239"/>
      <c r="C62" s="35" t="s">
        <v>10</v>
      </c>
      <c r="D62" s="36">
        <v>1000</v>
      </c>
      <c r="E62" s="35" t="s">
        <v>10</v>
      </c>
      <c r="F62" s="36">
        <v>39500</v>
      </c>
      <c r="G62" s="19">
        <f t="shared" si="2"/>
        <v>40500</v>
      </c>
      <c r="H62" s="71"/>
      <c r="I62" s="46"/>
    </row>
    <row r="63" spans="1:9" s="20" customFormat="1" ht="65.25" customHeight="1" hidden="1">
      <c r="A63" s="238"/>
      <c r="B63" s="239"/>
      <c r="C63" s="4" t="s">
        <v>467</v>
      </c>
      <c r="D63" s="19">
        <v>23788</v>
      </c>
      <c r="E63" s="35"/>
      <c r="F63" s="36"/>
      <c r="G63" s="19">
        <f t="shared" si="2"/>
        <v>23788</v>
      </c>
      <c r="H63" s="4"/>
      <c r="I63" s="46"/>
    </row>
    <row r="64" spans="1:9" s="20" customFormat="1" ht="47.25" hidden="1">
      <c r="A64" s="18" t="s">
        <v>201</v>
      </c>
      <c r="B64" s="4" t="s">
        <v>202</v>
      </c>
      <c r="C64" s="4" t="s">
        <v>3</v>
      </c>
      <c r="D64" s="17">
        <v>733099</v>
      </c>
      <c r="E64" s="4"/>
      <c r="F64" s="19"/>
      <c r="G64" s="19">
        <f t="shared" si="2"/>
        <v>733099</v>
      </c>
      <c r="H64" s="4"/>
      <c r="I64" s="46"/>
    </row>
    <row r="65" spans="1:9" s="20" customFormat="1" ht="63" hidden="1">
      <c r="A65" s="245">
        <v>130112</v>
      </c>
      <c r="B65" s="239" t="s">
        <v>140</v>
      </c>
      <c r="C65" s="4" t="s">
        <v>467</v>
      </c>
      <c r="D65" s="17">
        <v>1046</v>
      </c>
      <c r="E65" s="4"/>
      <c r="F65" s="19"/>
      <c r="G65" s="19">
        <f t="shared" si="2"/>
        <v>1046</v>
      </c>
      <c r="H65" s="4"/>
      <c r="I65" s="46"/>
    </row>
    <row r="66" spans="1:9" s="20" customFormat="1" ht="37.5" customHeight="1">
      <c r="A66" s="245"/>
      <c r="B66" s="239"/>
      <c r="C66" s="4" t="s">
        <v>4</v>
      </c>
      <c r="D66" s="21">
        <v>453294</v>
      </c>
      <c r="E66" s="4" t="s">
        <v>4</v>
      </c>
      <c r="F66" s="12">
        <v>42880</v>
      </c>
      <c r="G66" s="19">
        <f t="shared" si="2"/>
        <v>496174</v>
      </c>
      <c r="H66" s="71">
        <v>42880</v>
      </c>
      <c r="I66" s="46"/>
    </row>
    <row r="67" spans="1:9" s="20" customFormat="1" ht="31.5" hidden="1">
      <c r="A67" s="238" t="s">
        <v>132</v>
      </c>
      <c r="B67" s="239" t="s">
        <v>133</v>
      </c>
      <c r="C67" s="4"/>
      <c r="D67" s="5"/>
      <c r="E67" s="4" t="s">
        <v>514</v>
      </c>
      <c r="F67" s="12">
        <v>8667311</v>
      </c>
      <c r="G67" s="19">
        <f t="shared" si="2"/>
        <v>8667311</v>
      </c>
      <c r="H67" s="71"/>
      <c r="I67" s="46"/>
    </row>
    <row r="68" spans="1:9" s="20" customFormat="1" ht="31.5" hidden="1">
      <c r="A68" s="238"/>
      <c r="B68" s="239"/>
      <c r="C68" s="4"/>
      <c r="D68" s="5"/>
      <c r="E68" s="4" t="s">
        <v>515</v>
      </c>
      <c r="F68" s="12">
        <v>1248451</v>
      </c>
      <c r="G68" s="19">
        <f t="shared" si="2"/>
        <v>1248451</v>
      </c>
      <c r="H68" s="4"/>
      <c r="I68" s="46"/>
    </row>
    <row r="69" spans="1:9" s="20" customFormat="1" ht="31.5" hidden="1">
      <c r="A69" s="238"/>
      <c r="B69" s="239"/>
      <c r="C69" s="4"/>
      <c r="D69" s="5"/>
      <c r="E69" s="4" t="s">
        <v>516</v>
      </c>
      <c r="F69" s="12">
        <v>1065845</v>
      </c>
      <c r="G69" s="19">
        <f t="shared" si="2"/>
        <v>1065845</v>
      </c>
      <c r="H69" s="4"/>
      <c r="I69" s="46"/>
    </row>
    <row r="70" spans="1:9" s="20" customFormat="1" ht="31.5" hidden="1">
      <c r="A70" s="4">
        <v>240601</v>
      </c>
      <c r="B70" s="4" t="s">
        <v>154</v>
      </c>
      <c r="C70" s="4"/>
      <c r="D70" s="5"/>
      <c r="E70" s="4" t="s">
        <v>450</v>
      </c>
      <c r="F70" s="17">
        <v>119053</v>
      </c>
      <c r="G70" s="19">
        <f t="shared" si="2"/>
        <v>119053</v>
      </c>
      <c r="H70" s="71"/>
      <c r="I70" s="46"/>
    </row>
    <row r="71" spans="1:9" s="20" customFormat="1" ht="77.25" customHeight="1" hidden="1">
      <c r="A71" s="25" t="s">
        <v>72</v>
      </c>
      <c r="B71" s="4" t="s">
        <v>73</v>
      </c>
      <c r="C71" s="241" t="s">
        <v>510</v>
      </c>
      <c r="D71" s="15">
        <v>2065077</v>
      </c>
      <c r="E71" s="4" t="s">
        <v>510</v>
      </c>
      <c r="F71" s="16">
        <v>31358</v>
      </c>
      <c r="G71" s="19">
        <f>D71+F71</f>
        <v>2096435</v>
      </c>
      <c r="H71" s="4"/>
      <c r="I71" s="46"/>
    </row>
    <row r="72" spans="1:9" s="20" customFormat="1" ht="94.5" hidden="1">
      <c r="A72" s="25" t="s">
        <v>402</v>
      </c>
      <c r="B72" s="4" t="s">
        <v>403</v>
      </c>
      <c r="C72" s="242"/>
      <c r="D72" s="15">
        <v>50000</v>
      </c>
      <c r="E72" s="4"/>
      <c r="F72" s="16"/>
      <c r="G72" s="19">
        <f>D72+F72</f>
        <v>50000</v>
      </c>
      <c r="H72" s="4"/>
      <c r="I72" s="46"/>
    </row>
    <row r="73" spans="1:9" s="20" customFormat="1" ht="46.5" customHeight="1">
      <c r="A73" s="22" t="s">
        <v>188</v>
      </c>
      <c r="B73" s="23" t="s">
        <v>98</v>
      </c>
      <c r="C73" s="4"/>
      <c r="D73" s="24">
        <f>D75+D76+D77+D78+D79+D80+D81+D82+D83+D84+D86+D85+D88+D89+D91+D93+D74+D90</f>
        <v>12844390</v>
      </c>
      <c r="E73" s="5"/>
      <c r="F73" s="24">
        <f>F75+F76+F78+F80+F81+F83+F84+F86+F87+F89+F94+F74+F92</f>
        <v>23146713</v>
      </c>
      <c r="G73" s="28">
        <f>D73+F73</f>
        <v>35991103</v>
      </c>
      <c r="H73" s="71"/>
      <c r="I73" s="46"/>
    </row>
    <row r="74" spans="1:9" s="20" customFormat="1" ht="49.5" customHeight="1" hidden="1">
      <c r="A74" s="18" t="s">
        <v>211</v>
      </c>
      <c r="B74" s="4" t="s">
        <v>212</v>
      </c>
      <c r="C74" s="4" t="s">
        <v>468</v>
      </c>
      <c r="D74" s="17">
        <v>2829</v>
      </c>
      <c r="E74" s="4" t="s">
        <v>498</v>
      </c>
      <c r="F74" s="19">
        <v>7000</v>
      </c>
      <c r="G74" s="19">
        <f>D74+F74</f>
        <v>9829</v>
      </c>
      <c r="H74" s="4"/>
      <c r="I74" s="46"/>
    </row>
    <row r="75" spans="1:9" s="20" customFormat="1" ht="52.5" customHeight="1">
      <c r="A75" s="238" t="s">
        <v>120</v>
      </c>
      <c r="B75" s="239" t="s">
        <v>67</v>
      </c>
      <c r="C75" s="4" t="s">
        <v>392</v>
      </c>
      <c r="D75" s="17">
        <v>0</v>
      </c>
      <c r="E75" s="4" t="s">
        <v>392</v>
      </c>
      <c r="F75" s="19">
        <v>4059683</v>
      </c>
      <c r="G75" s="19">
        <f>D75+F75</f>
        <v>4059683</v>
      </c>
      <c r="H75" s="71">
        <v>299733</v>
      </c>
      <c r="I75" s="46"/>
    </row>
    <row r="76" spans="1:9" s="20" customFormat="1" ht="51.75" customHeight="1" hidden="1">
      <c r="A76" s="238"/>
      <c r="B76" s="239"/>
      <c r="C76" s="4"/>
      <c r="D76" s="17">
        <v>0</v>
      </c>
      <c r="E76" s="4"/>
      <c r="F76" s="19">
        <v>0</v>
      </c>
      <c r="G76" s="19">
        <f aca="true" t="shared" si="3" ref="G76:G94">D76+F76</f>
        <v>0</v>
      </c>
      <c r="H76" s="4"/>
      <c r="I76" s="46"/>
    </row>
    <row r="77" spans="1:9" s="20" customFormat="1" ht="54.75" customHeight="1" hidden="1">
      <c r="A77" s="238"/>
      <c r="B77" s="239"/>
      <c r="C77" s="4" t="s">
        <v>393</v>
      </c>
      <c r="D77" s="17">
        <v>406050</v>
      </c>
      <c r="E77" s="4"/>
      <c r="F77" s="19"/>
      <c r="G77" s="19">
        <f t="shared" si="3"/>
        <v>406050</v>
      </c>
      <c r="H77" s="4"/>
      <c r="I77" s="46"/>
    </row>
    <row r="78" spans="1:9" s="20" customFormat="1" ht="47.25" hidden="1">
      <c r="A78" s="238"/>
      <c r="B78" s="239"/>
      <c r="C78" s="35" t="s">
        <v>10</v>
      </c>
      <c r="D78" s="38">
        <v>38750</v>
      </c>
      <c r="E78" s="35" t="s">
        <v>10</v>
      </c>
      <c r="F78" s="36">
        <v>473495</v>
      </c>
      <c r="G78" s="19">
        <f t="shared" si="3"/>
        <v>512245</v>
      </c>
      <c r="H78" s="4"/>
      <c r="I78" s="46"/>
    </row>
    <row r="79" spans="1:9" s="20" customFormat="1" ht="63" hidden="1">
      <c r="A79" s="238"/>
      <c r="B79" s="239"/>
      <c r="C79" s="4" t="s">
        <v>468</v>
      </c>
      <c r="D79" s="17">
        <v>9003</v>
      </c>
      <c r="E79" s="35"/>
      <c r="F79" s="36"/>
      <c r="G79" s="19">
        <f t="shared" si="3"/>
        <v>9003</v>
      </c>
      <c r="H79" s="4"/>
      <c r="I79" s="46"/>
    </row>
    <row r="80" spans="1:9" s="20" customFormat="1" ht="50.25" customHeight="1">
      <c r="A80" s="238" t="s">
        <v>159</v>
      </c>
      <c r="B80" s="239" t="s">
        <v>280</v>
      </c>
      <c r="C80" s="4" t="s">
        <v>392</v>
      </c>
      <c r="D80" s="17">
        <v>0</v>
      </c>
      <c r="E80" s="4" t="s">
        <v>392</v>
      </c>
      <c r="F80" s="19">
        <v>699466</v>
      </c>
      <c r="G80" s="19">
        <f t="shared" si="3"/>
        <v>699466</v>
      </c>
      <c r="H80" s="71" t="s">
        <v>16</v>
      </c>
      <c r="I80" s="46"/>
    </row>
    <row r="81" spans="1:9" s="20" customFormat="1" ht="47.25" hidden="1">
      <c r="A81" s="238"/>
      <c r="B81" s="239"/>
      <c r="C81" s="35" t="s">
        <v>10</v>
      </c>
      <c r="D81" s="36">
        <v>0</v>
      </c>
      <c r="E81" s="35" t="s">
        <v>10</v>
      </c>
      <c r="F81" s="36">
        <v>96920</v>
      </c>
      <c r="G81" s="19">
        <f t="shared" si="3"/>
        <v>96920</v>
      </c>
      <c r="H81" s="4"/>
      <c r="I81" s="46"/>
    </row>
    <row r="82" spans="1:9" s="20" customFormat="1" ht="15.75" hidden="1">
      <c r="A82" s="238"/>
      <c r="B82" s="239"/>
      <c r="C82" s="4"/>
      <c r="D82" s="19">
        <v>0</v>
      </c>
      <c r="E82" s="35"/>
      <c r="F82" s="36"/>
      <c r="G82" s="19">
        <f t="shared" si="3"/>
        <v>0</v>
      </c>
      <c r="H82" s="4"/>
      <c r="I82" s="46"/>
    </row>
    <row r="83" spans="1:9" s="20" customFormat="1" ht="47.25">
      <c r="A83" s="238" t="s">
        <v>121</v>
      </c>
      <c r="B83" s="239" t="s">
        <v>68</v>
      </c>
      <c r="C83" s="4" t="s">
        <v>392</v>
      </c>
      <c r="D83" s="17">
        <v>0</v>
      </c>
      <c r="E83" s="4" t="s">
        <v>392</v>
      </c>
      <c r="F83" s="19">
        <v>668216</v>
      </c>
      <c r="G83" s="19">
        <f t="shared" si="3"/>
        <v>668216</v>
      </c>
      <c r="H83" s="71" t="s">
        <v>16</v>
      </c>
      <c r="I83" s="46"/>
    </row>
    <row r="84" spans="1:9" s="20" customFormat="1" ht="47.25" hidden="1">
      <c r="A84" s="238"/>
      <c r="B84" s="239"/>
      <c r="C84" s="35" t="s">
        <v>10</v>
      </c>
      <c r="D84" s="36">
        <v>28156</v>
      </c>
      <c r="E84" s="35" t="s">
        <v>10</v>
      </c>
      <c r="F84" s="36">
        <v>10000</v>
      </c>
      <c r="G84" s="19">
        <f t="shared" si="3"/>
        <v>38156</v>
      </c>
      <c r="H84" s="4"/>
      <c r="I84" s="46"/>
    </row>
    <row r="85" spans="1:9" s="20" customFormat="1" ht="15.75" hidden="1">
      <c r="A85" s="238"/>
      <c r="B85" s="239"/>
      <c r="C85" s="4"/>
      <c r="D85" s="19">
        <v>0</v>
      </c>
      <c r="E85" s="35"/>
      <c r="F85" s="36"/>
      <c r="G85" s="19">
        <f t="shared" si="3"/>
        <v>0</v>
      </c>
      <c r="H85" s="4"/>
      <c r="I85" s="46"/>
    </row>
    <row r="86" spans="1:9" s="20" customFormat="1" ht="47.25" customHeight="1">
      <c r="A86" s="238" t="s">
        <v>122</v>
      </c>
      <c r="B86" s="239" t="s">
        <v>69</v>
      </c>
      <c r="C86" s="4" t="s">
        <v>392</v>
      </c>
      <c r="D86" s="17">
        <v>0</v>
      </c>
      <c r="E86" s="4" t="s">
        <v>392</v>
      </c>
      <c r="F86" s="19">
        <v>6000</v>
      </c>
      <c r="G86" s="19">
        <f t="shared" si="3"/>
        <v>6000</v>
      </c>
      <c r="H86" s="71">
        <v>265928</v>
      </c>
      <c r="I86" s="46"/>
    </row>
    <row r="87" spans="1:9" s="20" customFormat="1" ht="47.25" hidden="1">
      <c r="A87" s="238"/>
      <c r="B87" s="239"/>
      <c r="C87" s="4"/>
      <c r="D87" s="17"/>
      <c r="E87" s="35" t="s">
        <v>10</v>
      </c>
      <c r="F87" s="36">
        <v>6000</v>
      </c>
      <c r="G87" s="19">
        <f t="shared" si="3"/>
        <v>6000</v>
      </c>
      <c r="H87" s="4"/>
      <c r="I87" s="46"/>
    </row>
    <row r="88" spans="1:9" s="20" customFormat="1" ht="66" customHeight="1" hidden="1">
      <c r="A88" s="238"/>
      <c r="B88" s="239"/>
      <c r="C88" s="4"/>
      <c r="D88" s="17">
        <v>0</v>
      </c>
      <c r="E88" s="35"/>
      <c r="F88" s="36"/>
      <c r="G88" s="19">
        <f t="shared" si="3"/>
        <v>0</v>
      </c>
      <c r="H88" s="4"/>
      <c r="I88" s="46"/>
    </row>
    <row r="89" spans="1:9" s="53" customFormat="1" ht="50.25" customHeight="1">
      <c r="A89" s="243" t="s">
        <v>385</v>
      </c>
      <c r="B89" s="241" t="s">
        <v>386</v>
      </c>
      <c r="C89" s="4" t="s">
        <v>392</v>
      </c>
      <c r="D89" s="17">
        <v>0</v>
      </c>
      <c r="E89" s="4" t="s">
        <v>392</v>
      </c>
      <c r="F89" s="19">
        <v>5905334</v>
      </c>
      <c r="G89" s="19">
        <f t="shared" si="3"/>
        <v>5905334</v>
      </c>
      <c r="H89" s="71">
        <v>19555</v>
      </c>
      <c r="I89" s="46"/>
    </row>
    <row r="90" spans="1:9" s="53" customFormat="1" ht="60" customHeight="1" hidden="1">
      <c r="A90" s="244"/>
      <c r="B90" s="242"/>
      <c r="C90" s="4" t="s">
        <v>468</v>
      </c>
      <c r="D90" s="17">
        <v>4380</v>
      </c>
      <c r="E90" s="4"/>
      <c r="F90" s="19"/>
      <c r="G90" s="19">
        <f>D90+F90</f>
        <v>4380</v>
      </c>
      <c r="H90" s="71"/>
      <c r="I90" s="46"/>
    </row>
    <row r="91" spans="1:9" s="20" customFormat="1" ht="47.25" hidden="1">
      <c r="A91" s="18" t="s">
        <v>160</v>
      </c>
      <c r="B91" s="4" t="s">
        <v>161</v>
      </c>
      <c r="C91" s="4" t="s">
        <v>293</v>
      </c>
      <c r="D91" s="17">
        <v>9209185</v>
      </c>
      <c r="E91" s="4"/>
      <c r="F91" s="9"/>
      <c r="G91" s="19">
        <f t="shared" si="3"/>
        <v>9209185</v>
      </c>
      <c r="H91" s="4"/>
      <c r="I91" s="46"/>
    </row>
    <row r="92" spans="1:9" s="20" customFormat="1" ht="63.75" customHeight="1" hidden="1">
      <c r="A92" s="18" t="s">
        <v>500</v>
      </c>
      <c r="B92" s="4" t="s">
        <v>501</v>
      </c>
      <c r="C92" s="4"/>
      <c r="D92" s="17"/>
      <c r="E92" s="4" t="s">
        <v>499</v>
      </c>
      <c r="F92" s="19">
        <v>35000</v>
      </c>
      <c r="G92" s="19">
        <f t="shared" si="3"/>
        <v>35000</v>
      </c>
      <c r="H92" s="4"/>
      <c r="I92" s="46"/>
    </row>
    <row r="93" spans="1:9" s="20" customFormat="1" ht="46.5" customHeight="1" hidden="1">
      <c r="A93" s="18" t="s">
        <v>124</v>
      </c>
      <c r="B93" s="4" t="s">
        <v>281</v>
      </c>
      <c r="C93" s="4" t="s">
        <v>12</v>
      </c>
      <c r="D93" s="17">
        <v>3146037</v>
      </c>
      <c r="E93" s="4"/>
      <c r="F93" s="9"/>
      <c r="G93" s="19">
        <f t="shared" si="3"/>
        <v>3146037</v>
      </c>
      <c r="H93" s="4"/>
      <c r="I93" s="46"/>
    </row>
    <row r="94" spans="1:9" s="20" customFormat="1" ht="52.5" customHeight="1" hidden="1">
      <c r="A94" s="18" t="s">
        <v>132</v>
      </c>
      <c r="B94" s="4" t="s">
        <v>133</v>
      </c>
      <c r="C94" s="4"/>
      <c r="D94" s="5"/>
      <c r="E94" s="4" t="s">
        <v>499</v>
      </c>
      <c r="F94" s="19">
        <v>11179599</v>
      </c>
      <c r="G94" s="19">
        <f t="shared" si="3"/>
        <v>11179599</v>
      </c>
      <c r="H94" s="71"/>
      <c r="I94" s="46"/>
    </row>
    <row r="95" spans="1:9" s="20" customFormat="1" ht="36" customHeight="1" hidden="1">
      <c r="A95" s="238" t="s">
        <v>119</v>
      </c>
      <c r="B95" s="239" t="s">
        <v>153</v>
      </c>
      <c r="C95" s="4"/>
      <c r="D95" s="5"/>
      <c r="E95" s="4" t="s">
        <v>176</v>
      </c>
      <c r="F95" s="12"/>
      <c r="G95" s="9">
        <v>0</v>
      </c>
      <c r="H95" s="4"/>
      <c r="I95" s="46"/>
    </row>
    <row r="96" spans="1:9" s="20" customFormat="1" ht="33" customHeight="1" hidden="1">
      <c r="A96" s="238"/>
      <c r="B96" s="239"/>
      <c r="C96" s="4"/>
      <c r="D96" s="5"/>
      <c r="E96" s="4" t="s">
        <v>177</v>
      </c>
      <c r="F96" s="12"/>
      <c r="G96" s="9">
        <v>0</v>
      </c>
      <c r="H96" s="4"/>
      <c r="I96" s="46"/>
    </row>
    <row r="97" spans="1:9" s="20" customFormat="1" ht="49.5" customHeight="1" hidden="1">
      <c r="A97" s="22" t="s">
        <v>189</v>
      </c>
      <c r="B97" s="23" t="s">
        <v>99</v>
      </c>
      <c r="C97" s="4"/>
      <c r="D97" s="28">
        <f>D100+D103+D105+D106+D108+D109+D110+D111+D112+D113+D117+D119+D120+D101</f>
        <v>13820054</v>
      </c>
      <c r="E97" s="9"/>
      <c r="F97" s="28">
        <f>F98+F101+F105+F106+F108+F111+F114+F115</f>
        <v>4962683</v>
      </c>
      <c r="G97" s="28">
        <f>D97+F97</f>
        <v>18782737</v>
      </c>
      <c r="H97" s="71"/>
      <c r="I97" s="46"/>
    </row>
    <row r="98" spans="1:9" s="20" customFormat="1" ht="31.5" hidden="1">
      <c r="A98" s="238" t="s">
        <v>211</v>
      </c>
      <c r="B98" s="239" t="s">
        <v>212</v>
      </c>
      <c r="C98" s="4"/>
      <c r="D98" s="19"/>
      <c r="E98" s="4" t="s">
        <v>498</v>
      </c>
      <c r="F98" s="19">
        <v>523900</v>
      </c>
      <c r="G98" s="19">
        <f>D98+F98</f>
        <v>523900</v>
      </c>
      <c r="H98" s="4"/>
      <c r="I98" s="46"/>
    </row>
    <row r="99" spans="1:9" s="20" customFormat="1" ht="96.75" customHeight="1" hidden="1">
      <c r="A99" s="238"/>
      <c r="B99" s="239"/>
      <c r="C99" s="4" t="s">
        <v>279</v>
      </c>
      <c r="D99" s="17">
        <v>0</v>
      </c>
      <c r="E99" s="4"/>
      <c r="F99" s="9"/>
      <c r="G99" s="19">
        <f aca="true" t="shared" si="4" ref="G99:G120">D99+F99</f>
        <v>0</v>
      </c>
      <c r="H99" s="4"/>
      <c r="I99" s="46"/>
    </row>
    <row r="100" spans="1:9" s="20" customFormat="1" ht="64.5" customHeight="1" hidden="1">
      <c r="A100" s="238"/>
      <c r="B100" s="239"/>
      <c r="C100" s="4" t="s">
        <v>468</v>
      </c>
      <c r="D100" s="19">
        <v>5519</v>
      </c>
      <c r="E100" s="4"/>
      <c r="F100" s="9"/>
      <c r="G100" s="19">
        <f t="shared" si="4"/>
        <v>5519</v>
      </c>
      <c r="H100" s="4"/>
      <c r="I100" s="46"/>
    </row>
    <row r="101" spans="1:9" s="20" customFormat="1" ht="51.75" customHeight="1" hidden="1">
      <c r="A101" s="238" t="s">
        <v>127</v>
      </c>
      <c r="B101" s="239" t="s">
        <v>285</v>
      </c>
      <c r="C101" s="4" t="s">
        <v>468</v>
      </c>
      <c r="D101" s="19">
        <v>239</v>
      </c>
      <c r="E101" s="4" t="s">
        <v>517</v>
      </c>
      <c r="F101" s="19">
        <v>119850</v>
      </c>
      <c r="G101" s="19">
        <f t="shared" si="4"/>
        <v>120089</v>
      </c>
      <c r="H101" s="4"/>
      <c r="I101" s="46"/>
    </row>
    <row r="102" spans="1:9" s="20" customFormat="1" ht="63" hidden="1">
      <c r="A102" s="238"/>
      <c r="B102" s="239"/>
      <c r="C102" s="4" t="s">
        <v>382</v>
      </c>
      <c r="D102" s="17">
        <v>0</v>
      </c>
      <c r="E102" s="4"/>
      <c r="F102" s="19"/>
      <c r="G102" s="19">
        <f t="shared" si="4"/>
        <v>0</v>
      </c>
      <c r="H102" s="4"/>
      <c r="I102" s="46"/>
    </row>
    <row r="103" spans="1:9" s="20" customFormat="1" ht="47.25" hidden="1">
      <c r="A103" s="18" t="s">
        <v>128</v>
      </c>
      <c r="B103" s="4" t="s">
        <v>286</v>
      </c>
      <c r="C103" s="4" t="s">
        <v>517</v>
      </c>
      <c r="D103" s="17">
        <v>201763</v>
      </c>
      <c r="E103" s="4"/>
      <c r="F103" s="9"/>
      <c r="G103" s="19">
        <f t="shared" si="4"/>
        <v>201763</v>
      </c>
      <c r="H103" s="4"/>
      <c r="I103" s="46"/>
    </row>
    <row r="104" spans="1:9" s="20" customFormat="1" ht="47.25" hidden="1">
      <c r="A104" s="18" t="s">
        <v>129</v>
      </c>
      <c r="B104" s="4" t="s">
        <v>287</v>
      </c>
      <c r="C104" s="4"/>
      <c r="D104" s="17"/>
      <c r="E104" s="4"/>
      <c r="F104" s="9"/>
      <c r="G104" s="19">
        <f t="shared" si="4"/>
        <v>0</v>
      </c>
      <c r="H104" s="4"/>
      <c r="I104" s="46"/>
    </row>
    <row r="105" spans="1:9" s="20" customFormat="1" ht="47.25" customHeight="1" hidden="1">
      <c r="A105" s="238" t="s">
        <v>209</v>
      </c>
      <c r="B105" s="239" t="s">
        <v>210</v>
      </c>
      <c r="C105" s="4" t="s">
        <v>493</v>
      </c>
      <c r="D105" s="17">
        <v>3925134</v>
      </c>
      <c r="E105" s="4" t="s">
        <v>518</v>
      </c>
      <c r="F105" s="19">
        <v>53060</v>
      </c>
      <c r="G105" s="19">
        <f t="shared" si="4"/>
        <v>3978194</v>
      </c>
      <c r="H105" s="4"/>
      <c r="I105" s="46"/>
    </row>
    <row r="106" spans="1:9" s="20" customFormat="1" ht="50.25" customHeight="1" hidden="1">
      <c r="A106" s="238"/>
      <c r="B106" s="239"/>
      <c r="C106" s="4" t="s">
        <v>442</v>
      </c>
      <c r="D106" s="17">
        <v>24192</v>
      </c>
      <c r="E106" s="4" t="s">
        <v>442</v>
      </c>
      <c r="F106" s="19">
        <v>24192</v>
      </c>
      <c r="G106" s="19">
        <f t="shared" si="4"/>
        <v>48384</v>
      </c>
      <c r="H106" s="4"/>
      <c r="I106" s="46"/>
    </row>
    <row r="107" spans="1:9" s="20" customFormat="1" ht="110.25" customHeight="1" hidden="1">
      <c r="A107" s="238"/>
      <c r="B107" s="239"/>
      <c r="C107" s="4"/>
      <c r="D107" s="17"/>
      <c r="E107" s="4"/>
      <c r="F107" s="9"/>
      <c r="G107" s="19">
        <f t="shared" si="4"/>
        <v>0</v>
      </c>
      <c r="H107" s="4"/>
      <c r="I107" s="46"/>
    </row>
    <row r="108" spans="1:9" s="20" customFormat="1" ht="51" customHeight="1" hidden="1">
      <c r="A108" s="238"/>
      <c r="B108" s="239"/>
      <c r="C108" s="35" t="s">
        <v>10</v>
      </c>
      <c r="D108" s="37">
        <v>3500</v>
      </c>
      <c r="E108" s="35" t="s">
        <v>10</v>
      </c>
      <c r="F108" s="37">
        <v>23400</v>
      </c>
      <c r="G108" s="19">
        <f t="shared" si="4"/>
        <v>26900</v>
      </c>
      <c r="H108" s="4"/>
      <c r="I108" s="46"/>
    </row>
    <row r="109" spans="1:9" s="20" customFormat="1" ht="63" hidden="1">
      <c r="A109" s="238"/>
      <c r="B109" s="239"/>
      <c r="C109" s="4" t="s">
        <v>468</v>
      </c>
      <c r="D109" s="9">
        <v>8307</v>
      </c>
      <c r="E109" s="35"/>
      <c r="F109" s="37"/>
      <c r="G109" s="19">
        <f t="shared" si="4"/>
        <v>8307</v>
      </c>
      <c r="H109" s="4"/>
      <c r="I109" s="46"/>
    </row>
    <row r="110" spans="1:9" s="20" customFormat="1" ht="49.5" customHeight="1" hidden="1">
      <c r="A110" s="238" t="s">
        <v>71</v>
      </c>
      <c r="B110" s="239" t="s">
        <v>65</v>
      </c>
      <c r="C110" s="4" t="s">
        <v>494</v>
      </c>
      <c r="D110" s="17">
        <v>972100</v>
      </c>
      <c r="E110" s="4"/>
      <c r="F110" s="9"/>
      <c r="G110" s="19">
        <f t="shared" si="4"/>
        <v>972100</v>
      </c>
      <c r="H110" s="4"/>
      <c r="I110" s="46"/>
    </row>
    <row r="111" spans="1:9" s="20" customFormat="1" ht="47.25" hidden="1">
      <c r="A111" s="238"/>
      <c r="B111" s="239"/>
      <c r="C111" s="35" t="s">
        <v>315</v>
      </c>
      <c r="D111" s="37">
        <v>0</v>
      </c>
      <c r="E111" s="35" t="s">
        <v>315</v>
      </c>
      <c r="F111" s="37">
        <v>0</v>
      </c>
      <c r="G111" s="19">
        <f t="shared" si="4"/>
        <v>0</v>
      </c>
      <c r="H111" s="4"/>
      <c r="I111" s="46"/>
    </row>
    <row r="112" spans="1:9" s="20" customFormat="1" ht="48" customHeight="1" hidden="1">
      <c r="A112" s="238" t="s">
        <v>134</v>
      </c>
      <c r="B112" s="239" t="s">
        <v>141</v>
      </c>
      <c r="C112" s="4" t="s">
        <v>494</v>
      </c>
      <c r="D112" s="17">
        <v>7134400</v>
      </c>
      <c r="E112" s="4"/>
      <c r="F112" s="9"/>
      <c r="G112" s="19">
        <f>D112+F112</f>
        <v>7134400</v>
      </c>
      <c r="H112" s="4"/>
      <c r="I112" s="46"/>
    </row>
    <row r="113" spans="1:9" s="20" customFormat="1" ht="47.25" hidden="1">
      <c r="A113" s="238"/>
      <c r="B113" s="239"/>
      <c r="C113" s="35" t="s">
        <v>315</v>
      </c>
      <c r="D113" s="38">
        <v>0</v>
      </c>
      <c r="E113" s="35"/>
      <c r="F113" s="37"/>
      <c r="G113" s="19">
        <f t="shared" si="4"/>
        <v>0</v>
      </c>
      <c r="H113" s="4"/>
      <c r="I113" s="46"/>
    </row>
    <row r="114" spans="1:9" s="20" customFormat="1" ht="48" customHeight="1" hidden="1">
      <c r="A114" s="238" t="s">
        <v>132</v>
      </c>
      <c r="B114" s="239" t="s">
        <v>133</v>
      </c>
      <c r="C114" s="4"/>
      <c r="D114" s="17"/>
      <c r="E114" s="4" t="s">
        <v>369</v>
      </c>
      <c r="F114" s="12">
        <v>0</v>
      </c>
      <c r="G114" s="19">
        <f t="shared" si="4"/>
        <v>0</v>
      </c>
      <c r="H114" s="4"/>
      <c r="I114" s="46"/>
    </row>
    <row r="115" spans="1:9" s="20" customFormat="1" ht="45.75" customHeight="1" hidden="1">
      <c r="A115" s="238"/>
      <c r="B115" s="239"/>
      <c r="C115" s="4"/>
      <c r="D115" s="5"/>
      <c r="E115" s="4" t="s">
        <v>519</v>
      </c>
      <c r="F115" s="12">
        <v>4218281</v>
      </c>
      <c r="G115" s="19">
        <f t="shared" si="4"/>
        <v>4218281</v>
      </c>
      <c r="H115" s="4"/>
      <c r="I115" s="46"/>
    </row>
    <row r="116" spans="1:9" s="20" customFormat="1" ht="52.5" customHeight="1" hidden="1">
      <c r="A116" s="18" t="s">
        <v>81</v>
      </c>
      <c r="B116" s="239" t="s">
        <v>283</v>
      </c>
      <c r="C116" s="4" t="s">
        <v>178</v>
      </c>
      <c r="D116" s="17"/>
      <c r="E116" s="4"/>
      <c r="F116" s="16"/>
      <c r="G116" s="19">
        <f t="shared" si="4"/>
        <v>0</v>
      </c>
      <c r="H116" s="4"/>
      <c r="I116" s="46"/>
    </row>
    <row r="117" spans="1:9" s="20" customFormat="1" ht="53.25" customHeight="1" hidden="1">
      <c r="A117" s="238" t="s">
        <v>81</v>
      </c>
      <c r="B117" s="239"/>
      <c r="C117" s="4" t="s">
        <v>494</v>
      </c>
      <c r="D117" s="17">
        <v>174150</v>
      </c>
      <c r="E117" s="4"/>
      <c r="F117" s="16"/>
      <c r="G117" s="19">
        <f t="shared" si="4"/>
        <v>174150</v>
      </c>
      <c r="H117" s="4"/>
      <c r="I117" s="46"/>
    </row>
    <row r="118" spans="1:9" s="20" customFormat="1" ht="62.25" customHeight="1" hidden="1">
      <c r="A118" s="238"/>
      <c r="B118" s="239"/>
      <c r="C118" s="4" t="s">
        <v>279</v>
      </c>
      <c r="D118" s="17"/>
      <c r="E118" s="4"/>
      <c r="F118" s="16"/>
      <c r="G118" s="19">
        <f t="shared" si="4"/>
        <v>0</v>
      </c>
      <c r="H118" s="4"/>
      <c r="I118" s="46"/>
    </row>
    <row r="119" spans="1:9" s="20" customFormat="1" ht="57" customHeight="1" hidden="1">
      <c r="A119" s="18" t="s">
        <v>135</v>
      </c>
      <c r="B119" s="4" t="s">
        <v>284</v>
      </c>
      <c r="C119" s="4" t="s">
        <v>494</v>
      </c>
      <c r="D119" s="17">
        <v>500000</v>
      </c>
      <c r="E119" s="4"/>
      <c r="F119" s="16"/>
      <c r="G119" s="19">
        <f t="shared" si="4"/>
        <v>500000</v>
      </c>
      <c r="H119" s="4"/>
      <c r="I119" s="46"/>
    </row>
    <row r="120" spans="1:9" s="20" customFormat="1" ht="51" customHeight="1" hidden="1">
      <c r="A120" s="18" t="s">
        <v>165</v>
      </c>
      <c r="B120" s="4" t="s">
        <v>271</v>
      </c>
      <c r="C120" s="4" t="s">
        <v>494</v>
      </c>
      <c r="D120" s="17">
        <v>870750</v>
      </c>
      <c r="E120" s="4"/>
      <c r="F120" s="16"/>
      <c r="G120" s="19">
        <f t="shared" si="4"/>
        <v>870750</v>
      </c>
      <c r="H120" s="4"/>
      <c r="I120" s="46"/>
    </row>
    <row r="121" spans="1:9" s="20" customFormat="1" ht="68.25" customHeight="1" hidden="1">
      <c r="A121" s="22" t="s">
        <v>222</v>
      </c>
      <c r="B121" s="23" t="s">
        <v>226</v>
      </c>
      <c r="C121" s="4"/>
      <c r="D121" s="24">
        <v>0</v>
      </c>
      <c r="E121" s="4"/>
      <c r="F121" s="24">
        <v>0</v>
      </c>
      <c r="G121" s="24">
        <v>0</v>
      </c>
      <c r="H121" s="4"/>
      <c r="I121" s="46"/>
    </row>
    <row r="122" spans="1:9" s="20" customFormat="1" ht="31.5" hidden="1">
      <c r="A122" s="18" t="s">
        <v>211</v>
      </c>
      <c r="B122" s="4" t="s">
        <v>212</v>
      </c>
      <c r="C122" s="4" t="s">
        <v>223</v>
      </c>
      <c r="D122" s="17"/>
      <c r="E122" s="4" t="s">
        <v>223</v>
      </c>
      <c r="F122" s="12"/>
      <c r="G122" s="9">
        <v>0</v>
      </c>
      <c r="H122" s="4"/>
      <c r="I122" s="46"/>
    </row>
    <row r="123" spans="1:9" s="20" customFormat="1" ht="63" hidden="1">
      <c r="A123" s="22" t="s">
        <v>233</v>
      </c>
      <c r="B123" s="23" t="s">
        <v>234</v>
      </c>
      <c r="C123" s="4"/>
      <c r="D123" s="24">
        <f>D124</f>
        <v>0</v>
      </c>
      <c r="E123" s="4"/>
      <c r="F123" s="24">
        <f>F124</f>
        <v>7000</v>
      </c>
      <c r="G123" s="24">
        <f>D123+F123</f>
        <v>7000</v>
      </c>
      <c r="H123" s="4"/>
      <c r="I123" s="46"/>
    </row>
    <row r="124" spans="1:9" s="20" customFormat="1" ht="31.5" hidden="1">
      <c r="A124" s="18" t="s">
        <v>211</v>
      </c>
      <c r="B124" s="4" t="s">
        <v>212</v>
      </c>
      <c r="C124" s="4"/>
      <c r="D124" s="17"/>
      <c r="E124" s="4" t="s">
        <v>498</v>
      </c>
      <c r="F124" s="12">
        <v>7000</v>
      </c>
      <c r="G124" s="19">
        <f>D124+F124</f>
        <v>7000</v>
      </c>
      <c r="H124" s="4"/>
      <c r="I124" s="46"/>
    </row>
    <row r="125" spans="1:9" s="20" customFormat="1" ht="35.25" customHeight="1">
      <c r="A125" s="22" t="s">
        <v>194</v>
      </c>
      <c r="B125" s="23" t="s">
        <v>102</v>
      </c>
      <c r="C125" s="4"/>
      <c r="D125" s="24">
        <f>D127+D129+D130+D131+D132+D133+D135+D137+D138+D140+D141+D142+D128+D134+D143+D139+D136</f>
        <v>8363013</v>
      </c>
      <c r="E125" s="5"/>
      <c r="F125" s="24">
        <f>F127+F129+F130+F132+F133+F135+F140+F141+F144+F145+F137</f>
        <v>4246260</v>
      </c>
      <c r="G125" s="28">
        <f>D125+F125</f>
        <v>12609273</v>
      </c>
      <c r="H125" s="71"/>
      <c r="I125" s="46"/>
    </row>
    <row r="126" spans="1:9" s="20" customFormat="1" ht="31.5" hidden="1">
      <c r="A126" s="18" t="s">
        <v>211</v>
      </c>
      <c r="B126" s="4" t="s">
        <v>212</v>
      </c>
      <c r="C126" s="4" t="s">
        <v>225</v>
      </c>
      <c r="D126" s="17"/>
      <c r="E126" s="4"/>
      <c r="F126" s="19"/>
      <c r="G126" s="16">
        <v>0</v>
      </c>
      <c r="H126" s="4"/>
      <c r="I126" s="46"/>
    </row>
    <row r="127" spans="1:9" s="20" customFormat="1" ht="54" customHeight="1">
      <c r="A127" s="238" t="s">
        <v>205</v>
      </c>
      <c r="B127" s="239" t="s">
        <v>206</v>
      </c>
      <c r="C127" s="4" t="s">
        <v>9</v>
      </c>
      <c r="D127" s="17">
        <v>599140</v>
      </c>
      <c r="E127" s="4" t="s">
        <v>9</v>
      </c>
      <c r="F127" s="19">
        <v>1321</v>
      </c>
      <c r="G127" s="12">
        <f>D127+F127</f>
        <v>600461</v>
      </c>
      <c r="H127" s="71">
        <v>0</v>
      </c>
      <c r="I127" s="46"/>
    </row>
    <row r="128" spans="1:9" s="20" customFormat="1" ht="65.25" customHeight="1" hidden="1">
      <c r="A128" s="238"/>
      <c r="B128" s="239"/>
      <c r="C128" s="4" t="s">
        <v>468</v>
      </c>
      <c r="D128" s="17">
        <v>279</v>
      </c>
      <c r="E128" s="4"/>
      <c r="F128" s="19"/>
      <c r="G128" s="12">
        <f aca="true" t="shared" si="5" ref="G128:G144">D128+F128</f>
        <v>279</v>
      </c>
      <c r="H128" s="4"/>
      <c r="I128" s="46"/>
    </row>
    <row r="129" spans="1:9" s="20" customFormat="1" ht="54" customHeight="1">
      <c r="A129" s="238" t="s">
        <v>207</v>
      </c>
      <c r="B129" s="239" t="s">
        <v>208</v>
      </c>
      <c r="C129" s="4" t="s">
        <v>9</v>
      </c>
      <c r="D129" s="17">
        <v>2188093</v>
      </c>
      <c r="E129" s="4" t="s">
        <v>9</v>
      </c>
      <c r="F129" s="19">
        <v>207061</v>
      </c>
      <c r="G129" s="12">
        <f t="shared" si="5"/>
        <v>2395154</v>
      </c>
      <c r="H129" s="71">
        <v>0</v>
      </c>
      <c r="I129" s="46"/>
    </row>
    <row r="130" spans="1:9" s="20" customFormat="1" ht="47.25" hidden="1">
      <c r="A130" s="238"/>
      <c r="B130" s="239"/>
      <c r="C130" s="35" t="s">
        <v>10</v>
      </c>
      <c r="D130" s="36">
        <v>500</v>
      </c>
      <c r="E130" s="35" t="s">
        <v>10</v>
      </c>
      <c r="F130" s="36">
        <v>59018</v>
      </c>
      <c r="G130" s="12">
        <f t="shared" si="5"/>
        <v>59518</v>
      </c>
      <c r="H130" s="4"/>
      <c r="I130" s="46"/>
    </row>
    <row r="131" spans="1:9" s="20" customFormat="1" ht="66.75" customHeight="1" hidden="1">
      <c r="A131" s="238"/>
      <c r="B131" s="239"/>
      <c r="C131" s="4" t="s">
        <v>468</v>
      </c>
      <c r="D131" s="19">
        <v>2511</v>
      </c>
      <c r="E131" s="35"/>
      <c r="F131" s="36"/>
      <c r="G131" s="12">
        <f t="shared" si="5"/>
        <v>2511</v>
      </c>
      <c r="H131" s="4"/>
      <c r="I131" s="46"/>
    </row>
    <row r="132" spans="1:9" s="20" customFormat="1" ht="54" customHeight="1">
      <c r="A132" s="243" t="s">
        <v>215</v>
      </c>
      <c r="B132" s="241" t="s">
        <v>216</v>
      </c>
      <c r="C132" s="4" t="s">
        <v>9</v>
      </c>
      <c r="D132" s="17">
        <v>1255924</v>
      </c>
      <c r="E132" s="4" t="s">
        <v>9</v>
      </c>
      <c r="F132" s="19">
        <v>1931965</v>
      </c>
      <c r="G132" s="12">
        <f t="shared" si="5"/>
        <v>3187889</v>
      </c>
      <c r="H132" s="73">
        <f>149214+58070+7900+19790+167074+132486</f>
        <v>534534</v>
      </c>
      <c r="I132" s="72"/>
    </row>
    <row r="133" spans="1:9" s="20" customFormat="1" ht="47.25" hidden="1">
      <c r="A133" s="246"/>
      <c r="B133" s="247"/>
      <c r="C133" s="35" t="s">
        <v>10</v>
      </c>
      <c r="D133" s="36">
        <v>0</v>
      </c>
      <c r="E133" s="35" t="s">
        <v>10</v>
      </c>
      <c r="F133" s="36">
        <v>4920</v>
      </c>
      <c r="G133" s="12">
        <f t="shared" si="5"/>
        <v>4920</v>
      </c>
      <c r="H133" s="4"/>
      <c r="I133" s="46"/>
    </row>
    <row r="134" spans="1:9" s="20" customFormat="1" ht="63" hidden="1">
      <c r="A134" s="244"/>
      <c r="B134" s="242"/>
      <c r="C134" s="4" t="s">
        <v>468</v>
      </c>
      <c r="D134" s="19">
        <v>5829</v>
      </c>
      <c r="E134" s="35"/>
      <c r="F134" s="36"/>
      <c r="G134" s="12">
        <f>D134+F134</f>
        <v>5829</v>
      </c>
      <c r="H134" s="4"/>
      <c r="I134" s="46"/>
    </row>
    <row r="135" spans="1:9" s="20" customFormat="1" ht="51" customHeight="1">
      <c r="A135" s="238" t="s">
        <v>213</v>
      </c>
      <c r="B135" s="239" t="s">
        <v>214</v>
      </c>
      <c r="C135" s="4" t="s">
        <v>9</v>
      </c>
      <c r="D135" s="17">
        <v>536069</v>
      </c>
      <c r="E135" s="4" t="s">
        <v>9</v>
      </c>
      <c r="F135" s="19">
        <v>1820736</v>
      </c>
      <c r="G135" s="12">
        <f t="shared" si="5"/>
        <v>2356805</v>
      </c>
      <c r="H135" s="71">
        <v>321482</v>
      </c>
      <c r="I135" s="46"/>
    </row>
    <row r="136" spans="1:9" s="20" customFormat="1" ht="63" hidden="1">
      <c r="A136" s="238"/>
      <c r="B136" s="239"/>
      <c r="C136" s="4" t="s">
        <v>468</v>
      </c>
      <c r="D136" s="17">
        <v>2232</v>
      </c>
      <c r="E136" s="35"/>
      <c r="F136" s="36"/>
      <c r="G136" s="12">
        <f t="shared" si="5"/>
        <v>2232</v>
      </c>
      <c r="H136" s="4"/>
      <c r="I136" s="46"/>
    </row>
    <row r="137" spans="1:9" s="20" customFormat="1" ht="66" customHeight="1" hidden="1">
      <c r="A137" s="238"/>
      <c r="B137" s="239"/>
      <c r="C137" s="4"/>
      <c r="D137" s="17"/>
      <c r="E137" s="35" t="s">
        <v>10</v>
      </c>
      <c r="F137" s="36">
        <v>3000</v>
      </c>
      <c r="G137" s="12">
        <f t="shared" si="5"/>
        <v>3000</v>
      </c>
      <c r="H137" s="4"/>
      <c r="I137" s="46"/>
    </row>
    <row r="138" spans="1:9" s="20" customFormat="1" ht="47.25" hidden="1">
      <c r="A138" s="248">
        <v>110300</v>
      </c>
      <c r="B138" s="241" t="s">
        <v>78</v>
      </c>
      <c r="C138" s="4" t="s">
        <v>11</v>
      </c>
      <c r="D138" s="21">
        <v>1114809</v>
      </c>
      <c r="E138" s="4"/>
      <c r="F138" s="36"/>
      <c r="G138" s="12">
        <f t="shared" si="5"/>
        <v>1114809</v>
      </c>
      <c r="H138" s="4"/>
      <c r="I138" s="46"/>
    </row>
    <row r="139" spans="1:9" s="20" customFormat="1" ht="63" hidden="1">
      <c r="A139" s="249"/>
      <c r="B139" s="242"/>
      <c r="C139" s="4" t="s">
        <v>468</v>
      </c>
      <c r="D139" s="21">
        <v>13116</v>
      </c>
      <c r="E139" s="4"/>
      <c r="F139" s="36"/>
      <c r="G139" s="12">
        <f t="shared" si="5"/>
        <v>13116</v>
      </c>
      <c r="H139" s="4"/>
      <c r="I139" s="46"/>
    </row>
    <row r="140" spans="1:9" s="20" customFormat="1" ht="31.5">
      <c r="A140" s="245">
        <v>110502</v>
      </c>
      <c r="B140" s="239" t="s">
        <v>66</v>
      </c>
      <c r="C140" s="4" t="s">
        <v>6</v>
      </c>
      <c r="D140" s="15">
        <v>1693819</v>
      </c>
      <c r="E140" s="4" t="s">
        <v>520</v>
      </c>
      <c r="F140" s="16">
        <v>42020</v>
      </c>
      <c r="G140" s="12">
        <f t="shared" si="5"/>
        <v>1735839</v>
      </c>
      <c r="H140" s="71"/>
      <c r="I140" s="46"/>
    </row>
    <row r="141" spans="1:9" s="20" customFormat="1" ht="51" customHeight="1">
      <c r="A141" s="245"/>
      <c r="B141" s="239"/>
      <c r="C141" s="4" t="s">
        <v>9</v>
      </c>
      <c r="D141" s="15">
        <v>925412</v>
      </c>
      <c r="E141" s="4" t="s">
        <v>9</v>
      </c>
      <c r="F141" s="12">
        <v>39696</v>
      </c>
      <c r="G141" s="12">
        <f t="shared" si="5"/>
        <v>965108</v>
      </c>
      <c r="H141" s="4"/>
      <c r="I141" s="46"/>
    </row>
    <row r="142" spans="1:9" s="20" customFormat="1" ht="55.5" customHeight="1" hidden="1">
      <c r="A142" s="245"/>
      <c r="B142" s="239"/>
      <c r="C142" s="4" t="s">
        <v>5</v>
      </c>
      <c r="D142" s="15">
        <v>20000</v>
      </c>
      <c r="E142" s="35"/>
      <c r="F142" s="16"/>
      <c r="G142" s="12">
        <f t="shared" si="5"/>
        <v>20000</v>
      </c>
      <c r="H142" s="4"/>
      <c r="I142" s="46"/>
    </row>
    <row r="143" spans="1:9" s="20" customFormat="1" ht="68.25" customHeight="1" hidden="1">
      <c r="A143" s="245"/>
      <c r="B143" s="239"/>
      <c r="C143" s="4" t="s">
        <v>468</v>
      </c>
      <c r="D143" s="15">
        <v>5280</v>
      </c>
      <c r="E143" s="4"/>
      <c r="F143" s="16"/>
      <c r="G143" s="12">
        <f t="shared" si="5"/>
        <v>5280</v>
      </c>
      <c r="H143" s="4"/>
      <c r="I143" s="46"/>
    </row>
    <row r="144" spans="1:9" s="20" customFormat="1" ht="47.25" hidden="1">
      <c r="A144" s="245"/>
      <c r="B144" s="239"/>
      <c r="C144" s="4"/>
      <c r="D144" s="15"/>
      <c r="E144" s="35" t="s">
        <v>315</v>
      </c>
      <c r="F144" s="36"/>
      <c r="G144" s="12">
        <f t="shared" si="5"/>
        <v>0</v>
      </c>
      <c r="H144" s="4"/>
      <c r="I144" s="46"/>
    </row>
    <row r="145" spans="1:9" s="20" customFormat="1" ht="47.25" hidden="1">
      <c r="A145" s="18" t="s">
        <v>132</v>
      </c>
      <c r="B145" s="4" t="s">
        <v>133</v>
      </c>
      <c r="C145" s="4"/>
      <c r="D145" s="5"/>
      <c r="E145" s="4" t="s">
        <v>9</v>
      </c>
      <c r="F145" s="19">
        <v>136523</v>
      </c>
      <c r="G145" s="12">
        <f>D145+F145</f>
        <v>136523</v>
      </c>
      <c r="H145" s="71"/>
      <c r="I145" s="46"/>
    </row>
    <row r="146" spans="1:9" s="20" customFormat="1" ht="47.25" hidden="1">
      <c r="A146" s="22" t="s">
        <v>394</v>
      </c>
      <c r="B146" s="23" t="s">
        <v>395</v>
      </c>
      <c r="C146" s="4"/>
      <c r="D146" s="24">
        <v>0</v>
      </c>
      <c r="E146" s="5"/>
      <c r="F146" s="28">
        <v>0</v>
      </c>
      <c r="G146" s="27">
        <v>0</v>
      </c>
      <c r="H146" s="71"/>
      <c r="I146" s="46"/>
    </row>
    <row r="147" spans="1:9" s="20" customFormat="1" ht="47.25" hidden="1">
      <c r="A147" s="18" t="s">
        <v>211</v>
      </c>
      <c r="B147" s="4" t="s">
        <v>212</v>
      </c>
      <c r="C147" s="4"/>
      <c r="D147" s="5"/>
      <c r="E147" s="55" t="s">
        <v>367</v>
      </c>
      <c r="F147" s="56">
        <v>0</v>
      </c>
      <c r="G147" s="9">
        <v>0</v>
      </c>
      <c r="H147" s="71"/>
      <c r="I147" s="46"/>
    </row>
    <row r="148" spans="1:9" s="20" customFormat="1" ht="54" customHeight="1" hidden="1">
      <c r="A148" s="22" t="s">
        <v>193</v>
      </c>
      <c r="B148" s="23" t="s">
        <v>219</v>
      </c>
      <c r="C148" s="4"/>
      <c r="D148" s="24">
        <f>D149+D150+D151+D152</f>
        <v>228711</v>
      </c>
      <c r="E148" s="5"/>
      <c r="F148" s="28">
        <f>F149+F150</f>
        <v>1000201</v>
      </c>
      <c r="G148" s="28">
        <f aca="true" t="shared" si="6" ref="G148:G178">D148+F148</f>
        <v>1228912</v>
      </c>
      <c r="H148" s="71"/>
      <c r="I148" s="46"/>
    </row>
    <row r="149" spans="1:9" s="20" customFormat="1" ht="31.5" hidden="1">
      <c r="A149" s="18" t="s">
        <v>211</v>
      </c>
      <c r="B149" s="4" t="s">
        <v>212</v>
      </c>
      <c r="C149" s="4"/>
      <c r="D149" s="17"/>
      <c r="E149" s="4" t="s">
        <v>498</v>
      </c>
      <c r="F149" s="19">
        <v>14000</v>
      </c>
      <c r="G149" s="19">
        <f t="shared" si="6"/>
        <v>14000</v>
      </c>
      <c r="H149" s="4"/>
      <c r="I149" s="46"/>
    </row>
    <row r="150" spans="1:9" s="20" customFormat="1" ht="47.25" hidden="1">
      <c r="A150" s="18" t="s">
        <v>132</v>
      </c>
      <c r="B150" s="4" t="s">
        <v>133</v>
      </c>
      <c r="C150" s="4"/>
      <c r="D150" s="5"/>
      <c r="E150" s="4" t="s">
        <v>495</v>
      </c>
      <c r="F150" s="19">
        <v>986201</v>
      </c>
      <c r="G150" s="19">
        <f t="shared" si="6"/>
        <v>986201</v>
      </c>
      <c r="H150" s="4"/>
      <c r="I150" s="46"/>
    </row>
    <row r="151" spans="1:9" s="20" customFormat="1" ht="66" customHeight="1" hidden="1">
      <c r="A151" s="18" t="s">
        <v>125</v>
      </c>
      <c r="B151" s="4" t="s">
        <v>140</v>
      </c>
      <c r="C151" s="4" t="s">
        <v>441</v>
      </c>
      <c r="D151" s="17">
        <v>120711</v>
      </c>
      <c r="E151" s="4"/>
      <c r="F151" s="9"/>
      <c r="G151" s="19">
        <f t="shared" si="6"/>
        <v>120711</v>
      </c>
      <c r="H151" s="4"/>
      <c r="I151" s="46"/>
    </row>
    <row r="152" spans="1:9" s="20" customFormat="1" ht="47.25" hidden="1">
      <c r="A152" s="18" t="s">
        <v>150</v>
      </c>
      <c r="B152" s="4" t="s">
        <v>269</v>
      </c>
      <c r="C152" s="4" t="s">
        <v>433</v>
      </c>
      <c r="D152" s="17">
        <v>108000</v>
      </c>
      <c r="E152" s="4"/>
      <c r="F152" s="9"/>
      <c r="G152" s="19">
        <f t="shared" si="6"/>
        <v>108000</v>
      </c>
      <c r="H152" s="4"/>
      <c r="I152" s="46"/>
    </row>
    <row r="153" spans="1:9" s="20" customFormat="1" ht="47.25" hidden="1">
      <c r="A153" s="22" t="s">
        <v>228</v>
      </c>
      <c r="B153" s="23" t="s">
        <v>229</v>
      </c>
      <c r="C153" s="4"/>
      <c r="D153" s="24">
        <f>D154</f>
        <v>0</v>
      </c>
      <c r="E153" s="5"/>
      <c r="F153" s="24">
        <f>F154</f>
        <v>0</v>
      </c>
      <c r="G153" s="24">
        <f t="shared" si="6"/>
        <v>0</v>
      </c>
      <c r="H153" s="71"/>
      <c r="I153" s="46"/>
    </row>
    <row r="154" spans="1:9" s="20" customFormat="1" ht="48.75" customHeight="1" hidden="1">
      <c r="A154" s="18" t="s">
        <v>211</v>
      </c>
      <c r="B154" s="4" t="s">
        <v>212</v>
      </c>
      <c r="C154" s="4"/>
      <c r="D154" s="17"/>
      <c r="E154" s="4"/>
      <c r="F154" s="19">
        <v>0</v>
      </c>
      <c r="G154" s="24">
        <f t="shared" si="6"/>
        <v>0</v>
      </c>
      <c r="H154" s="4"/>
      <c r="I154" s="46"/>
    </row>
    <row r="155" spans="1:9" s="20" customFormat="1" ht="45.75" customHeight="1" hidden="1">
      <c r="A155" s="22" t="s">
        <v>191</v>
      </c>
      <c r="B155" s="23" t="s">
        <v>276</v>
      </c>
      <c r="C155" s="4"/>
      <c r="D155" s="24">
        <f>D157+D158+D159+D160+D166+D167+D179+D180+D164</f>
        <v>99545109</v>
      </c>
      <c r="E155" s="5"/>
      <c r="F155" s="28">
        <f>F156+F157+F158+F159+F160+F161+F163+F165+F166+F167+F169+F170+F172+F173+F174+F176+F177+F178+F179+F180+F164</f>
        <v>111898725</v>
      </c>
      <c r="G155" s="28">
        <f t="shared" si="6"/>
        <v>211443834</v>
      </c>
      <c r="H155" s="71"/>
      <c r="I155" s="46"/>
    </row>
    <row r="156" spans="1:9" s="20" customFormat="1" ht="45.75" customHeight="1" hidden="1">
      <c r="A156" s="238" t="s">
        <v>211</v>
      </c>
      <c r="B156" s="239" t="s">
        <v>212</v>
      </c>
      <c r="C156" s="4"/>
      <c r="D156" s="24"/>
      <c r="E156" s="4" t="s">
        <v>498</v>
      </c>
      <c r="F156" s="19">
        <v>35000</v>
      </c>
      <c r="G156" s="19">
        <f t="shared" si="6"/>
        <v>35000</v>
      </c>
      <c r="H156" s="71"/>
      <c r="I156" s="46"/>
    </row>
    <row r="157" spans="1:9" s="20" customFormat="1" ht="61.5" customHeight="1" hidden="1">
      <c r="A157" s="238"/>
      <c r="B157" s="239"/>
      <c r="C157" s="4" t="s">
        <v>468</v>
      </c>
      <c r="D157" s="17">
        <v>746</v>
      </c>
      <c r="E157" s="4"/>
      <c r="F157" s="19"/>
      <c r="G157" s="19">
        <f t="shared" si="6"/>
        <v>746</v>
      </c>
      <c r="H157" s="4"/>
      <c r="I157" s="46"/>
    </row>
    <row r="158" spans="1:9" s="20" customFormat="1" ht="47.25" hidden="1">
      <c r="A158" s="18" t="s">
        <v>134</v>
      </c>
      <c r="B158" s="4" t="s">
        <v>141</v>
      </c>
      <c r="C158" s="4" t="s">
        <v>521</v>
      </c>
      <c r="D158" s="17">
        <v>131000</v>
      </c>
      <c r="E158" s="4"/>
      <c r="F158" s="9"/>
      <c r="G158" s="19">
        <f t="shared" si="6"/>
        <v>131000</v>
      </c>
      <c r="H158" s="4"/>
      <c r="I158" s="46"/>
    </row>
    <row r="159" spans="1:9" s="20" customFormat="1" ht="47.25" hidden="1">
      <c r="A159" s="238" t="s">
        <v>267</v>
      </c>
      <c r="B159" s="239" t="s">
        <v>268</v>
      </c>
      <c r="C159" s="4" t="s">
        <v>521</v>
      </c>
      <c r="D159" s="17">
        <v>10566800</v>
      </c>
      <c r="E159" s="4"/>
      <c r="F159" s="9"/>
      <c r="G159" s="19">
        <f t="shared" si="6"/>
        <v>10566800</v>
      </c>
      <c r="H159" s="4"/>
      <c r="I159" s="46"/>
    </row>
    <row r="160" spans="1:9" s="20" customFormat="1" ht="47.25" hidden="1">
      <c r="A160" s="238"/>
      <c r="B160" s="239"/>
      <c r="C160" s="35" t="s">
        <v>10</v>
      </c>
      <c r="D160" s="37">
        <v>64035</v>
      </c>
      <c r="E160" s="4"/>
      <c r="F160" s="9"/>
      <c r="G160" s="19">
        <f t="shared" si="6"/>
        <v>64035</v>
      </c>
      <c r="H160" s="4"/>
      <c r="I160" s="46"/>
    </row>
    <row r="161" spans="1:9" s="20" customFormat="1" ht="47.25" hidden="1">
      <c r="A161" s="238" t="s">
        <v>162</v>
      </c>
      <c r="B161" s="239" t="s">
        <v>163</v>
      </c>
      <c r="C161" s="4"/>
      <c r="D161" s="17"/>
      <c r="E161" s="4" t="s">
        <v>522</v>
      </c>
      <c r="F161" s="19">
        <v>33149648</v>
      </c>
      <c r="G161" s="19">
        <f t="shared" si="6"/>
        <v>33149648</v>
      </c>
      <c r="H161" s="4"/>
      <c r="I161" s="46"/>
    </row>
    <row r="162" spans="1:9" s="20" customFormat="1" ht="47.25" customHeight="1" hidden="1">
      <c r="A162" s="238"/>
      <c r="B162" s="239"/>
      <c r="C162" s="4" t="s">
        <v>370</v>
      </c>
      <c r="D162" s="17">
        <v>0</v>
      </c>
      <c r="E162" s="4" t="s">
        <v>370</v>
      </c>
      <c r="F162" s="9"/>
      <c r="G162" s="19">
        <f t="shared" si="6"/>
        <v>0</v>
      </c>
      <c r="H162" s="4"/>
      <c r="I162" s="46"/>
    </row>
    <row r="163" spans="1:9" s="20" customFormat="1" ht="47.25" hidden="1">
      <c r="A163" s="238"/>
      <c r="B163" s="239"/>
      <c r="C163" s="4"/>
      <c r="D163" s="17"/>
      <c r="E163" s="35" t="s">
        <v>10</v>
      </c>
      <c r="F163" s="37">
        <v>66475</v>
      </c>
      <c r="G163" s="19">
        <f t="shared" si="6"/>
        <v>66475</v>
      </c>
      <c r="H163" s="4"/>
      <c r="I163" s="46"/>
    </row>
    <row r="164" spans="1:9" s="20" customFormat="1" ht="47.25" hidden="1">
      <c r="A164" s="18" t="s">
        <v>503</v>
      </c>
      <c r="B164" s="4" t="s">
        <v>504</v>
      </c>
      <c r="C164" s="4" t="s">
        <v>523</v>
      </c>
      <c r="D164" s="17">
        <v>449300</v>
      </c>
      <c r="E164" s="35"/>
      <c r="F164" s="37"/>
      <c r="G164" s="19">
        <f>D164+F164</f>
        <v>449300</v>
      </c>
      <c r="H164" s="4"/>
      <c r="I164" s="46"/>
    </row>
    <row r="165" spans="1:9" s="20" customFormat="1" ht="56.25" customHeight="1" hidden="1">
      <c r="A165" s="18" t="s">
        <v>311</v>
      </c>
      <c r="B165" s="4" t="s">
        <v>312</v>
      </c>
      <c r="C165" s="4"/>
      <c r="D165" s="17"/>
      <c r="E165" s="4" t="s">
        <v>523</v>
      </c>
      <c r="F165" s="19">
        <v>780803</v>
      </c>
      <c r="G165" s="19">
        <f t="shared" si="6"/>
        <v>780803</v>
      </c>
      <c r="H165" s="4"/>
      <c r="I165" s="46"/>
    </row>
    <row r="166" spans="1:9" s="20" customFormat="1" ht="51.75" customHeight="1" hidden="1">
      <c r="A166" s="238" t="s">
        <v>142</v>
      </c>
      <c r="B166" s="239" t="s">
        <v>164</v>
      </c>
      <c r="C166" s="4" t="s">
        <v>525</v>
      </c>
      <c r="D166" s="17">
        <v>82050000</v>
      </c>
      <c r="E166" s="4" t="s">
        <v>524</v>
      </c>
      <c r="F166" s="19">
        <v>672751</v>
      </c>
      <c r="G166" s="19">
        <f t="shared" si="6"/>
        <v>82722751</v>
      </c>
      <c r="H166" s="4"/>
      <c r="I166" s="46"/>
    </row>
    <row r="167" spans="1:9" s="20" customFormat="1" ht="47.25" hidden="1">
      <c r="A167" s="238"/>
      <c r="B167" s="239"/>
      <c r="C167" s="35" t="s">
        <v>10</v>
      </c>
      <c r="D167" s="37">
        <v>0</v>
      </c>
      <c r="E167" s="35" t="s">
        <v>10</v>
      </c>
      <c r="F167" s="37">
        <v>30000</v>
      </c>
      <c r="G167" s="19">
        <f t="shared" si="6"/>
        <v>30000</v>
      </c>
      <c r="H167" s="4"/>
      <c r="I167" s="46"/>
    </row>
    <row r="168" spans="1:9" s="20" customFormat="1" ht="47.25" hidden="1">
      <c r="A168" s="18" t="s">
        <v>387</v>
      </c>
      <c r="B168" s="4" t="s">
        <v>388</v>
      </c>
      <c r="C168" s="35"/>
      <c r="D168" s="37"/>
      <c r="E168" s="4" t="s">
        <v>370</v>
      </c>
      <c r="F168" s="36">
        <v>0</v>
      </c>
      <c r="G168" s="19">
        <f t="shared" si="6"/>
        <v>0</v>
      </c>
      <c r="H168" s="4"/>
      <c r="I168" s="46"/>
    </row>
    <row r="169" spans="1:9" s="20" customFormat="1" ht="51" customHeight="1" hidden="1">
      <c r="A169" s="238" t="s">
        <v>132</v>
      </c>
      <c r="B169" s="239" t="s">
        <v>133</v>
      </c>
      <c r="C169" s="4"/>
      <c r="D169" s="5"/>
      <c r="E169" s="4" t="s">
        <v>526</v>
      </c>
      <c r="F169" s="12">
        <v>31435500</v>
      </c>
      <c r="G169" s="19">
        <f t="shared" si="6"/>
        <v>31435500</v>
      </c>
      <c r="H169" s="4"/>
      <c r="I169" s="46"/>
    </row>
    <row r="170" spans="1:9" s="20" customFormat="1" ht="47.25" hidden="1">
      <c r="A170" s="238"/>
      <c r="B170" s="239"/>
      <c r="C170" s="4"/>
      <c r="D170" s="5"/>
      <c r="E170" s="35" t="s">
        <v>10</v>
      </c>
      <c r="F170" s="37">
        <v>17235</v>
      </c>
      <c r="G170" s="19">
        <f t="shared" si="6"/>
        <v>17235</v>
      </c>
      <c r="H170" s="4"/>
      <c r="I170" s="46"/>
    </row>
    <row r="171" spans="1:9" s="51" customFormat="1" ht="46.5" customHeight="1" hidden="1">
      <c r="A171" s="243" t="s">
        <v>87</v>
      </c>
      <c r="B171" s="241" t="s">
        <v>250</v>
      </c>
      <c r="C171" s="4"/>
      <c r="D171" s="5"/>
      <c r="E171" s="4" t="s">
        <v>370</v>
      </c>
      <c r="F171" s="19">
        <v>0</v>
      </c>
      <c r="G171" s="19">
        <f t="shared" si="6"/>
        <v>0</v>
      </c>
      <c r="H171" s="4"/>
      <c r="I171" s="52"/>
    </row>
    <row r="172" spans="1:9" s="51" customFormat="1" ht="69.75" customHeight="1" hidden="1">
      <c r="A172" s="246"/>
      <c r="B172" s="247"/>
      <c r="C172" s="4"/>
      <c r="D172" s="5"/>
      <c r="E172" s="4" t="s">
        <v>527</v>
      </c>
      <c r="F172" s="19">
        <v>1529939</v>
      </c>
      <c r="G172" s="19">
        <f t="shared" si="6"/>
        <v>1529939</v>
      </c>
      <c r="H172" s="4"/>
      <c r="I172" s="52"/>
    </row>
    <row r="173" spans="1:9" s="51" customFormat="1" ht="87" customHeight="1" hidden="1">
      <c r="A173" s="244"/>
      <c r="B173" s="242"/>
      <c r="C173" s="4"/>
      <c r="D173" s="5"/>
      <c r="E173" s="4" t="s">
        <v>505</v>
      </c>
      <c r="F173" s="19">
        <v>187691</v>
      </c>
      <c r="G173" s="19">
        <f t="shared" si="6"/>
        <v>187691</v>
      </c>
      <c r="H173" s="4"/>
      <c r="I173" s="52"/>
    </row>
    <row r="174" spans="1:9" s="20" customFormat="1" ht="69.75" customHeight="1" hidden="1">
      <c r="A174" s="18" t="s">
        <v>144</v>
      </c>
      <c r="B174" s="4" t="s">
        <v>145</v>
      </c>
      <c r="C174" s="4"/>
      <c r="D174" s="5"/>
      <c r="E174" s="4" t="s">
        <v>502</v>
      </c>
      <c r="F174" s="19">
        <v>31540500</v>
      </c>
      <c r="G174" s="19">
        <f t="shared" si="6"/>
        <v>31540500</v>
      </c>
      <c r="H174" s="4"/>
      <c r="I174" s="46"/>
    </row>
    <row r="175" spans="1:9" s="20" customFormat="1" ht="27.75" customHeight="1" hidden="1">
      <c r="A175" s="4">
        <v>180107</v>
      </c>
      <c r="B175" s="4" t="s">
        <v>264</v>
      </c>
      <c r="C175" s="4"/>
      <c r="D175" s="17"/>
      <c r="E175" s="4" t="s">
        <v>282</v>
      </c>
      <c r="F175" s="19">
        <v>0</v>
      </c>
      <c r="G175" s="19">
        <f t="shared" si="6"/>
        <v>0</v>
      </c>
      <c r="H175" s="4"/>
      <c r="I175" s="46"/>
    </row>
    <row r="176" spans="1:9" s="20" customFormat="1" ht="63" customHeight="1" hidden="1">
      <c r="A176" s="239">
        <v>180409</v>
      </c>
      <c r="B176" s="239" t="s">
        <v>275</v>
      </c>
      <c r="C176" s="4"/>
      <c r="D176" s="17"/>
      <c r="E176" s="4" t="s">
        <v>528</v>
      </c>
      <c r="F176" s="19">
        <v>6226733</v>
      </c>
      <c r="G176" s="19">
        <f t="shared" si="6"/>
        <v>6226733</v>
      </c>
      <c r="H176" s="4"/>
      <c r="I176" s="46"/>
    </row>
    <row r="177" spans="1:9" s="20" customFormat="1" ht="63" hidden="1">
      <c r="A177" s="239"/>
      <c r="B177" s="239"/>
      <c r="C177" s="4"/>
      <c r="D177" s="17"/>
      <c r="E177" s="4" t="s">
        <v>496</v>
      </c>
      <c r="F177" s="19">
        <v>2688100</v>
      </c>
      <c r="G177" s="19">
        <f t="shared" si="6"/>
        <v>2688100</v>
      </c>
      <c r="H177" s="4"/>
      <c r="I177" s="46"/>
    </row>
    <row r="178" spans="1:9" s="20" customFormat="1" ht="31.5" hidden="1">
      <c r="A178" s="18" t="s">
        <v>77</v>
      </c>
      <c r="B178" s="4" t="s">
        <v>154</v>
      </c>
      <c r="C178" s="4"/>
      <c r="D178" s="5"/>
      <c r="E178" s="4" t="s">
        <v>450</v>
      </c>
      <c r="F178" s="19">
        <v>2250578</v>
      </c>
      <c r="G178" s="19">
        <f t="shared" si="6"/>
        <v>2250578</v>
      </c>
      <c r="H178" s="4"/>
      <c r="I178" s="46"/>
    </row>
    <row r="179" spans="1:9" s="20" customFormat="1" ht="39.75" customHeight="1" hidden="1">
      <c r="A179" s="243" t="s">
        <v>125</v>
      </c>
      <c r="B179" s="241" t="s">
        <v>140</v>
      </c>
      <c r="C179" s="4" t="s">
        <v>529</v>
      </c>
      <c r="D179" s="17">
        <v>5627420</v>
      </c>
      <c r="E179" s="4" t="s">
        <v>529</v>
      </c>
      <c r="F179" s="12">
        <v>1287772</v>
      </c>
      <c r="G179" s="19">
        <f>D179+F179</f>
        <v>6915192</v>
      </c>
      <c r="H179" s="4"/>
      <c r="I179" s="46"/>
    </row>
    <row r="180" spans="1:9" s="20" customFormat="1" ht="45.75" customHeight="1" hidden="1">
      <c r="A180" s="244"/>
      <c r="B180" s="242"/>
      <c r="C180" s="4" t="s">
        <v>442</v>
      </c>
      <c r="D180" s="17">
        <v>655808</v>
      </c>
      <c r="E180" s="4"/>
      <c r="F180" s="12"/>
      <c r="G180" s="19">
        <f>D180+F180</f>
        <v>655808</v>
      </c>
      <c r="H180" s="4"/>
      <c r="I180" s="46"/>
    </row>
    <row r="181" spans="1:9" s="20" customFormat="1" ht="38.25" hidden="1">
      <c r="A181" s="18" t="s">
        <v>87</v>
      </c>
      <c r="B181" s="29" t="s">
        <v>250</v>
      </c>
      <c r="C181" s="4"/>
      <c r="D181" s="5"/>
      <c r="E181" s="4" t="s">
        <v>260</v>
      </c>
      <c r="F181" s="12">
        <v>0</v>
      </c>
      <c r="G181" s="9">
        <v>0</v>
      </c>
      <c r="H181" s="4"/>
      <c r="I181" s="46"/>
    </row>
    <row r="182" spans="1:9" s="20" customFormat="1" ht="70.5" customHeight="1" hidden="1">
      <c r="A182" s="22" t="s">
        <v>274</v>
      </c>
      <c r="B182" s="23" t="s">
        <v>273</v>
      </c>
      <c r="C182" s="23"/>
      <c r="D182" s="24">
        <v>0</v>
      </c>
      <c r="E182" s="23"/>
      <c r="F182" s="30"/>
      <c r="G182" s="27">
        <v>0</v>
      </c>
      <c r="H182" s="4"/>
      <c r="I182" s="46"/>
    </row>
    <row r="183" spans="1:9" s="20" customFormat="1" ht="36" customHeight="1" hidden="1">
      <c r="A183" s="18" t="s">
        <v>134</v>
      </c>
      <c r="B183" s="4" t="s">
        <v>141</v>
      </c>
      <c r="C183" s="4" t="s">
        <v>166</v>
      </c>
      <c r="D183" s="17">
        <v>0</v>
      </c>
      <c r="E183" s="4"/>
      <c r="F183" s="12"/>
      <c r="G183" s="9">
        <v>0</v>
      </c>
      <c r="H183" s="4"/>
      <c r="I183" s="46"/>
    </row>
    <row r="184" spans="1:9" s="20" customFormat="1" ht="47.25" customHeight="1" hidden="1">
      <c r="A184" s="18" t="s">
        <v>142</v>
      </c>
      <c r="B184" s="4" t="s">
        <v>164</v>
      </c>
      <c r="C184" s="4" t="s">
        <v>248</v>
      </c>
      <c r="D184" s="17">
        <v>0</v>
      </c>
      <c r="E184" s="4"/>
      <c r="F184" s="12"/>
      <c r="G184" s="9">
        <v>0</v>
      </c>
      <c r="H184" s="4"/>
      <c r="I184" s="46"/>
    </row>
    <row r="185" spans="1:9" s="20" customFormat="1" ht="47.25" hidden="1">
      <c r="A185" s="22" t="s">
        <v>192</v>
      </c>
      <c r="B185" s="23" t="s">
        <v>101</v>
      </c>
      <c r="C185" s="4"/>
      <c r="D185" s="24">
        <f>D187</f>
        <v>40159</v>
      </c>
      <c r="E185" s="5"/>
      <c r="F185" s="24">
        <f>F186</f>
        <v>61915</v>
      </c>
      <c r="G185" s="28">
        <f aca="true" t="shared" si="7" ref="G185:G192">D185+F185</f>
        <v>102074</v>
      </c>
      <c r="H185" s="71"/>
      <c r="I185" s="46"/>
    </row>
    <row r="186" spans="1:9" s="20" customFormat="1" ht="48" customHeight="1" hidden="1">
      <c r="A186" s="18" t="s">
        <v>211</v>
      </c>
      <c r="B186" s="4" t="s">
        <v>212</v>
      </c>
      <c r="C186" s="4"/>
      <c r="D186" s="17"/>
      <c r="E186" s="4" t="s">
        <v>498</v>
      </c>
      <c r="F186" s="19">
        <v>61915</v>
      </c>
      <c r="G186" s="19">
        <f t="shared" si="7"/>
        <v>61915</v>
      </c>
      <c r="H186" s="4"/>
      <c r="I186" s="46"/>
    </row>
    <row r="187" spans="1:9" s="20" customFormat="1" ht="63" hidden="1">
      <c r="A187" s="18" t="s">
        <v>125</v>
      </c>
      <c r="B187" s="4" t="s">
        <v>140</v>
      </c>
      <c r="C187" s="4" t="s">
        <v>468</v>
      </c>
      <c r="D187" s="17">
        <v>40159</v>
      </c>
      <c r="E187" s="4"/>
      <c r="F187" s="9"/>
      <c r="G187" s="19">
        <f t="shared" si="7"/>
        <v>40159</v>
      </c>
      <c r="H187" s="4"/>
      <c r="I187" s="46"/>
    </row>
    <row r="188" spans="1:9" s="20" customFormat="1" ht="47.25" hidden="1">
      <c r="A188" s="22" t="s">
        <v>196</v>
      </c>
      <c r="B188" s="23" t="s">
        <v>103</v>
      </c>
      <c r="C188" s="4"/>
      <c r="D188" s="24">
        <f>D189+D191+D192+D193+D190</f>
        <v>2934703</v>
      </c>
      <c r="E188" s="5"/>
      <c r="F188" s="28">
        <f>F189+F193+F191+F190</f>
        <v>1664951</v>
      </c>
      <c r="G188" s="28">
        <f>D188+F188</f>
        <v>4599654</v>
      </c>
      <c r="H188" s="4"/>
      <c r="I188" s="46"/>
    </row>
    <row r="189" spans="1:9" s="20" customFormat="1" ht="53.25" customHeight="1" hidden="1">
      <c r="A189" s="18" t="s">
        <v>211</v>
      </c>
      <c r="B189" s="4" t="s">
        <v>212</v>
      </c>
      <c r="C189" s="4"/>
      <c r="D189" s="17"/>
      <c r="E189" s="4" t="s">
        <v>498</v>
      </c>
      <c r="F189" s="19">
        <v>14000</v>
      </c>
      <c r="G189" s="19">
        <f t="shared" si="7"/>
        <v>14000</v>
      </c>
      <c r="H189" s="4"/>
      <c r="I189" s="46"/>
    </row>
    <row r="190" spans="1:9" s="20" customFormat="1" ht="63" customHeight="1" hidden="1">
      <c r="A190" s="18" t="s">
        <v>492</v>
      </c>
      <c r="B190" s="4" t="s">
        <v>497</v>
      </c>
      <c r="C190" s="4" t="s">
        <v>8</v>
      </c>
      <c r="D190" s="17">
        <v>24055</v>
      </c>
      <c r="E190" s="4" t="s">
        <v>8</v>
      </c>
      <c r="F190" s="9">
        <v>1550464</v>
      </c>
      <c r="G190" s="19">
        <f>D190+F190</f>
        <v>1574519</v>
      </c>
      <c r="H190" s="4"/>
      <c r="I190" s="46"/>
    </row>
    <row r="191" spans="1:9" s="20" customFormat="1" ht="47.25" hidden="1">
      <c r="A191" s="245">
        <v>250404</v>
      </c>
      <c r="B191" s="245" t="s">
        <v>140</v>
      </c>
      <c r="C191" s="4"/>
      <c r="D191" s="21"/>
      <c r="E191" s="4" t="s">
        <v>14</v>
      </c>
      <c r="F191" s="12">
        <v>100487</v>
      </c>
      <c r="G191" s="19">
        <f t="shared" si="7"/>
        <v>100487</v>
      </c>
      <c r="H191" s="4"/>
      <c r="I191" s="46"/>
    </row>
    <row r="192" spans="1:9" s="20" customFormat="1" ht="51" customHeight="1" hidden="1">
      <c r="A192" s="245"/>
      <c r="B192" s="245"/>
      <c r="C192" s="4" t="s">
        <v>7</v>
      </c>
      <c r="D192" s="21">
        <v>2910648</v>
      </c>
      <c r="E192" s="4"/>
      <c r="F192" s="31"/>
      <c r="G192" s="19">
        <f t="shared" si="7"/>
        <v>2910648</v>
      </c>
      <c r="H192" s="4"/>
      <c r="I192" s="46"/>
    </row>
    <row r="193" spans="1:9" s="20" customFormat="1" ht="66" customHeight="1" hidden="1">
      <c r="A193" s="250"/>
      <c r="B193" s="245"/>
      <c r="D193" s="21"/>
      <c r="E193" s="4"/>
      <c r="F193" s="9"/>
      <c r="G193" s="19">
        <f>D193+F193</f>
        <v>0</v>
      </c>
      <c r="H193" s="4"/>
      <c r="I193" s="46"/>
    </row>
    <row r="194" spans="1:9" s="20" customFormat="1" ht="31.5" hidden="1">
      <c r="A194" s="22">
        <v>50</v>
      </c>
      <c r="B194" s="23" t="s">
        <v>232</v>
      </c>
      <c r="C194" s="4"/>
      <c r="D194" s="24">
        <v>0</v>
      </c>
      <c r="E194" s="5"/>
      <c r="F194" s="27">
        <v>0</v>
      </c>
      <c r="G194" s="27">
        <v>0</v>
      </c>
      <c r="H194" s="4"/>
      <c r="I194" s="46"/>
    </row>
    <row r="195" spans="1:9" s="20" customFormat="1" ht="48.75" customHeight="1" hidden="1">
      <c r="A195" s="18" t="s">
        <v>211</v>
      </c>
      <c r="B195" s="4" t="s">
        <v>212</v>
      </c>
      <c r="C195" s="4" t="s">
        <v>224</v>
      </c>
      <c r="D195" s="21"/>
      <c r="E195" s="4"/>
      <c r="F195" s="9"/>
      <c r="G195" s="9">
        <v>0</v>
      </c>
      <c r="H195" s="4"/>
      <c r="I195" s="46"/>
    </row>
    <row r="196" spans="1:9" s="20" customFormat="1" ht="47.25" hidden="1">
      <c r="A196" s="22" t="s">
        <v>200</v>
      </c>
      <c r="B196" s="23" t="s">
        <v>107</v>
      </c>
      <c r="C196" s="23"/>
      <c r="D196" s="24">
        <v>0</v>
      </c>
      <c r="E196" s="32"/>
      <c r="F196" s="24">
        <f>F197+F198</f>
        <v>41720</v>
      </c>
      <c r="G196" s="24">
        <f aca="true" t="shared" si="8" ref="G196:G203">D196+F196</f>
        <v>41720</v>
      </c>
      <c r="H196" s="71"/>
      <c r="I196" s="46"/>
    </row>
    <row r="197" spans="1:9" s="20" customFormat="1" ht="31.5" hidden="1">
      <c r="A197" s="18" t="s">
        <v>211</v>
      </c>
      <c r="B197" s="4" t="s">
        <v>212</v>
      </c>
      <c r="C197" s="4"/>
      <c r="D197" s="17"/>
      <c r="E197" s="4" t="s">
        <v>498</v>
      </c>
      <c r="F197" s="17">
        <v>41720</v>
      </c>
      <c r="G197" s="17">
        <f t="shared" si="8"/>
        <v>41720</v>
      </c>
      <c r="H197" s="4"/>
      <c r="I197" s="46"/>
    </row>
    <row r="198" spans="1:9" s="20" customFormat="1" ht="47.25" hidden="1">
      <c r="A198" s="18" t="s">
        <v>89</v>
      </c>
      <c r="B198" s="4" t="s">
        <v>90</v>
      </c>
      <c r="C198" s="4"/>
      <c r="D198" s="17"/>
      <c r="E198" s="70" t="s">
        <v>401</v>
      </c>
      <c r="F198" s="19">
        <v>0</v>
      </c>
      <c r="G198" s="17">
        <f t="shared" si="8"/>
        <v>0</v>
      </c>
      <c r="H198" s="4"/>
      <c r="I198" s="46"/>
    </row>
    <row r="199" spans="1:9" s="20" customFormat="1" ht="53.25" customHeight="1" hidden="1">
      <c r="A199" s="22" t="s">
        <v>197</v>
      </c>
      <c r="B199" s="23" t="s">
        <v>104</v>
      </c>
      <c r="C199" s="4"/>
      <c r="D199" s="24">
        <f>D203+D200+D201</f>
        <v>0</v>
      </c>
      <c r="E199" s="5"/>
      <c r="F199" s="24">
        <f>F201+F202+F200</f>
        <v>14491369</v>
      </c>
      <c r="G199" s="24">
        <f t="shared" si="8"/>
        <v>14491369</v>
      </c>
      <c r="H199" s="71"/>
      <c r="I199" s="46"/>
    </row>
    <row r="200" spans="1:9" s="20" customFormat="1" ht="33" customHeight="1" hidden="1">
      <c r="A200" s="18" t="s">
        <v>211</v>
      </c>
      <c r="B200" s="4" t="s">
        <v>212</v>
      </c>
      <c r="C200" s="4"/>
      <c r="D200" s="17"/>
      <c r="E200" s="4" t="s">
        <v>498</v>
      </c>
      <c r="F200" s="19">
        <v>21000</v>
      </c>
      <c r="G200" s="17">
        <f>D200+F200</f>
        <v>21000</v>
      </c>
      <c r="H200" s="4"/>
      <c r="I200" s="46"/>
    </row>
    <row r="201" spans="1:9" s="20" customFormat="1" ht="32.25" customHeight="1" hidden="1">
      <c r="A201" s="4">
        <v>240601</v>
      </c>
      <c r="B201" s="4" t="s">
        <v>154</v>
      </c>
      <c r="C201" s="4"/>
      <c r="D201" s="5"/>
      <c r="E201" s="4" t="s">
        <v>450</v>
      </c>
      <c r="F201" s="19">
        <v>14470369</v>
      </c>
      <c r="G201" s="17">
        <f t="shared" si="8"/>
        <v>14470369</v>
      </c>
      <c r="H201" s="4"/>
      <c r="I201" s="46"/>
    </row>
    <row r="202" spans="1:9" s="20" customFormat="1" ht="72" customHeight="1" hidden="1">
      <c r="A202" s="4">
        <v>240900</v>
      </c>
      <c r="B202" s="4" t="s">
        <v>272</v>
      </c>
      <c r="C202" s="4"/>
      <c r="D202" s="5"/>
      <c r="E202" s="70" t="s">
        <v>457</v>
      </c>
      <c r="F202" s="19">
        <v>0</v>
      </c>
      <c r="G202" s="17">
        <f t="shared" si="8"/>
        <v>0</v>
      </c>
      <c r="H202" s="4"/>
      <c r="I202" s="46"/>
    </row>
    <row r="203" spans="1:9" s="20" customFormat="1" ht="54" customHeight="1" hidden="1">
      <c r="A203" s="4">
        <v>250404</v>
      </c>
      <c r="B203" s="4" t="s">
        <v>261</v>
      </c>
      <c r="C203" s="4" t="s">
        <v>408</v>
      </c>
      <c r="D203" s="17">
        <v>0</v>
      </c>
      <c r="E203" s="4"/>
      <c r="F203" s="19"/>
      <c r="G203" s="17">
        <f t="shared" si="8"/>
        <v>0</v>
      </c>
      <c r="H203" s="4"/>
      <c r="I203" s="46"/>
    </row>
    <row r="204" spans="1:9" s="20" customFormat="1" ht="47.25" hidden="1">
      <c r="A204" s="22" t="s">
        <v>195</v>
      </c>
      <c r="B204" s="23" t="s">
        <v>105</v>
      </c>
      <c r="C204" s="4"/>
      <c r="D204" s="24">
        <f>D206+D207+D213+D215+D214</f>
        <v>14847723</v>
      </c>
      <c r="E204" s="5"/>
      <c r="F204" s="24">
        <f>F205+F206+F208+F209+F210+F211+F213</f>
        <v>3804223</v>
      </c>
      <c r="G204" s="24">
        <f>D204+F204</f>
        <v>18651946</v>
      </c>
      <c r="H204" s="71"/>
      <c r="I204" s="46"/>
    </row>
    <row r="205" spans="1:9" s="20" customFormat="1" ht="48" customHeight="1" hidden="1">
      <c r="A205" s="18" t="s">
        <v>211</v>
      </c>
      <c r="B205" s="4" t="s">
        <v>212</v>
      </c>
      <c r="C205" s="4"/>
      <c r="D205" s="17"/>
      <c r="E205" s="4" t="s">
        <v>498</v>
      </c>
      <c r="F205" s="9">
        <v>7000</v>
      </c>
      <c r="G205" s="17">
        <f>D205+F205</f>
        <v>7000</v>
      </c>
      <c r="H205" s="4"/>
      <c r="I205" s="46"/>
    </row>
    <row r="206" spans="1:9" s="20" customFormat="1" ht="84.75" customHeight="1" hidden="1">
      <c r="A206" s="18" t="s">
        <v>79</v>
      </c>
      <c r="B206" s="4" t="s">
        <v>80</v>
      </c>
      <c r="C206" s="4" t="s">
        <v>490</v>
      </c>
      <c r="D206" s="17">
        <v>2300000</v>
      </c>
      <c r="E206" s="4" t="s">
        <v>490</v>
      </c>
      <c r="F206" s="19">
        <v>296214</v>
      </c>
      <c r="G206" s="17">
        <f>D206+F206</f>
        <v>2596214</v>
      </c>
      <c r="H206" s="4"/>
      <c r="I206" s="46"/>
    </row>
    <row r="207" spans="1:9" s="20" customFormat="1" ht="72.75" customHeight="1" hidden="1">
      <c r="A207" s="18" t="s">
        <v>130</v>
      </c>
      <c r="B207" s="4" t="s">
        <v>131</v>
      </c>
      <c r="C207" s="4" t="s">
        <v>506</v>
      </c>
      <c r="D207" s="17">
        <v>10000000</v>
      </c>
      <c r="E207" s="4"/>
      <c r="F207" s="9"/>
      <c r="G207" s="17">
        <f>D207+F207</f>
        <v>10000000</v>
      </c>
      <c r="H207" s="4"/>
      <c r="I207" s="46"/>
    </row>
    <row r="208" spans="1:9" s="20" customFormat="1" ht="78.75" hidden="1">
      <c r="A208" s="243" t="s">
        <v>132</v>
      </c>
      <c r="B208" s="241" t="s">
        <v>133</v>
      </c>
      <c r="C208" s="4"/>
      <c r="D208" s="17"/>
      <c r="E208" s="4" t="s">
        <v>506</v>
      </c>
      <c r="F208" s="19">
        <v>1355142</v>
      </c>
      <c r="G208" s="17">
        <f aca="true" t="shared" si="9" ref="G208:G215">D208+F208</f>
        <v>1355142</v>
      </c>
      <c r="H208" s="4"/>
      <c r="I208" s="46"/>
    </row>
    <row r="209" spans="1:9" s="20" customFormat="1" ht="47.25" hidden="1">
      <c r="A209" s="244"/>
      <c r="B209" s="242"/>
      <c r="C209" s="4"/>
      <c r="D209" s="17"/>
      <c r="E209" s="4" t="s">
        <v>460</v>
      </c>
      <c r="F209" s="19">
        <v>25880</v>
      </c>
      <c r="G209" s="17">
        <f t="shared" si="9"/>
        <v>25880</v>
      </c>
      <c r="H209" s="4"/>
      <c r="I209" s="46"/>
    </row>
    <row r="210" spans="1:9" s="20" customFormat="1" ht="62.25" customHeight="1" hidden="1">
      <c r="A210" s="238" t="s">
        <v>146</v>
      </c>
      <c r="B210" s="239" t="s">
        <v>275</v>
      </c>
      <c r="C210" s="239"/>
      <c r="D210" s="17"/>
      <c r="E210" s="4" t="s">
        <v>506</v>
      </c>
      <c r="F210" s="19">
        <v>66000</v>
      </c>
      <c r="G210" s="17">
        <f t="shared" si="9"/>
        <v>66000</v>
      </c>
      <c r="H210" s="4"/>
      <c r="I210" s="46"/>
    </row>
    <row r="211" spans="1:9" s="20" customFormat="1" ht="63" hidden="1">
      <c r="A211" s="238"/>
      <c r="B211" s="239"/>
      <c r="C211" s="239"/>
      <c r="D211" s="251"/>
      <c r="E211" s="4" t="s">
        <v>507</v>
      </c>
      <c r="F211" s="19">
        <v>1573041</v>
      </c>
      <c r="G211" s="17">
        <f t="shared" si="9"/>
        <v>1573041</v>
      </c>
      <c r="H211" s="4"/>
      <c r="I211" s="46"/>
    </row>
    <row r="212" spans="1:9" s="20" customFormat="1" ht="47.25" hidden="1">
      <c r="A212" s="238"/>
      <c r="B212" s="239"/>
      <c r="C212" s="239"/>
      <c r="D212" s="251"/>
      <c r="E212" s="4" t="s">
        <v>404</v>
      </c>
      <c r="F212" s="9">
        <v>0</v>
      </c>
      <c r="G212" s="17">
        <f t="shared" si="9"/>
        <v>0</v>
      </c>
      <c r="H212" s="4"/>
      <c r="I212" s="46"/>
    </row>
    <row r="213" spans="1:9" s="20" customFormat="1" ht="69" customHeight="1" hidden="1">
      <c r="A213" s="18" t="s">
        <v>265</v>
      </c>
      <c r="B213" s="4" t="s">
        <v>266</v>
      </c>
      <c r="C213" s="4" t="s">
        <v>506</v>
      </c>
      <c r="D213" s="17">
        <v>122723</v>
      </c>
      <c r="E213" s="4" t="s">
        <v>507</v>
      </c>
      <c r="F213" s="19">
        <v>480946</v>
      </c>
      <c r="G213" s="17">
        <f t="shared" si="9"/>
        <v>603669</v>
      </c>
      <c r="H213" s="4"/>
      <c r="I213" s="46"/>
    </row>
    <row r="214" spans="1:9" s="20" customFormat="1" ht="63" hidden="1">
      <c r="A214" s="238" t="s">
        <v>125</v>
      </c>
      <c r="B214" s="239" t="s">
        <v>140</v>
      </c>
      <c r="C214" s="4" t="s">
        <v>507</v>
      </c>
      <c r="D214" s="17">
        <v>2425000</v>
      </c>
      <c r="E214" s="4"/>
      <c r="F214" s="9"/>
      <c r="G214" s="17">
        <f t="shared" si="9"/>
        <v>2425000</v>
      </c>
      <c r="H214" s="4"/>
      <c r="I214" s="46"/>
    </row>
    <row r="215" spans="1:9" s="20" customFormat="1" ht="63" hidden="1">
      <c r="A215" s="238"/>
      <c r="B215" s="239"/>
      <c r="C215" s="4" t="s">
        <v>406</v>
      </c>
      <c r="D215" s="17">
        <v>0</v>
      </c>
      <c r="E215" s="4" t="s">
        <v>406</v>
      </c>
      <c r="F215" s="19">
        <v>0</v>
      </c>
      <c r="G215" s="17">
        <f t="shared" si="9"/>
        <v>0</v>
      </c>
      <c r="H215" s="4"/>
      <c r="I215" s="46"/>
    </row>
    <row r="216" spans="1:9" s="20" customFormat="1" ht="78.75" customHeight="1">
      <c r="A216" s="22" t="s">
        <v>190</v>
      </c>
      <c r="B216" s="23" t="s">
        <v>100</v>
      </c>
      <c r="C216" s="4"/>
      <c r="D216" s="24">
        <f>D218+D219+D220</f>
        <v>6262527</v>
      </c>
      <c r="E216" s="5"/>
      <c r="F216" s="28">
        <f>F218+F219+F217</f>
        <v>6501142</v>
      </c>
      <c r="G216" s="28">
        <f>D216+F216</f>
        <v>12763669</v>
      </c>
      <c r="H216" s="71"/>
      <c r="I216" s="46"/>
    </row>
    <row r="217" spans="1:9" s="20" customFormat="1" ht="42" customHeight="1" hidden="1">
      <c r="A217" s="18" t="s">
        <v>211</v>
      </c>
      <c r="B217" s="4" t="s">
        <v>212</v>
      </c>
      <c r="C217" s="4"/>
      <c r="D217" s="17"/>
      <c r="E217" s="4" t="s">
        <v>498</v>
      </c>
      <c r="F217" s="12">
        <v>7000</v>
      </c>
      <c r="G217" s="19">
        <f aca="true" t="shared" si="10" ref="G217:G233">D217+F217</f>
        <v>7000</v>
      </c>
      <c r="H217" s="4"/>
      <c r="I217" s="46"/>
    </row>
    <row r="218" spans="1:9" s="20" customFormat="1" ht="69.75" customHeight="1">
      <c r="A218" s="18" t="s">
        <v>136</v>
      </c>
      <c r="B218" s="4" t="s">
        <v>137</v>
      </c>
      <c r="C218" s="4" t="s">
        <v>508</v>
      </c>
      <c r="D218" s="17">
        <v>3201442</v>
      </c>
      <c r="E218" s="4" t="s">
        <v>508</v>
      </c>
      <c r="F218" s="12">
        <v>6203691</v>
      </c>
      <c r="G218" s="19">
        <f>D218+F218</f>
        <v>9405133</v>
      </c>
      <c r="H218" s="71">
        <v>82552</v>
      </c>
      <c r="I218" s="46"/>
    </row>
    <row r="219" spans="1:9" s="20" customFormat="1" ht="63">
      <c r="A219" s="238" t="s">
        <v>138</v>
      </c>
      <c r="B219" s="239" t="s">
        <v>139</v>
      </c>
      <c r="C219" s="4" t="s">
        <v>508</v>
      </c>
      <c r="D219" s="17">
        <v>3059895</v>
      </c>
      <c r="E219" s="4" t="s">
        <v>508</v>
      </c>
      <c r="F219" s="12">
        <v>290451</v>
      </c>
      <c r="G219" s="19">
        <f>D219+F219</f>
        <v>3350346</v>
      </c>
      <c r="H219" s="71">
        <v>64182</v>
      </c>
      <c r="I219" s="46"/>
    </row>
    <row r="220" spans="1:9" s="20" customFormat="1" ht="68.25" customHeight="1" hidden="1">
      <c r="A220" s="238"/>
      <c r="B220" s="239"/>
      <c r="C220" s="4" t="s">
        <v>468</v>
      </c>
      <c r="D220" s="17">
        <v>1190</v>
      </c>
      <c r="E220" s="4"/>
      <c r="F220" s="12"/>
      <c r="G220" s="19">
        <f t="shared" si="10"/>
        <v>1190</v>
      </c>
      <c r="H220" s="4"/>
      <c r="I220" s="46"/>
    </row>
    <row r="221" spans="1:9" s="20" customFormat="1" ht="47.25" hidden="1">
      <c r="A221" s="22" t="s">
        <v>199</v>
      </c>
      <c r="B221" s="23" t="s">
        <v>106</v>
      </c>
      <c r="C221" s="4"/>
      <c r="D221" s="24">
        <f>D226</f>
        <v>0</v>
      </c>
      <c r="E221" s="5"/>
      <c r="F221" s="24">
        <f>F222+F223+F224</f>
        <v>7046384</v>
      </c>
      <c r="G221" s="24">
        <f>D221+F221</f>
        <v>7046384</v>
      </c>
      <c r="H221" s="71"/>
      <c r="I221" s="46"/>
    </row>
    <row r="222" spans="1:9" s="20" customFormat="1" ht="31.5" hidden="1">
      <c r="A222" s="18" t="s">
        <v>211</v>
      </c>
      <c r="B222" s="4" t="s">
        <v>212</v>
      </c>
      <c r="C222" s="4"/>
      <c r="D222" s="17"/>
      <c r="E222" s="4" t="s">
        <v>498</v>
      </c>
      <c r="F222" s="17">
        <v>35000</v>
      </c>
      <c r="G222" s="17">
        <f t="shared" si="10"/>
        <v>35000</v>
      </c>
      <c r="H222" s="4"/>
      <c r="I222" s="46"/>
    </row>
    <row r="223" spans="1:9" s="20" customFormat="1" ht="47.25" hidden="1">
      <c r="A223" s="18" t="s">
        <v>132</v>
      </c>
      <c r="B223" s="4" t="s">
        <v>133</v>
      </c>
      <c r="C223" s="4"/>
      <c r="D223" s="5"/>
      <c r="E223" s="4" t="s">
        <v>509</v>
      </c>
      <c r="F223" s="12">
        <v>3511384</v>
      </c>
      <c r="G223" s="17">
        <f t="shared" si="10"/>
        <v>3511384</v>
      </c>
      <c r="H223" s="4"/>
      <c r="I223" s="46"/>
    </row>
    <row r="224" spans="1:9" s="20" customFormat="1" ht="79.5" customHeight="1" hidden="1">
      <c r="A224" s="18" t="s">
        <v>147</v>
      </c>
      <c r="B224" s="4" t="s">
        <v>148</v>
      </c>
      <c r="C224" s="4"/>
      <c r="D224" s="5"/>
      <c r="E224" s="4" t="s">
        <v>509</v>
      </c>
      <c r="F224" s="19">
        <v>3500000</v>
      </c>
      <c r="G224" s="17">
        <f t="shared" si="10"/>
        <v>3500000</v>
      </c>
      <c r="H224" s="4"/>
      <c r="I224" s="46"/>
    </row>
    <row r="225" spans="1:9" s="20" customFormat="1" ht="78.75" hidden="1">
      <c r="A225" s="18" t="s">
        <v>136</v>
      </c>
      <c r="B225" s="4" t="s">
        <v>270</v>
      </c>
      <c r="C225" s="4"/>
      <c r="D225" s="17"/>
      <c r="E225" s="4" t="s">
        <v>371</v>
      </c>
      <c r="F225" s="19">
        <v>0</v>
      </c>
      <c r="G225" s="24">
        <f t="shared" si="10"/>
        <v>0</v>
      </c>
      <c r="H225" s="4"/>
      <c r="I225" s="46"/>
    </row>
    <row r="226" spans="1:9" s="20" customFormat="1" ht="53.25" customHeight="1" hidden="1">
      <c r="A226" s="18" t="s">
        <v>125</v>
      </c>
      <c r="B226" s="4" t="s">
        <v>140</v>
      </c>
      <c r="C226" s="4" t="s">
        <v>307</v>
      </c>
      <c r="D226" s="17">
        <v>0</v>
      </c>
      <c r="E226" s="4"/>
      <c r="F226" s="19"/>
      <c r="G226" s="17">
        <f t="shared" si="10"/>
        <v>0</v>
      </c>
      <c r="H226" s="4"/>
      <c r="I226" s="46"/>
    </row>
    <row r="227" spans="1:9" s="20" customFormat="1" ht="46.5" customHeight="1" hidden="1">
      <c r="A227" s="22" t="s">
        <v>198</v>
      </c>
      <c r="B227" s="23" t="s">
        <v>85</v>
      </c>
      <c r="C227" s="4"/>
      <c r="D227" s="24">
        <f>D229+D230+D232</f>
        <v>35602</v>
      </c>
      <c r="E227" s="5"/>
      <c r="F227" s="28">
        <f>F229</f>
        <v>70000</v>
      </c>
      <c r="G227" s="28">
        <f t="shared" si="10"/>
        <v>105602</v>
      </c>
      <c r="H227" s="4"/>
      <c r="I227" s="46"/>
    </row>
    <row r="228" spans="1:9" s="20" customFormat="1" ht="46.5" customHeight="1" hidden="1">
      <c r="A228" s="26" t="s">
        <v>211</v>
      </c>
      <c r="B228" s="4" t="s">
        <v>212</v>
      </c>
      <c r="C228" s="4" t="s">
        <v>231</v>
      </c>
      <c r="D228" s="21"/>
      <c r="E228" s="5"/>
      <c r="F228" s="19"/>
      <c r="G228" s="28">
        <f t="shared" si="10"/>
        <v>0</v>
      </c>
      <c r="H228" s="4"/>
      <c r="I228" s="46"/>
    </row>
    <row r="229" spans="1:9" s="20" customFormat="1" ht="70.5" customHeight="1" hidden="1">
      <c r="A229" s="18" t="s">
        <v>211</v>
      </c>
      <c r="B229" s="4" t="s">
        <v>212</v>
      </c>
      <c r="C229" s="4" t="s">
        <v>468</v>
      </c>
      <c r="D229" s="21">
        <v>2602</v>
      </c>
      <c r="E229" s="4" t="s">
        <v>498</v>
      </c>
      <c r="F229" s="19">
        <v>70000</v>
      </c>
      <c r="G229" s="19">
        <f>D229+F229</f>
        <v>72602</v>
      </c>
      <c r="H229" s="4"/>
      <c r="I229" s="46"/>
    </row>
    <row r="230" spans="1:9" s="20" customFormat="1" ht="15.75" hidden="1">
      <c r="A230" s="26">
        <v>230000</v>
      </c>
      <c r="B230" s="4" t="s">
        <v>240</v>
      </c>
      <c r="C230" s="239" t="s">
        <v>449</v>
      </c>
      <c r="D230" s="21">
        <v>0</v>
      </c>
      <c r="E230" s="5"/>
      <c r="F230" s="27"/>
      <c r="G230" s="19">
        <f t="shared" si="10"/>
        <v>0</v>
      </c>
      <c r="H230" s="4"/>
      <c r="I230" s="46"/>
    </row>
    <row r="231" spans="1:9" s="20" customFormat="1" ht="48" customHeight="1" hidden="1">
      <c r="A231" s="26">
        <v>210105</v>
      </c>
      <c r="B231" s="4"/>
      <c r="C231" s="239"/>
      <c r="D231" s="21">
        <v>0</v>
      </c>
      <c r="E231" s="5"/>
      <c r="F231" s="19">
        <v>0</v>
      </c>
      <c r="G231" s="19">
        <f t="shared" si="10"/>
        <v>0</v>
      </c>
      <c r="H231" s="4"/>
      <c r="I231" s="46"/>
    </row>
    <row r="232" spans="1:9" s="20" customFormat="1" ht="33" customHeight="1" hidden="1">
      <c r="A232" s="18" t="s">
        <v>125</v>
      </c>
      <c r="B232" s="4" t="s">
        <v>140</v>
      </c>
      <c r="C232" s="239"/>
      <c r="D232" s="17">
        <v>33000</v>
      </c>
      <c r="E232" s="4"/>
      <c r="F232" s="9"/>
      <c r="G232" s="19">
        <f t="shared" si="10"/>
        <v>33000</v>
      </c>
      <c r="H232" s="4"/>
      <c r="I232" s="46"/>
    </row>
    <row r="233" spans="1:9" s="20" customFormat="1" ht="47.25" hidden="1">
      <c r="A233" s="22" t="s">
        <v>239</v>
      </c>
      <c r="B233" s="23" t="s">
        <v>85</v>
      </c>
      <c r="C233" s="4"/>
      <c r="D233" s="32">
        <v>0</v>
      </c>
      <c r="E233" s="4"/>
      <c r="F233" s="24">
        <f>F235+F236</f>
        <v>0</v>
      </c>
      <c r="G233" s="24">
        <f t="shared" si="10"/>
        <v>0</v>
      </c>
      <c r="H233" s="71"/>
      <c r="I233" s="46"/>
    </row>
    <row r="234" spans="1:9" s="20" customFormat="1" ht="45" customHeight="1" hidden="1">
      <c r="A234" s="18" t="s">
        <v>149</v>
      </c>
      <c r="B234" s="4" t="s">
        <v>241</v>
      </c>
      <c r="C234" s="4"/>
      <c r="D234" s="5"/>
      <c r="E234" s="4" t="s">
        <v>249</v>
      </c>
      <c r="F234" s="12">
        <v>0</v>
      </c>
      <c r="G234" s="9">
        <v>0</v>
      </c>
      <c r="H234" s="4"/>
      <c r="I234" s="46"/>
    </row>
    <row r="235" spans="1:9" s="20" customFormat="1" ht="51.75" customHeight="1" hidden="1">
      <c r="A235" s="248">
        <v>250380</v>
      </c>
      <c r="B235" s="241" t="s">
        <v>389</v>
      </c>
      <c r="C235" s="4"/>
      <c r="D235" s="5"/>
      <c r="E235" s="4" t="s">
        <v>370</v>
      </c>
      <c r="F235" s="19">
        <v>0</v>
      </c>
      <c r="G235" s="19">
        <f>F235</f>
        <v>0</v>
      </c>
      <c r="H235" s="4"/>
      <c r="I235" s="46"/>
    </row>
    <row r="236" spans="1:9" s="20" customFormat="1" ht="51.75" customHeight="1" hidden="1">
      <c r="A236" s="249"/>
      <c r="B236" s="242"/>
      <c r="C236" s="4"/>
      <c r="D236" s="5"/>
      <c r="E236" s="4" t="s">
        <v>392</v>
      </c>
      <c r="F236" s="19">
        <v>0</v>
      </c>
      <c r="G236" s="19">
        <f>F236</f>
        <v>0</v>
      </c>
      <c r="H236" s="4"/>
      <c r="I236" s="46"/>
    </row>
    <row r="237" spans="1:9" s="20" customFormat="1" ht="47.25" hidden="1">
      <c r="A237" s="22" t="s">
        <v>180</v>
      </c>
      <c r="B237" s="23" t="s">
        <v>88</v>
      </c>
      <c r="C237" s="4"/>
      <c r="D237" s="24">
        <f>D241+D244+D245+D246+D247+D250+D251</f>
        <v>996508</v>
      </c>
      <c r="E237" s="4"/>
      <c r="F237" s="24">
        <f>F240+F243</f>
        <v>68812</v>
      </c>
      <c r="G237" s="24">
        <f>D237+F237</f>
        <v>1065320</v>
      </c>
      <c r="H237" s="71"/>
      <c r="I237" s="46"/>
    </row>
    <row r="238" spans="1:9" s="20" customFormat="1" ht="49.5" customHeight="1" hidden="1">
      <c r="A238" s="18" t="s">
        <v>211</v>
      </c>
      <c r="B238" s="4" t="s">
        <v>212</v>
      </c>
      <c r="C238" s="4" t="s">
        <v>217</v>
      </c>
      <c r="D238" s="17"/>
      <c r="E238" s="4" t="s">
        <v>217</v>
      </c>
      <c r="F238" s="19"/>
      <c r="G238" s="9">
        <v>0</v>
      </c>
      <c r="H238" s="4"/>
      <c r="I238" s="46"/>
    </row>
    <row r="239" spans="1:9" s="20" customFormat="1" ht="72" customHeight="1" hidden="1">
      <c r="A239" s="238" t="s">
        <v>211</v>
      </c>
      <c r="B239" s="239" t="s">
        <v>212</v>
      </c>
      <c r="C239" s="4" t="s">
        <v>382</v>
      </c>
      <c r="D239" s="17">
        <v>0</v>
      </c>
      <c r="E239" s="4"/>
      <c r="F239" s="19"/>
      <c r="G239" s="19">
        <v>0</v>
      </c>
      <c r="H239" s="4"/>
      <c r="I239" s="46"/>
    </row>
    <row r="240" spans="1:9" s="20" customFormat="1" ht="53.25" customHeight="1" hidden="1">
      <c r="A240" s="238"/>
      <c r="B240" s="239"/>
      <c r="C240" s="4"/>
      <c r="D240" s="17"/>
      <c r="E240" s="4" t="s">
        <v>498</v>
      </c>
      <c r="F240" s="19">
        <v>68812</v>
      </c>
      <c r="G240" s="19">
        <f>F240</f>
        <v>68812</v>
      </c>
      <c r="H240" s="4"/>
      <c r="I240" s="46"/>
    </row>
    <row r="241" spans="1:9" s="20" customFormat="1" ht="47.25" customHeight="1" hidden="1">
      <c r="A241" s="18" t="s">
        <v>142</v>
      </c>
      <c r="B241" s="4" t="s">
        <v>143</v>
      </c>
      <c r="C241" s="4" t="s">
        <v>502</v>
      </c>
      <c r="D241" s="17">
        <v>510000</v>
      </c>
      <c r="E241" s="4"/>
      <c r="F241" s="19"/>
      <c r="G241" s="19">
        <f>D241</f>
        <v>510000</v>
      </c>
      <c r="H241" s="4"/>
      <c r="I241" s="46"/>
    </row>
    <row r="242" spans="1:9" s="20" customFormat="1" ht="42.75" customHeight="1" hidden="1">
      <c r="A242" s="18" t="s">
        <v>132</v>
      </c>
      <c r="B242" s="4" t="s">
        <v>133</v>
      </c>
      <c r="C242" s="4"/>
      <c r="D242" s="17"/>
      <c r="E242" s="4" t="s">
        <v>245</v>
      </c>
      <c r="F242" s="19">
        <v>0</v>
      </c>
      <c r="G242" s="9">
        <v>0</v>
      </c>
      <c r="H242" s="4"/>
      <c r="I242" s="46"/>
    </row>
    <row r="243" spans="1:9" s="20" customFormat="1" ht="95.25" customHeight="1" hidden="1">
      <c r="A243" s="18" t="s">
        <v>119</v>
      </c>
      <c r="B243" s="4" t="s">
        <v>272</v>
      </c>
      <c r="C243" s="4"/>
      <c r="D243" s="17"/>
      <c r="E243" s="70" t="s">
        <v>380</v>
      </c>
      <c r="F243" s="19">
        <v>0</v>
      </c>
      <c r="G243" s="19">
        <f>F243</f>
        <v>0</v>
      </c>
      <c r="H243" s="4"/>
      <c r="I243" s="46"/>
    </row>
    <row r="244" spans="1:9" s="20" customFormat="1" ht="47.25" hidden="1">
      <c r="A244" s="238" t="s">
        <v>125</v>
      </c>
      <c r="B244" s="239" t="s">
        <v>140</v>
      </c>
      <c r="C244" s="4" t="s">
        <v>439</v>
      </c>
      <c r="D244" s="17">
        <v>155037</v>
      </c>
      <c r="E244" s="4"/>
      <c r="F244" s="9"/>
      <c r="G244" s="19">
        <f>D244</f>
        <v>155037</v>
      </c>
      <c r="H244" s="4"/>
      <c r="I244" s="46"/>
    </row>
    <row r="245" spans="1:9" s="20" customFormat="1" ht="47.25" hidden="1">
      <c r="A245" s="238"/>
      <c r="B245" s="239"/>
      <c r="C245" s="4" t="s">
        <v>502</v>
      </c>
      <c r="D245" s="17">
        <v>66308</v>
      </c>
      <c r="E245" s="4"/>
      <c r="F245" s="9"/>
      <c r="G245" s="19">
        <f aca="true" t="shared" si="11" ref="G245:G251">D245</f>
        <v>66308</v>
      </c>
      <c r="H245" s="4"/>
      <c r="I245" s="46"/>
    </row>
    <row r="246" spans="1:9" s="20" customFormat="1" ht="47.25" hidden="1">
      <c r="A246" s="238"/>
      <c r="B246" s="239"/>
      <c r="C246" s="4" t="s">
        <v>473</v>
      </c>
      <c r="D246" s="17">
        <v>233800</v>
      </c>
      <c r="E246" s="4"/>
      <c r="F246" s="9"/>
      <c r="G246" s="19">
        <f t="shared" si="11"/>
        <v>233800</v>
      </c>
      <c r="H246" s="4"/>
      <c r="I246" s="46"/>
    </row>
    <row r="247" spans="1:9" s="20" customFormat="1" ht="66" customHeight="1" hidden="1">
      <c r="A247" s="238"/>
      <c r="B247" s="239"/>
      <c r="C247" s="4" t="s">
        <v>440</v>
      </c>
      <c r="D247" s="17">
        <v>5100</v>
      </c>
      <c r="E247" s="4"/>
      <c r="F247" s="9"/>
      <c r="G247" s="19">
        <f t="shared" si="11"/>
        <v>5100</v>
      </c>
      <c r="H247" s="4"/>
      <c r="I247" s="46"/>
    </row>
    <row r="248" spans="1:9" s="20" customFormat="1" ht="45.75" customHeight="1" hidden="1">
      <c r="A248" s="238"/>
      <c r="B248" s="239"/>
      <c r="C248" s="4"/>
      <c r="D248" s="5"/>
      <c r="E248" s="4"/>
      <c r="F248" s="9"/>
      <c r="G248" s="19">
        <f t="shared" si="11"/>
        <v>0</v>
      </c>
      <c r="H248" s="4"/>
      <c r="I248" s="46"/>
    </row>
    <row r="249" spans="1:9" s="20" customFormat="1" ht="56.25" customHeight="1" hidden="1">
      <c r="A249" s="238"/>
      <c r="B249" s="239"/>
      <c r="C249" s="4"/>
      <c r="D249" s="5"/>
      <c r="E249" s="4"/>
      <c r="F249" s="9"/>
      <c r="G249" s="19">
        <f t="shared" si="11"/>
        <v>0</v>
      </c>
      <c r="H249" s="4"/>
      <c r="I249" s="46"/>
    </row>
    <row r="250" spans="1:9" s="20" customFormat="1" ht="47.25" hidden="1">
      <c r="A250" s="238"/>
      <c r="B250" s="239"/>
      <c r="C250" s="4" t="s">
        <v>438</v>
      </c>
      <c r="D250" s="17">
        <v>25298</v>
      </c>
      <c r="E250" s="4"/>
      <c r="F250" s="9"/>
      <c r="G250" s="19">
        <f t="shared" si="11"/>
        <v>25298</v>
      </c>
      <c r="H250" s="4"/>
      <c r="I250" s="46"/>
    </row>
    <row r="251" spans="1:9" s="20" customFormat="1" ht="63.75" customHeight="1" hidden="1">
      <c r="A251" s="238"/>
      <c r="B251" s="239"/>
      <c r="C251" s="4" t="s">
        <v>468</v>
      </c>
      <c r="D251" s="17">
        <v>965</v>
      </c>
      <c r="E251" s="4"/>
      <c r="F251" s="9"/>
      <c r="G251" s="19">
        <f t="shared" si="11"/>
        <v>965</v>
      </c>
      <c r="H251" s="4"/>
      <c r="I251" s="46"/>
    </row>
    <row r="252" spans="1:9" s="20" customFormat="1" ht="47.25">
      <c r="A252" s="22" t="s">
        <v>181</v>
      </c>
      <c r="B252" s="23" t="s">
        <v>91</v>
      </c>
      <c r="C252" s="4"/>
      <c r="D252" s="24">
        <f>D254+D258+D260+D261+D262+D263</f>
        <v>509258</v>
      </c>
      <c r="E252" s="23"/>
      <c r="F252" s="24">
        <f>F253+F254+F255+F257</f>
        <v>33765</v>
      </c>
      <c r="G252" s="24">
        <f>D252+F252</f>
        <v>543023</v>
      </c>
      <c r="H252" s="71"/>
      <c r="I252" s="46"/>
    </row>
    <row r="253" spans="1:9" s="20" customFormat="1" ht="43.5" customHeight="1" hidden="1">
      <c r="A253" s="18" t="s">
        <v>211</v>
      </c>
      <c r="B253" s="4" t="s">
        <v>212</v>
      </c>
      <c r="C253" s="4"/>
      <c r="D253" s="17"/>
      <c r="E253" s="4" t="s">
        <v>498</v>
      </c>
      <c r="F253" s="19">
        <v>27827</v>
      </c>
      <c r="G253" s="19">
        <f>F253</f>
        <v>27827</v>
      </c>
      <c r="H253" s="4"/>
      <c r="I253" s="46"/>
    </row>
    <row r="254" spans="1:9" s="20" customFormat="1" ht="50.25" customHeight="1">
      <c r="A254" s="238" t="s">
        <v>142</v>
      </c>
      <c r="B254" s="239" t="s">
        <v>143</v>
      </c>
      <c r="C254" s="4" t="s">
        <v>502</v>
      </c>
      <c r="D254" s="17">
        <v>440000</v>
      </c>
      <c r="E254" s="4" t="s">
        <v>502</v>
      </c>
      <c r="F254" s="19">
        <v>5542</v>
      </c>
      <c r="G254" s="19">
        <f>D254+F254</f>
        <v>445542</v>
      </c>
      <c r="H254" s="4">
        <v>5146</v>
      </c>
      <c r="I254" s="46"/>
    </row>
    <row r="255" spans="1:9" s="20" customFormat="1" ht="47.25" hidden="1">
      <c r="A255" s="238"/>
      <c r="B255" s="239"/>
      <c r="C255" s="4"/>
      <c r="D255" s="17"/>
      <c r="E255" s="35" t="s">
        <v>10</v>
      </c>
      <c r="F255" s="39">
        <v>396</v>
      </c>
      <c r="G255" s="39">
        <f>F255</f>
        <v>396</v>
      </c>
      <c r="H255" s="4"/>
      <c r="I255" s="46"/>
    </row>
    <row r="256" spans="1:9" s="20" customFormat="1" ht="21.75" customHeight="1" hidden="1">
      <c r="A256" s="18" t="s">
        <v>132</v>
      </c>
      <c r="B256" s="4" t="s">
        <v>133</v>
      </c>
      <c r="C256" s="4"/>
      <c r="D256" s="17"/>
      <c r="E256" s="4"/>
      <c r="F256" s="19"/>
      <c r="G256" s="19">
        <v>0</v>
      </c>
      <c r="H256" s="4"/>
      <c r="I256" s="46"/>
    </row>
    <row r="257" spans="1:9" s="20" customFormat="1" ht="99.75" customHeight="1" hidden="1">
      <c r="A257" s="18" t="s">
        <v>119</v>
      </c>
      <c r="B257" s="4" t="s">
        <v>272</v>
      </c>
      <c r="C257" s="4"/>
      <c r="D257" s="17"/>
      <c r="E257" s="70" t="s">
        <v>380</v>
      </c>
      <c r="F257" s="19">
        <v>0</v>
      </c>
      <c r="G257" s="19">
        <f>F257</f>
        <v>0</v>
      </c>
      <c r="H257" s="4"/>
      <c r="I257" s="46"/>
    </row>
    <row r="258" spans="1:9" s="20" customFormat="1" ht="47.25" hidden="1">
      <c r="A258" s="238" t="s">
        <v>125</v>
      </c>
      <c r="B258" s="239" t="s">
        <v>140</v>
      </c>
      <c r="C258" s="4" t="s">
        <v>439</v>
      </c>
      <c r="D258" s="17">
        <v>10800</v>
      </c>
      <c r="E258" s="4"/>
      <c r="F258" s="9"/>
      <c r="G258" s="19">
        <f aca="true" t="shared" si="12" ref="G258:G263">D258</f>
        <v>10800</v>
      </c>
      <c r="H258" s="4"/>
      <c r="I258" s="46"/>
    </row>
    <row r="259" spans="1:9" s="20" customFormat="1" ht="34.5" customHeight="1" hidden="1">
      <c r="A259" s="238"/>
      <c r="B259" s="239"/>
      <c r="C259" s="4"/>
      <c r="D259" s="17"/>
      <c r="E259" s="4"/>
      <c r="F259" s="9"/>
      <c r="G259" s="19">
        <f t="shared" si="12"/>
        <v>0</v>
      </c>
      <c r="H259" s="4"/>
      <c r="I259" s="46"/>
    </row>
    <row r="260" spans="1:9" s="20" customFormat="1" ht="52.5" customHeight="1" hidden="1">
      <c r="A260" s="238"/>
      <c r="B260" s="239"/>
      <c r="C260" s="4" t="s">
        <v>473</v>
      </c>
      <c r="D260" s="17">
        <v>31950</v>
      </c>
      <c r="E260" s="4"/>
      <c r="F260" s="9"/>
      <c r="G260" s="19">
        <f t="shared" si="12"/>
        <v>31950</v>
      </c>
      <c r="H260" s="4"/>
      <c r="I260" s="46"/>
    </row>
    <row r="261" spans="1:9" s="20" customFormat="1" ht="63" hidden="1">
      <c r="A261" s="238"/>
      <c r="B261" s="239"/>
      <c r="C261" s="4" t="s">
        <v>440</v>
      </c>
      <c r="D261" s="17">
        <v>5100</v>
      </c>
      <c r="E261" s="4"/>
      <c r="F261" s="9"/>
      <c r="G261" s="19">
        <f t="shared" si="12"/>
        <v>5100</v>
      </c>
      <c r="H261" s="4"/>
      <c r="I261" s="46"/>
    </row>
    <row r="262" spans="1:9" s="20" customFormat="1" ht="47.25" hidden="1">
      <c r="A262" s="238"/>
      <c r="B262" s="239"/>
      <c r="C262" s="4" t="s">
        <v>502</v>
      </c>
      <c r="D262" s="17">
        <v>0</v>
      </c>
      <c r="E262" s="4"/>
      <c r="F262" s="9"/>
      <c r="G262" s="19">
        <f t="shared" si="12"/>
        <v>0</v>
      </c>
      <c r="H262" s="4"/>
      <c r="I262" s="46"/>
    </row>
    <row r="263" spans="1:9" s="20" customFormat="1" ht="47.25" hidden="1">
      <c r="A263" s="238"/>
      <c r="B263" s="239"/>
      <c r="C263" s="4" t="s">
        <v>438</v>
      </c>
      <c r="D263" s="17">
        <v>21408</v>
      </c>
      <c r="E263" s="4"/>
      <c r="F263" s="9"/>
      <c r="G263" s="19">
        <f t="shared" si="12"/>
        <v>21408</v>
      </c>
      <c r="H263" s="4"/>
      <c r="I263" s="46"/>
    </row>
    <row r="264" spans="1:9" s="20" customFormat="1" ht="47.25">
      <c r="A264" s="22" t="s">
        <v>182</v>
      </c>
      <c r="B264" s="23" t="s">
        <v>92</v>
      </c>
      <c r="C264" s="4"/>
      <c r="D264" s="24">
        <f>D265+D266+D269+D270+D271+D272+D274+D275</f>
        <v>970596</v>
      </c>
      <c r="E264" s="23"/>
      <c r="F264" s="24">
        <f>F265+F266+F267+F268</f>
        <v>4568094</v>
      </c>
      <c r="G264" s="24">
        <f>D264+F264</f>
        <v>5538690</v>
      </c>
      <c r="H264" s="71"/>
      <c r="I264" s="46"/>
    </row>
    <row r="265" spans="1:9" s="20" customFormat="1" ht="45" customHeight="1" hidden="1">
      <c r="A265" s="18" t="s">
        <v>211</v>
      </c>
      <c r="B265" s="4" t="s">
        <v>212</v>
      </c>
      <c r="C265" s="4"/>
      <c r="D265" s="17"/>
      <c r="E265" s="4" t="s">
        <v>498</v>
      </c>
      <c r="F265" s="19">
        <v>27975</v>
      </c>
      <c r="G265" s="19">
        <f>F265</f>
        <v>27975</v>
      </c>
      <c r="H265" s="4"/>
      <c r="I265" s="46"/>
    </row>
    <row r="266" spans="1:9" s="20" customFormat="1" ht="56.25" customHeight="1">
      <c r="A266" s="18" t="s">
        <v>142</v>
      </c>
      <c r="B266" s="4" t="s">
        <v>143</v>
      </c>
      <c r="C266" s="4" t="s">
        <v>502</v>
      </c>
      <c r="D266" s="17">
        <v>710000</v>
      </c>
      <c r="E266" s="4" t="s">
        <v>502</v>
      </c>
      <c r="F266" s="19">
        <v>132173</v>
      </c>
      <c r="G266" s="19">
        <f>D266+F266</f>
        <v>842173</v>
      </c>
      <c r="H266" s="4">
        <v>132173</v>
      </c>
      <c r="I266" s="46"/>
    </row>
    <row r="267" spans="1:9" s="20" customFormat="1" ht="47.25" hidden="1">
      <c r="A267" s="18" t="s">
        <v>132</v>
      </c>
      <c r="B267" s="4" t="s">
        <v>133</v>
      </c>
      <c r="C267" s="4"/>
      <c r="D267" s="17"/>
      <c r="E267" s="4" t="s">
        <v>502</v>
      </c>
      <c r="F267" s="19">
        <v>4407946</v>
      </c>
      <c r="G267" s="19">
        <f>F267</f>
        <v>4407946</v>
      </c>
      <c r="H267" s="4"/>
      <c r="I267" s="46"/>
    </row>
    <row r="268" spans="1:9" s="20" customFormat="1" ht="99.75" customHeight="1" hidden="1">
      <c r="A268" s="18" t="s">
        <v>119</v>
      </c>
      <c r="B268" s="4" t="s">
        <v>272</v>
      </c>
      <c r="C268" s="4"/>
      <c r="D268" s="17"/>
      <c r="E268" s="70" t="s">
        <v>380</v>
      </c>
      <c r="F268" s="19">
        <v>0</v>
      </c>
      <c r="G268" s="19">
        <f>F268</f>
        <v>0</v>
      </c>
      <c r="H268" s="4"/>
      <c r="I268" s="46"/>
    </row>
    <row r="269" spans="1:9" s="20" customFormat="1" ht="47.25" hidden="1">
      <c r="A269" s="238" t="s">
        <v>125</v>
      </c>
      <c r="B269" s="239" t="s">
        <v>140</v>
      </c>
      <c r="C269" s="4" t="s">
        <v>439</v>
      </c>
      <c r="D269" s="17">
        <v>108138</v>
      </c>
      <c r="E269" s="4"/>
      <c r="F269" s="9"/>
      <c r="G269" s="19">
        <f>D269</f>
        <v>108138</v>
      </c>
      <c r="H269" s="4"/>
      <c r="I269" s="46"/>
    </row>
    <row r="270" spans="1:9" s="20" customFormat="1" ht="47.25" hidden="1">
      <c r="A270" s="238"/>
      <c r="B270" s="239"/>
      <c r="C270" s="4" t="s">
        <v>502</v>
      </c>
      <c r="D270" s="17">
        <v>66600</v>
      </c>
      <c r="E270" s="4"/>
      <c r="F270" s="9"/>
      <c r="G270" s="19">
        <f aca="true" t="shared" si="13" ref="G270:G275">D270</f>
        <v>66600</v>
      </c>
      <c r="H270" s="4"/>
      <c r="I270" s="46"/>
    </row>
    <row r="271" spans="1:9" s="20" customFormat="1" ht="47.25" hidden="1">
      <c r="A271" s="238"/>
      <c r="B271" s="239"/>
      <c r="C271" s="4" t="s">
        <v>473</v>
      </c>
      <c r="D271" s="17">
        <v>38505</v>
      </c>
      <c r="E271" s="4"/>
      <c r="F271" s="9"/>
      <c r="G271" s="19">
        <f t="shared" si="13"/>
        <v>38505</v>
      </c>
      <c r="H271" s="4"/>
      <c r="I271" s="46"/>
    </row>
    <row r="272" spans="1:9" s="20" customFormat="1" ht="63" hidden="1">
      <c r="A272" s="238"/>
      <c r="B272" s="239"/>
      <c r="C272" s="4" t="s">
        <v>440</v>
      </c>
      <c r="D272" s="17">
        <v>2756</v>
      </c>
      <c r="E272" s="4"/>
      <c r="F272" s="9"/>
      <c r="G272" s="19">
        <f t="shared" si="13"/>
        <v>2756</v>
      </c>
      <c r="H272" s="4"/>
      <c r="I272" s="46"/>
    </row>
    <row r="273" spans="1:9" s="20" customFormat="1" ht="21.75" customHeight="1" hidden="1">
      <c r="A273" s="238"/>
      <c r="B273" s="239"/>
      <c r="C273" s="4"/>
      <c r="D273" s="5"/>
      <c r="E273" s="4"/>
      <c r="F273" s="9"/>
      <c r="G273" s="19">
        <f t="shared" si="13"/>
        <v>0</v>
      </c>
      <c r="H273" s="4"/>
      <c r="I273" s="46"/>
    </row>
    <row r="274" spans="1:9" s="20" customFormat="1" ht="47.25" hidden="1">
      <c r="A274" s="238"/>
      <c r="B274" s="239"/>
      <c r="C274" s="4" t="s">
        <v>438</v>
      </c>
      <c r="D274" s="17">
        <f>18932+14100</f>
        <v>33032</v>
      </c>
      <c r="E274" s="4"/>
      <c r="F274" s="9"/>
      <c r="G274" s="19">
        <f t="shared" si="13"/>
        <v>33032</v>
      </c>
      <c r="H274" s="4"/>
      <c r="I274" s="46"/>
    </row>
    <row r="275" spans="1:9" s="20" customFormat="1" ht="66.75" customHeight="1" hidden="1">
      <c r="A275" s="238"/>
      <c r="B275" s="239"/>
      <c r="C275" s="4" t="s">
        <v>468</v>
      </c>
      <c r="D275" s="17">
        <v>11565</v>
      </c>
      <c r="E275" s="4"/>
      <c r="F275" s="9"/>
      <c r="G275" s="19">
        <f t="shared" si="13"/>
        <v>11565</v>
      </c>
      <c r="H275" s="4"/>
      <c r="I275" s="46"/>
    </row>
    <row r="276" spans="1:9" s="20" customFormat="1" ht="47.25">
      <c r="A276" s="22" t="s">
        <v>183</v>
      </c>
      <c r="B276" s="23" t="s">
        <v>93</v>
      </c>
      <c r="C276" s="4"/>
      <c r="D276" s="24">
        <f>D278+D280+D281+D282+D283+D284+D285</f>
        <v>663789</v>
      </c>
      <c r="E276" s="23"/>
      <c r="F276" s="24">
        <f>F277+F278+F279</f>
        <v>273375</v>
      </c>
      <c r="G276" s="28">
        <f>D276+F276</f>
        <v>937164</v>
      </c>
      <c r="H276" s="74"/>
      <c r="I276" s="46"/>
    </row>
    <row r="277" spans="1:9" s="20" customFormat="1" ht="31.5" hidden="1">
      <c r="A277" s="18" t="s">
        <v>211</v>
      </c>
      <c r="B277" s="4" t="s">
        <v>212</v>
      </c>
      <c r="C277" s="4"/>
      <c r="D277" s="17"/>
      <c r="E277" s="4" t="s">
        <v>498</v>
      </c>
      <c r="F277" s="19">
        <v>42375</v>
      </c>
      <c r="G277" s="19">
        <f>F277</f>
        <v>42375</v>
      </c>
      <c r="H277" s="23"/>
      <c r="I277" s="46"/>
    </row>
    <row r="278" spans="1:9" s="20" customFormat="1" ht="66" customHeight="1">
      <c r="A278" s="18" t="s">
        <v>142</v>
      </c>
      <c r="B278" s="4" t="s">
        <v>143</v>
      </c>
      <c r="C278" s="4" t="s">
        <v>502</v>
      </c>
      <c r="D278" s="17">
        <v>480000</v>
      </c>
      <c r="E278" s="4" t="s">
        <v>502</v>
      </c>
      <c r="F278" s="19">
        <v>10000</v>
      </c>
      <c r="G278" s="19">
        <f>D278+F278</f>
        <v>490000</v>
      </c>
      <c r="H278" s="4">
        <v>10000</v>
      </c>
      <c r="I278" s="46"/>
    </row>
    <row r="279" spans="1:9" s="20" customFormat="1" ht="55.5" customHeight="1" hidden="1">
      <c r="A279" s="18" t="s">
        <v>132</v>
      </c>
      <c r="B279" s="4" t="s">
        <v>133</v>
      </c>
      <c r="C279" s="4"/>
      <c r="D279" s="17"/>
      <c r="E279" s="4" t="s">
        <v>502</v>
      </c>
      <c r="F279" s="19">
        <v>221000</v>
      </c>
      <c r="G279" s="19">
        <f>F279</f>
        <v>221000</v>
      </c>
      <c r="H279" s="4"/>
      <c r="I279" s="46"/>
    </row>
    <row r="280" spans="1:9" s="20" customFormat="1" ht="47.25" hidden="1">
      <c r="A280" s="238" t="s">
        <v>125</v>
      </c>
      <c r="B280" s="239" t="s">
        <v>140</v>
      </c>
      <c r="C280" s="4" t="s">
        <v>439</v>
      </c>
      <c r="D280" s="17">
        <v>111797</v>
      </c>
      <c r="E280" s="4"/>
      <c r="F280" s="9"/>
      <c r="G280" s="19">
        <f aca="true" t="shared" si="14" ref="G280:G285">D280</f>
        <v>111797</v>
      </c>
      <c r="H280" s="4"/>
      <c r="I280" s="46"/>
    </row>
    <row r="281" spans="1:9" s="20" customFormat="1" ht="47.25" hidden="1">
      <c r="A281" s="238"/>
      <c r="B281" s="239"/>
      <c r="C281" s="4" t="s">
        <v>502</v>
      </c>
      <c r="D281" s="17">
        <v>16686</v>
      </c>
      <c r="E281" s="4"/>
      <c r="F281" s="9"/>
      <c r="G281" s="19">
        <f t="shared" si="14"/>
        <v>16686</v>
      </c>
      <c r="H281" s="4"/>
      <c r="I281" s="46"/>
    </row>
    <row r="282" spans="1:9" s="20" customFormat="1" ht="47.25" hidden="1">
      <c r="A282" s="238"/>
      <c r="B282" s="239"/>
      <c r="C282" s="4" t="s">
        <v>473</v>
      </c>
      <c r="D282" s="17">
        <v>26015</v>
      </c>
      <c r="E282" s="4"/>
      <c r="F282" s="9"/>
      <c r="G282" s="19">
        <f t="shared" si="14"/>
        <v>26015</v>
      </c>
      <c r="H282" s="4"/>
      <c r="I282" s="46"/>
    </row>
    <row r="283" spans="1:9" s="20" customFormat="1" ht="63" hidden="1">
      <c r="A283" s="238"/>
      <c r="B283" s="239"/>
      <c r="C283" s="4" t="s">
        <v>440</v>
      </c>
      <c r="D283" s="17">
        <v>4133</v>
      </c>
      <c r="E283" s="4"/>
      <c r="F283" s="9"/>
      <c r="G283" s="19">
        <f t="shared" si="14"/>
        <v>4133</v>
      </c>
      <c r="H283" s="4"/>
      <c r="I283" s="46"/>
    </row>
    <row r="284" spans="1:9" s="20" customFormat="1" ht="47.25" hidden="1">
      <c r="A284" s="238"/>
      <c r="B284" s="239"/>
      <c r="C284" s="4" t="s">
        <v>438</v>
      </c>
      <c r="D284" s="17">
        <v>23096</v>
      </c>
      <c r="E284" s="4"/>
      <c r="F284" s="9"/>
      <c r="G284" s="19">
        <f t="shared" si="14"/>
        <v>23096</v>
      </c>
      <c r="H284" s="4"/>
      <c r="I284" s="46"/>
    </row>
    <row r="285" spans="1:9" s="20" customFormat="1" ht="63.75" customHeight="1" hidden="1">
      <c r="A285" s="238"/>
      <c r="B285" s="239"/>
      <c r="C285" s="4" t="s">
        <v>468</v>
      </c>
      <c r="D285" s="17">
        <v>2062</v>
      </c>
      <c r="E285" s="4"/>
      <c r="F285" s="9"/>
      <c r="G285" s="19">
        <f t="shared" si="14"/>
        <v>2062</v>
      </c>
      <c r="H285" s="4"/>
      <c r="I285" s="46"/>
    </row>
    <row r="286" spans="1:9" s="33" customFormat="1" ht="47.25" hidden="1">
      <c r="A286" s="22" t="s">
        <v>184</v>
      </c>
      <c r="B286" s="23" t="s">
        <v>94</v>
      </c>
      <c r="C286" s="23"/>
      <c r="D286" s="24">
        <f>D288+D290+D292+D294+D296+D297+D298+D299+D300+D301</f>
        <v>1140260</v>
      </c>
      <c r="E286" s="23"/>
      <c r="F286" s="24">
        <f>F289+F293</f>
        <v>77975</v>
      </c>
      <c r="G286" s="24">
        <f>D286+F286</f>
        <v>1218235</v>
      </c>
      <c r="H286" s="74"/>
      <c r="I286" s="46"/>
    </row>
    <row r="287" spans="1:9" s="33" customFormat="1" ht="55.5" customHeight="1" hidden="1">
      <c r="A287" s="18" t="s">
        <v>211</v>
      </c>
      <c r="B287" s="4" t="s">
        <v>212</v>
      </c>
      <c r="C287" s="4" t="s">
        <v>218</v>
      </c>
      <c r="D287" s="17"/>
      <c r="E287" s="4" t="s">
        <v>218</v>
      </c>
      <c r="F287" s="19"/>
      <c r="G287" s="19">
        <v>0</v>
      </c>
      <c r="H287" s="23"/>
      <c r="I287" s="46"/>
    </row>
    <row r="288" spans="1:9" s="33" customFormat="1" ht="69" customHeight="1" hidden="1">
      <c r="A288" s="243" t="s">
        <v>211</v>
      </c>
      <c r="B288" s="241" t="s">
        <v>212</v>
      </c>
      <c r="C288" s="4" t="s">
        <v>468</v>
      </c>
      <c r="D288" s="17">
        <v>7791</v>
      </c>
      <c r="E288" s="4"/>
      <c r="F288" s="19"/>
      <c r="G288" s="19">
        <f>D288</f>
        <v>7791</v>
      </c>
      <c r="H288" s="23"/>
      <c r="I288" s="46"/>
    </row>
    <row r="289" spans="1:9" s="33" customFormat="1" ht="54.75" customHeight="1" hidden="1">
      <c r="A289" s="244"/>
      <c r="B289" s="242"/>
      <c r="C289" s="4"/>
      <c r="D289" s="17"/>
      <c r="E289" s="4" t="s">
        <v>498</v>
      </c>
      <c r="F289" s="19">
        <v>27975</v>
      </c>
      <c r="G289" s="19">
        <f>F289</f>
        <v>27975</v>
      </c>
      <c r="H289" s="23"/>
      <c r="I289" s="46"/>
    </row>
    <row r="290" spans="1:9" s="20" customFormat="1" ht="49.5" customHeight="1" hidden="1">
      <c r="A290" s="238" t="s">
        <v>142</v>
      </c>
      <c r="B290" s="239" t="s">
        <v>143</v>
      </c>
      <c r="C290" s="4" t="s">
        <v>502</v>
      </c>
      <c r="D290" s="17">
        <v>768655</v>
      </c>
      <c r="E290" s="4"/>
      <c r="F290" s="19"/>
      <c r="G290" s="19">
        <f>D290</f>
        <v>768655</v>
      </c>
      <c r="H290" s="4"/>
      <c r="I290" s="46"/>
    </row>
    <row r="291" spans="1:9" s="20" customFormat="1" ht="47.25" hidden="1">
      <c r="A291" s="238"/>
      <c r="B291" s="239"/>
      <c r="C291" s="4"/>
      <c r="D291" s="17"/>
      <c r="E291" s="35" t="s">
        <v>315</v>
      </c>
      <c r="F291" s="39">
        <v>0</v>
      </c>
      <c r="G291" s="39">
        <v>0</v>
      </c>
      <c r="H291" s="4"/>
      <c r="I291" s="46"/>
    </row>
    <row r="292" spans="1:9" s="20" customFormat="1" ht="47.25" hidden="1">
      <c r="A292" s="18" t="s">
        <v>288</v>
      </c>
      <c r="B292" s="4" t="s">
        <v>140</v>
      </c>
      <c r="C292" s="4" t="s">
        <v>310</v>
      </c>
      <c r="D292" s="17">
        <v>0</v>
      </c>
      <c r="E292" s="4"/>
      <c r="F292" s="19"/>
      <c r="G292" s="19">
        <f>D292</f>
        <v>0</v>
      </c>
      <c r="H292" s="4"/>
      <c r="I292" s="46"/>
    </row>
    <row r="293" spans="1:9" s="20" customFormat="1" ht="93.75" customHeight="1" hidden="1">
      <c r="A293" s="18" t="s">
        <v>119</v>
      </c>
      <c r="B293" s="4" t="s">
        <v>272</v>
      </c>
      <c r="C293" s="4"/>
      <c r="D293" s="17"/>
      <c r="E293" s="4" t="s">
        <v>458</v>
      </c>
      <c r="F293" s="19">
        <v>50000</v>
      </c>
      <c r="G293" s="19">
        <f>F293</f>
        <v>50000</v>
      </c>
      <c r="H293" s="4"/>
      <c r="I293" s="46"/>
    </row>
    <row r="294" spans="1:9" s="20" customFormat="1" ht="47.25" hidden="1">
      <c r="A294" s="238" t="s">
        <v>125</v>
      </c>
      <c r="B294" s="239" t="s">
        <v>140</v>
      </c>
      <c r="C294" s="4" t="s">
        <v>439</v>
      </c>
      <c r="D294" s="17">
        <v>245113</v>
      </c>
      <c r="E294" s="4"/>
      <c r="F294" s="9"/>
      <c r="G294" s="19">
        <f>D294</f>
        <v>245113</v>
      </c>
      <c r="H294" s="4"/>
      <c r="I294" s="46"/>
    </row>
    <row r="295" spans="1:9" s="20" customFormat="1" ht="21" customHeight="1" hidden="1">
      <c r="A295" s="238"/>
      <c r="B295" s="239"/>
      <c r="C295" s="4"/>
      <c r="D295" s="17"/>
      <c r="E295" s="4"/>
      <c r="F295" s="9"/>
      <c r="G295" s="19">
        <f aca="true" t="shared" si="15" ref="G295:G301">D295</f>
        <v>0</v>
      </c>
      <c r="H295" s="4"/>
      <c r="I295" s="46"/>
    </row>
    <row r="296" spans="1:9" s="20" customFormat="1" ht="15.75" hidden="1">
      <c r="A296" s="238"/>
      <c r="B296" s="239"/>
      <c r="C296" s="4"/>
      <c r="D296" s="17">
        <v>0</v>
      </c>
      <c r="E296" s="4"/>
      <c r="F296" s="9"/>
      <c r="G296" s="19">
        <f t="shared" si="15"/>
        <v>0</v>
      </c>
      <c r="H296" s="4"/>
      <c r="I296" s="46"/>
    </row>
    <row r="297" spans="1:9" s="20" customFormat="1" ht="47.25" hidden="1">
      <c r="A297" s="238"/>
      <c r="B297" s="239"/>
      <c r="C297" s="4" t="s">
        <v>473</v>
      </c>
      <c r="D297" s="17">
        <v>63468</v>
      </c>
      <c r="E297" s="4"/>
      <c r="F297" s="9"/>
      <c r="G297" s="19">
        <f t="shared" si="15"/>
        <v>63468</v>
      </c>
      <c r="H297" s="4"/>
      <c r="I297" s="46"/>
    </row>
    <row r="298" spans="1:9" s="20" customFormat="1" ht="63" hidden="1">
      <c r="A298" s="238"/>
      <c r="B298" s="239"/>
      <c r="C298" s="4" t="s">
        <v>440</v>
      </c>
      <c r="D298" s="17">
        <v>3100</v>
      </c>
      <c r="E298" s="4"/>
      <c r="F298" s="9"/>
      <c r="G298" s="19">
        <f t="shared" si="15"/>
        <v>3100</v>
      </c>
      <c r="H298" s="4"/>
      <c r="I298" s="46"/>
    </row>
    <row r="299" spans="1:9" s="20" customFormat="1" ht="47.25" hidden="1">
      <c r="A299" s="238"/>
      <c r="B299" s="239"/>
      <c r="C299" s="4" t="s">
        <v>438</v>
      </c>
      <c r="D299" s="17">
        <v>18610</v>
      </c>
      <c r="E299" s="4"/>
      <c r="F299" s="9"/>
      <c r="G299" s="19">
        <f t="shared" si="15"/>
        <v>18610</v>
      </c>
      <c r="H299" s="4"/>
      <c r="I299" s="46"/>
    </row>
    <row r="300" spans="1:9" s="20" customFormat="1" ht="47.25" hidden="1">
      <c r="A300" s="238"/>
      <c r="B300" s="239"/>
      <c r="C300" s="4" t="s">
        <v>502</v>
      </c>
      <c r="D300" s="17">
        <v>32058</v>
      </c>
      <c r="E300" s="4"/>
      <c r="F300" s="9"/>
      <c r="G300" s="19">
        <f t="shared" si="15"/>
        <v>32058</v>
      </c>
      <c r="H300" s="4"/>
      <c r="I300" s="46"/>
    </row>
    <row r="301" spans="1:9" s="20" customFormat="1" ht="65.25" customHeight="1" hidden="1">
      <c r="A301" s="238"/>
      <c r="B301" s="239"/>
      <c r="C301" s="4" t="s">
        <v>468</v>
      </c>
      <c r="D301" s="17">
        <v>1465</v>
      </c>
      <c r="E301" s="4"/>
      <c r="F301" s="9"/>
      <c r="G301" s="19">
        <f t="shared" si="15"/>
        <v>1465</v>
      </c>
      <c r="H301" s="4"/>
      <c r="I301" s="46"/>
    </row>
    <row r="302" spans="1:9" s="33" customFormat="1" ht="47.25" hidden="1">
      <c r="A302" s="22" t="s">
        <v>185</v>
      </c>
      <c r="B302" s="23" t="s">
        <v>95</v>
      </c>
      <c r="C302" s="23"/>
      <c r="D302" s="24">
        <f>D305+D307+D309+D310+D311+D312+D313</f>
        <v>828027</v>
      </c>
      <c r="E302" s="23"/>
      <c r="F302" s="24">
        <f>F303+F304+F305+F306</f>
        <v>80975</v>
      </c>
      <c r="G302" s="28">
        <f>D302+F302</f>
        <v>909002</v>
      </c>
      <c r="H302" s="74"/>
      <c r="I302" s="46"/>
    </row>
    <row r="303" spans="1:9" s="33" customFormat="1" ht="49.5" customHeight="1" hidden="1">
      <c r="A303" s="18" t="s">
        <v>211</v>
      </c>
      <c r="B303" s="4" t="s">
        <v>212</v>
      </c>
      <c r="C303" s="4"/>
      <c r="D303" s="17"/>
      <c r="E303" s="4" t="s">
        <v>498</v>
      </c>
      <c r="F303" s="19">
        <v>27975</v>
      </c>
      <c r="G303" s="19">
        <f>F303</f>
        <v>27975</v>
      </c>
      <c r="H303" s="23"/>
      <c r="I303" s="46"/>
    </row>
    <row r="304" spans="1:9" s="33" customFormat="1" ht="49.5" customHeight="1" hidden="1">
      <c r="A304" s="18" t="s">
        <v>132</v>
      </c>
      <c r="B304" s="4" t="s">
        <v>133</v>
      </c>
      <c r="C304" s="4"/>
      <c r="D304" s="17"/>
      <c r="E304" s="4" t="s">
        <v>502</v>
      </c>
      <c r="F304" s="19">
        <v>3000</v>
      </c>
      <c r="G304" s="19">
        <f>F304</f>
        <v>3000</v>
      </c>
      <c r="H304" s="23"/>
      <c r="I304" s="46"/>
    </row>
    <row r="305" spans="1:9" s="20" customFormat="1" ht="48" customHeight="1" hidden="1">
      <c r="A305" s="18" t="s">
        <v>142</v>
      </c>
      <c r="B305" s="4" t="s">
        <v>143</v>
      </c>
      <c r="C305" s="4" t="s">
        <v>502</v>
      </c>
      <c r="D305" s="17">
        <v>650000</v>
      </c>
      <c r="E305" s="4"/>
      <c r="F305" s="19"/>
      <c r="G305" s="19">
        <f>D305+F305</f>
        <v>650000</v>
      </c>
      <c r="H305" s="4"/>
      <c r="I305" s="46"/>
    </row>
    <row r="306" spans="1:9" s="20" customFormat="1" ht="93.75" customHeight="1" hidden="1">
      <c r="A306" s="18" t="s">
        <v>119</v>
      </c>
      <c r="B306" s="4" t="s">
        <v>272</v>
      </c>
      <c r="C306" s="4"/>
      <c r="D306" s="17"/>
      <c r="E306" s="4" t="s">
        <v>458</v>
      </c>
      <c r="F306" s="19">
        <v>50000</v>
      </c>
      <c r="G306" s="19">
        <f>F306</f>
        <v>50000</v>
      </c>
      <c r="H306" s="4"/>
      <c r="I306" s="46"/>
    </row>
    <row r="307" spans="1:9" s="20" customFormat="1" ht="47.25" hidden="1">
      <c r="A307" s="238" t="s">
        <v>125</v>
      </c>
      <c r="B307" s="239" t="s">
        <v>140</v>
      </c>
      <c r="C307" s="4" t="s">
        <v>439</v>
      </c>
      <c r="D307" s="17">
        <v>72092</v>
      </c>
      <c r="E307" s="4"/>
      <c r="F307" s="9"/>
      <c r="G307" s="19">
        <f aca="true" t="shared" si="16" ref="G307:G313">D307</f>
        <v>72092</v>
      </c>
      <c r="H307" s="4"/>
      <c r="I307" s="46"/>
    </row>
    <row r="308" spans="1:9" s="20" customFormat="1" ht="30.75" customHeight="1" hidden="1">
      <c r="A308" s="238"/>
      <c r="B308" s="239"/>
      <c r="C308" s="4"/>
      <c r="D308" s="17"/>
      <c r="E308" s="4"/>
      <c r="F308" s="9"/>
      <c r="G308" s="19">
        <f t="shared" si="16"/>
        <v>0</v>
      </c>
      <c r="H308" s="4"/>
      <c r="I308" s="46"/>
    </row>
    <row r="309" spans="1:9" s="20" customFormat="1" ht="47.25" hidden="1">
      <c r="A309" s="238"/>
      <c r="B309" s="239"/>
      <c r="C309" s="4" t="s">
        <v>473</v>
      </c>
      <c r="D309" s="17">
        <v>43038</v>
      </c>
      <c r="E309" s="4"/>
      <c r="F309" s="9"/>
      <c r="G309" s="19">
        <f t="shared" si="16"/>
        <v>43038</v>
      </c>
      <c r="H309" s="4"/>
      <c r="I309" s="46"/>
    </row>
    <row r="310" spans="1:9" s="20" customFormat="1" ht="63" hidden="1">
      <c r="A310" s="238"/>
      <c r="B310" s="239"/>
      <c r="C310" s="4" t="s">
        <v>440</v>
      </c>
      <c r="D310" s="17">
        <v>2067</v>
      </c>
      <c r="E310" s="4"/>
      <c r="F310" s="9"/>
      <c r="G310" s="19">
        <f t="shared" si="16"/>
        <v>2067</v>
      </c>
      <c r="H310" s="4"/>
      <c r="I310" s="46"/>
    </row>
    <row r="311" spans="1:9" s="20" customFormat="1" ht="47.25" hidden="1">
      <c r="A311" s="238"/>
      <c r="B311" s="239"/>
      <c r="C311" s="4" t="s">
        <v>438</v>
      </c>
      <c r="D311" s="17">
        <v>26781</v>
      </c>
      <c r="E311" s="4"/>
      <c r="F311" s="9"/>
      <c r="G311" s="19">
        <f t="shared" si="16"/>
        <v>26781</v>
      </c>
      <c r="H311" s="4"/>
      <c r="I311" s="46"/>
    </row>
    <row r="312" spans="1:9" s="20" customFormat="1" ht="47.25" hidden="1">
      <c r="A312" s="238"/>
      <c r="B312" s="239"/>
      <c r="C312" s="4" t="s">
        <v>502</v>
      </c>
      <c r="D312" s="17">
        <v>33132</v>
      </c>
      <c r="E312" s="4"/>
      <c r="F312" s="9"/>
      <c r="G312" s="19">
        <f t="shared" si="16"/>
        <v>33132</v>
      </c>
      <c r="H312" s="4"/>
      <c r="I312" s="46"/>
    </row>
    <row r="313" spans="1:9" s="20" customFormat="1" ht="69" customHeight="1" hidden="1">
      <c r="A313" s="238"/>
      <c r="B313" s="239"/>
      <c r="C313" s="4" t="s">
        <v>468</v>
      </c>
      <c r="D313" s="17">
        <v>917</v>
      </c>
      <c r="E313" s="4"/>
      <c r="F313" s="9"/>
      <c r="G313" s="19">
        <f t="shared" si="16"/>
        <v>917</v>
      </c>
      <c r="H313" s="4"/>
      <c r="I313" s="46"/>
    </row>
    <row r="314" spans="1:9" s="20" customFormat="1" ht="46.5" customHeight="1" hidden="1">
      <c r="A314" s="22" t="s">
        <v>186</v>
      </c>
      <c r="B314" s="23" t="s">
        <v>96</v>
      </c>
      <c r="C314" s="4"/>
      <c r="D314" s="24">
        <f>D315+D317+D318+D320+D321+D323+D324+D325</f>
        <v>745594</v>
      </c>
      <c r="E314" s="4"/>
      <c r="F314" s="24">
        <f>F316</f>
        <v>27975</v>
      </c>
      <c r="G314" s="24">
        <f>D314+F314</f>
        <v>773569</v>
      </c>
      <c r="H314" s="71"/>
      <c r="I314" s="46"/>
    </row>
    <row r="315" spans="1:9" s="20" customFormat="1" ht="67.5" customHeight="1" hidden="1">
      <c r="A315" s="238" t="s">
        <v>211</v>
      </c>
      <c r="B315" s="239" t="s">
        <v>212</v>
      </c>
      <c r="C315" s="4" t="s">
        <v>468</v>
      </c>
      <c r="D315" s="17">
        <v>339</v>
      </c>
      <c r="E315" s="4"/>
      <c r="F315" s="24"/>
      <c r="G315" s="19">
        <f>D315</f>
        <v>339</v>
      </c>
      <c r="H315" s="71"/>
      <c r="I315" s="46"/>
    </row>
    <row r="316" spans="1:9" s="20" customFormat="1" ht="64.5" customHeight="1" hidden="1">
      <c r="A316" s="238"/>
      <c r="B316" s="239"/>
      <c r="C316" s="4"/>
      <c r="D316" s="17"/>
      <c r="E316" s="4" t="s">
        <v>498</v>
      </c>
      <c r="F316" s="19">
        <v>27975</v>
      </c>
      <c r="G316" s="19">
        <f>F316</f>
        <v>27975</v>
      </c>
      <c r="H316" s="4"/>
      <c r="I316" s="46"/>
    </row>
    <row r="317" spans="1:9" s="20" customFormat="1" ht="45.75" customHeight="1" hidden="1">
      <c r="A317" s="18" t="s">
        <v>142</v>
      </c>
      <c r="B317" s="4" t="s">
        <v>143</v>
      </c>
      <c r="C317" s="4" t="s">
        <v>502</v>
      </c>
      <c r="D317" s="17">
        <v>527000</v>
      </c>
      <c r="E317" s="4"/>
      <c r="F317" s="19"/>
      <c r="G317" s="19">
        <f>D317</f>
        <v>527000</v>
      </c>
      <c r="H317" s="4"/>
      <c r="I317" s="46"/>
    </row>
    <row r="318" spans="1:9" s="20" customFormat="1" ht="47.25" hidden="1">
      <c r="A318" s="238" t="s">
        <v>125</v>
      </c>
      <c r="B318" s="239" t="s">
        <v>140</v>
      </c>
      <c r="C318" s="4" t="s">
        <v>439</v>
      </c>
      <c r="D318" s="17">
        <v>100929</v>
      </c>
      <c r="E318" s="4"/>
      <c r="F318" s="9"/>
      <c r="G318" s="19">
        <f aca="true" t="shared" si="17" ref="G318:G325">D318</f>
        <v>100929</v>
      </c>
      <c r="H318" s="4"/>
      <c r="I318" s="46"/>
    </row>
    <row r="319" spans="1:9" s="20" customFormat="1" ht="15.75" customHeight="1" hidden="1">
      <c r="A319" s="238"/>
      <c r="B319" s="239"/>
      <c r="C319" s="4"/>
      <c r="D319" s="17"/>
      <c r="E319" s="4"/>
      <c r="F319" s="19">
        <v>0</v>
      </c>
      <c r="G319" s="19">
        <f t="shared" si="17"/>
        <v>0</v>
      </c>
      <c r="H319" s="4"/>
      <c r="I319" s="46"/>
    </row>
    <row r="320" spans="1:9" s="20" customFormat="1" ht="47.25" hidden="1">
      <c r="A320" s="238"/>
      <c r="B320" s="239"/>
      <c r="C320" s="4" t="s">
        <v>473</v>
      </c>
      <c r="D320" s="17">
        <v>60000</v>
      </c>
      <c r="E320" s="4"/>
      <c r="F320" s="9"/>
      <c r="G320" s="19">
        <f t="shared" si="17"/>
        <v>60000</v>
      </c>
      <c r="H320" s="4"/>
      <c r="I320" s="46"/>
    </row>
    <row r="321" spans="1:9" s="20" customFormat="1" ht="63" hidden="1">
      <c r="A321" s="238"/>
      <c r="B321" s="239"/>
      <c r="C321" s="4" t="s">
        <v>440</v>
      </c>
      <c r="D321" s="17">
        <v>3500</v>
      </c>
      <c r="E321" s="4"/>
      <c r="F321" s="9"/>
      <c r="G321" s="19">
        <f t="shared" si="17"/>
        <v>3500</v>
      </c>
      <c r="H321" s="4"/>
      <c r="I321" s="46"/>
    </row>
    <row r="322" spans="1:9" s="20" customFormat="1" ht="24.75" customHeight="1" hidden="1">
      <c r="A322" s="238"/>
      <c r="B322" s="239"/>
      <c r="C322" s="4"/>
      <c r="D322" s="5"/>
      <c r="E322" s="4"/>
      <c r="F322" s="9"/>
      <c r="G322" s="19">
        <f t="shared" si="17"/>
        <v>0</v>
      </c>
      <c r="H322" s="4"/>
      <c r="I322" s="46"/>
    </row>
    <row r="323" spans="1:9" s="20" customFormat="1" ht="47.25" hidden="1">
      <c r="A323" s="238"/>
      <c r="B323" s="239"/>
      <c r="C323" s="4" t="s">
        <v>438</v>
      </c>
      <c r="D323" s="17">
        <v>19000</v>
      </c>
      <c r="E323" s="4"/>
      <c r="F323" s="9"/>
      <c r="G323" s="19">
        <f t="shared" si="17"/>
        <v>19000</v>
      </c>
      <c r="H323" s="4"/>
      <c r="I323" s="46"/>
    </row>
    <row r="324" spans="1:9" s="20" customFormat="1" ht="47.25" hidden="1">
      <c r="A324" s="238"/>
      <c r="B324" s="239"/>
      <c r="C324" s="4" t="s">
        <v>502</v>
      </c>
      <c r="D324" s="17">
        <v>32792</v>
      </c>
      <c r="E324" s="4"/>
      <c r="F324" s="9"/>
      <c r="G324" s="19">
        <f t="shared" si="17"/>
        <v>32792</v>
      </c>
      <c r="H324" s="4"/>
      <c r="I324" s="46"/>
    </row>
    <row r="325" spans="1:9" s="20" customFormat="1" ht="68.25" customHeight="1" hidden="1">
      <c r="A325" s="238"/>
      <c r="B325" s="239"/>
      <c r="C325" s="4" t="s">
        <v>468</v>
      </c>
      <c r="D325" s="17">
        <v>2034</v>
      </c>
      <c r="E325" s="4"/>
      <c r="F325" s="9"/>
      <c r="G325" s="19">
        <f t="shared" si="17"/>
        <v>2034</v>
      </c>
      <c r="H325" s="4"/>
      <c r="I325" s="46"/>
    </row>
    <row r="326" spans="1:11" s="34" customFormat="1" ht="15.75" hidden="1">
      <c r="A326" s="23"/>
      <c r="B326" s="23" t="s">
        <v>114</v>
      </c>
      <c r="C326" s="23"/>
      <c r="D326" s="28">
        <f>D11+D31+D73+D97+D125+D148+D153+D155+D185+D188+D196+D199+D204+D216+D221+D227+D233+D237+D252+D264+D276+D286+D302+D314</f>
        <v>220295134</v>
      </c>
      <c r="E326" s="27"/>
      <c r="F326" s="28">
        <f>F11+F31+F73+F97+F125+F148+F153+F155+F185+F188+F196+F199+F204+F216+F221+F227+F233+F237+F252+F264+F276+F286+F302+F314</f>
        <v>205915535</v>
      </c>
      <c r="G326" s="28">
        <f>D326+F326</f>
        <v>426210669</v>
      </c>
      <c r="H326" s="9"/>
      <c r="I326" s="46"/>
      <c r="K326" s="45"/>
    </row>
    <row r="327" spans="1:8" ht="15" customHeight="1" hidden="1">
      <c r="A327" s="65"/>
      <c r="B327" s="65"/>
      <c r="C327" s="65"/>
      <c r="D327" s="65"/>
      <c r="E327" s="65"/>
      <c r="F327" s="65"/>
      <c r="G327" s="65"/>
      <c r="H327" s="63"/>
    </row>
    <row r="328" spans="1:6" s="11" customFormat="1" ht="35.25" customHeight="1" hidden="1">
      <c r="A328" s="252" t="s">
        <v>246</v>
      </c>
      <c r="B328" s="252"/>
      <c r="C328" s="66"/>
      <c r="D328" s="67"/>
      <c r="E328" s="54"/>
      <c r="F328" s="57" t="s">
        <v>247</v>
      </c>
    </row>
    <row r="329" spans="4:7" ht="18" customHeight="1" hidden="1">
      <c r="D329" s="10"/>
      <c r="F329" s="34"/>
      <c r="G329" s="45"/>
    </row>
    <row r="330" spans="4:7" ht="18" customHeight="1" hidden="1">
      <c r="D330" s="10"/>
      <c r="F330" s="34"/>
      <c r="G330" s="45"/>
    </row>
    <row r="331" ht="18" customHeight="1" hidden="1"/>
    <row r="332" spans="4:9" ht="18" customHeight="1" hidden="1">
      <c r="D332" s="10"/>
      <c r="F332" s="41"/>
      <c r="G332" s="42"/>
      <c r="H332" s="41"/>
      <c r="I332" s="10"/>
    </row>
    <row r="333" spans="4:6" ht="18" customHeight="1" hidden="1">
      <c r="D333" s="10"/>
      <c r="F333" s="10"/>
    </row>
    <row r="334" spans="1:6" ht="18" customHeight="1" hidden="1">
      <c r="A334" s="1">
        <v>250404</v>
      </c>
      <c r="B334" s="1" t="s">
        <v>443</v>
      </c>
      <c r="D334" s="10">
        <f>D318+D307+D294+D280+D269+D258+D244</f>
        <v>803906</v>
      </c>
      <c r="F334" s="10"/>
    </row>
    <row r="335" spans="2:6" ht="15.75" hidden="1">
      <c r="B335" s="1" t="s">
        <v>444</v>
      </c>
      <c r="D335" s="10">
        <f>D321+D310+D298+D283+D272+D261+D247</f>
        <v>25756</v>
      </c>
      <c r="F335" s="10"/>
    </row>
    <row r="336" spans="2:6" ht="15.75" hidden="1">
      <c r="B336" s="1" t="s">
        <v>445</v>
      </c>
      <c r="C336" s="3"/>
      <c r="D336" s="10">
        <f>D323+D311+D299+D284+D274+D263+D250</f>
        <v>167225</v>
      </c>
      <c r="F336" s="10"/>
    </row>
    <row r="337" spans="2:6" ht="15.75" hidden="1">
      <c r="B337" s="1" t="s">
        <v>446</v>
      </c>
      <c r="D337" s="10">
        <f>D320+D309+D297+D282+D271+D260+D246</f>
        <v>496776</v>
      </c>
      <c r="F337" s="10"/>
    </row>
    <row r="338" spans="2:6" ht="15.75" hidden="1">
      <c r="B338" s="1" t="s">
        <v>447</v>
      </c>
      <c r="D338" s="10">
        <f>D325+D313+D301+D285+D275+D251+D315+D288+D229+D220+D187+D157+D143+D139+D137+D134+D131+D128+D109+D101++D100+D90+D79+D74+D13+D136+D33+D36+D42+D44+D50+D51+D53+D55+D56+D63+D65</f>
        <v>757108</v>
      </c>
      <c r="F338" s="10"/>
    </row>
    <row r="339" spans="2:6" ht="15.75" hidden="1">
      <c r="B339" s="1" t="s">
        <v>448</v>
      </c>
      <c r="D339" s="10">
        <f>D324+D312+D300+D281+D270+D262+D245</f>
        <v>247576</v>
      </c>
      <c r="F339" s="10"/>
    </row>
    <row r="340" ht="15.75" hidden="1">
      <c r="F340" s="10"/>
    </row>
    <row r="341" ht="15.75" hidden="1">
      <c r="F341" s="10"/>
    </row>
    <row r="342" spans="2:6" ht="15.75" hidden="1">
      <c r="B342" s="1" t="s">
        <v>451</v>
      </c>
      <c r="D342" s="10">
        <f>D151</f>
        <v>120711</v>
      </c>
      <c r="F342" s="10"/>
    </row>
    <row r="343" spans="2:6" ht="15.75" hidden="1">
      <c r="B343" s="1" t="s">
        <v>452</v>
      </c>
      <c r="D343" s="10">
        <f>D106+D180</f>
        <v>680000</v>
      </c>
      <c r="E343" s="1" t="s">
        <v>453</v>
      </c>
      <c r="F343" s="10">
        <f>F106</f>
        <v>24192</v>
      </c>
    </row>
    <row r="344" spans="2:6" ht="15.75" hidden="1">
      <c r="B344" s="1" t="s">
        <v>454</v>
      </c>
      <c r="D344" s="10">
        <f>D232</f>
        <v>33000</v>
      </c>
      <c r="F344" s="10"/>
    </row>
    <row r="345" spans="2:6" ht="15.75" hidden="1">
      <c r="B345" s="1" t="s">
        <v>456</v>
      </c>
      <c r="D345" s="10">
        <f>D26</f>
        <v>3348800</v>
      </c>
      <c r="F345" s="10"/>
    </row>
    <row r="346" spans="2:6" ht="15.75" hidden="1">
      <c r="B346" s="1" t="s">
        <v>459</v>
      </c>
      <c r="D346" s="10">
        <f>D14</f>
        <v>480000</v>
      </c>
      <c r="F346" s="10"/>
    </row>
    <row r="347" spans="2:6" ht="15.75" hidden="1">
      <c r="B347" s="1" t="s">
        <v>462</v>
      </c>
      <c r="D347" s="10">
        <f>D23</f>
        <v>304955</v>
      </c>
      <c r="F347" s="10"/>
    </row>
    <row r="348" spans="2:6" ht="15.75" hidden="1">
      <c r="B348" s="1" t="s">
        <v>463</v>
      </c>
      <c r="D348" s="10">
        <f>D24</f>
        <v>209200</v>
      </c>
      <c r="F348" s="10">
        <f>F16</f>
        <v>415760</v>
      </c>
    </row>
    <row r="349" spans="2:6" ht="15.75" hidden="1">
      <c r="B349" s="1" t="s">
        <v>464</v>
      </c>
      <c r="D349" s="10">
        <f>D206</f>
        <v>2300000</v>
      </c>
      <c r="F349" s="10"/>
    </row>
    <row r="350" spans="2:8" ht="15.75" hidden="1">
      <c r="B350" s="1" t="s">
        <v>465</v>
      </c>
      <c r="D350" s="10">
        <f>D152</f>
        <v>108000</v>
      </c>
      <c r="E350" s="7"/>
      <c r="F350" s="10"/>
      <c r="H350" s="10"/>
    </row>
    <row r="351" spans="2:6" ht="15.75" hidden="1">
      <c r="B351" s="1" t="s">
        <v>470</v>
      </c>
      <c r="D351" s="10">
        <f>D190</f>
        <v>24055</v>
      </c>
      <c r="F351" s="1">
        <f>F190</f>
        <v>1550464</v>
      </c>
    </row>
    <row r="352" spans="2:7" ht="15.75" hidden="1">
      <c r="B352" s="1" t="s">
        <v>471</v>
      </c>
      <c r="C352" s="43"/>
      <c r="D352" s="44"/>
      <c r="E352" s="43"/>
      <c r="F352" s="10">
        <f>F191</f>
        <v>100487</v>
      </c>
      <c r="G352" s="43"/>
    </row>
    <row r="353" spans="2:7" ht="15.75" hidden="1">
      <c r="B353" s="1" t="s">
        <v>472</v>
      </c>
      <c r="C353" s="43"/>
      <c r="D353" s="10">
        <f>D192</f>
        <v>2910648</v>
      </c>
      <c r="E353" s="43"/>
      <c r="F353" s="44"/>
      <c r="G353" s="43"/>
    </row>
    <row r="354" spans="2:7" ht="15.75" hidden="1">
      <c r="B354" s="1" t="s">
        <v>466</v>
      </c>
      <c r="C354" s="43"/>
      <c r="D354" s="43"/>
      <c r="E354" s="43"/>
      <c r="F354" s="10">
        <f>F306+F293+F21</f>
        <v>300000</v>
      </c>
      <c r="G354" s="44"/>
    </row>
    <row r="355" ht="15.75" hidden="1"/>
    <row r="356" ht="15.75" hidden="1"/>
    <row r="357" spans="2:6" ht="15.75" hidden="1">
      <c r="B357" s="1" t="s">
        <v>474</v>
      </c>
      <c r="D357" s="10">
        <f>D324+D317+D312+D305+D300+D290+D281+D278+D270+D266+D262+D254+D245+D241+D179+D166+D162+D159+D158</f>
        <v>102708451</v>
      </c>
      <c r="F357" s="10">
        <f>F305+F304+F279+F278+F267+F266+F254+F235+F179+F176+F174+F169+F166+F165+F162</f>
        <v>76723720</v>
      </c>
    </row>
    <row r="358" ht="15.75" hidden="1"/>
    <row r="359" spans="2:6" ht="15.75" hidden="1">
      <c r="B359" s="1" t="s">
        <v>475</v>
      </c>
      <c r="D359" s="10">
        <f>D34+D37+D43+D54</f>
        <v>11151843</v>
      </c>
      <c r="F359" s="10">
        <f>F34+F37+F54+F67</f>
        <v>15404849</v>
      </c>
    </row>
    <row r="360" spans="2:4" ht="15.75" hidden="1">
      <c r="B360" s="1" t="s">
        <v>476</v>
      </c>
      <c r="D360" s="10">
        <f>D40+D58</f>
        <v>4900252</v>
      </c>
    </row>
    <row r="361" spans="2:4" ht="15.75" hidden="1">
      <c r="B361" s="1" t="s">
        <v>477</v>
      </c>
      <c r="D361" s="10">
        <f>D46</f>
        <v>29827597</v>
      </c>
    </row>
    <row r="362" spans="2:6" ht="15.75" hidden="1">
      <c r="B362" s="1" t="s">
        <v>478</v>
      </c>
      <c r="D362" s="10">
        <f>D59+D60+D61+D66</f>
        <v>1199500</v>
      </c>
      <c r="F362" s="10">
        <f>F66+F69</f>
        <v>1108725</v>
      </c>
    </row>
    <row r="363" spans="2:6" ht="15.75" hidden="1">
      <c r="B363" s="1" t="s">
        <v>479</v>
      </c>
      <c r="D363" s="10">
        <f>D57+D71+D72</f>
        <v>2578544</v>
      </c>
      <c r="F363" s="1">
        <f>F71</f>
        <v>31358</v>
      </c>
    </row>
    <row r="364" ht="15.75" hidden="1"/>
    <row r="365" ht="15.75" hidden="1"/>
    <row r="366" spans="2:6" ht="15.75" hidden="1">
      <c r="B366" s="1" t="s">
        <v>480</v>
      </c>
      <c r="D366" s="10">
        <f>D75+D80+D83+D86+D89</f>
        <v>0</v>
      </c>
      <c r="F366" s="10">
        <f>F75+F80+F83+F86+F89+F94+F236</f>
        <v>22518298</v>
      </c>
    </row>
    <row r="367" spans="2:6" ht="15.75" hidden="1">
      <c r="B367" s="1" t="s">
        <v>481</v>
      </c>
      <c r="D367" s="10">
        <f>D127+D129+D132+D135+D141</f>
        <v>5504638</v>
      </c>
      <c r="F367" s="10">
        <f>F127+F129+F132+F135+F141+F145</f>
        <v>4137302</v>
      </c>
    </row>
    <row r="368" spans="2:4" ht="15.75" hidden="1">
      <c r="B368" s="1" t="s">
        <v>482</v>
      </c>
      <c r="D368" s="10">
        <f>D138</f>
        <v>1114809</v>
      </c>
    </row>
    <row r="369" spans="2:6" ht="15.75" hidden="1">
      <c r="B369" s="1" t="s">
        <v>483</v>
      </c>
      <c r="D369" s="1">
        <f>D140</f>
        <v>1693819</v>
      </c>
      <c r="F369" s="1">
        <f>F140</f>
        <v>42020</v>
      </c>
    </row>
    <row r="370" ht="15.75" hidden="1"/>
    <row r="371" spans="2:6" ht="15.75" hidden="1">
      <c r="B371" s="1" t="s">
        <v>484</v>
      </c>
      <c r="D371" s="10">
        <f>D105+D110+D112+D117+D119+D120+D103</f>
        <v>13778297</v>
      </c>
      <c r="F371" s="10">
        <f>F105+F115</f>
        <v>4271341</v>
      </c>
    </row>
    <row r="372" spans="2:6" ht="15.75" hidden="1">
      <c r="B372" s="1" t="s">
        <v>485</v>
      </c>
      <c r="F372" s="10">
        <f>F114</f>
        <v>0</v>
      </c>
    </row>
    <row r="373" spans="4:6" ht="15.75" hidden="1">
      <c r="D373" s="10"/>
      <c r="F373" s="10"/>
    </row>
    <row r="374" ht="15.75" hidden="1">
      <c r="F374" s="10"/>
    </row>
    <row r="376" spans="2:6" ht="15.75">
      <c r="B376" s="1" t="s">
        <v>486</v>
      </c>
      <c r="D376" s="10">
        <f>D207+D213</f>
        <v>10122723</v>
      </c>
      <c r="F376" s="10">
        <f>F210</f>
        <v>66000</v>
      </c>
    </row>
    <row r="377" spans="2:6" ht="15.75">
      <c r="B377" s="1" t="s">
        <v>487</v>
      </c>
      <c r="D377" s="10">
        <f>D214</f>
        <v>2425000</v>
      </c>
      <c r="F377" s="10">
        <f>F211+F213</f>
        <v>2053987</v>
      </c>
    </row>
    <row r="378" spans="2:6" ht="15.75">
      <c r="B378" s="1" t="s">
        <v>488</v>
      </c>
      <c r="D378" s="10">
        <f>D215</f>
        <v>0</v>
      </c>
      <c r="F378" s="10">
        <f>F215</f>
        <v>0</v>
      </c>
    </row>
    <row r="380" spans="2:6" ht="15.75">
      <c r="B380" s="1" t="s">
        <v>489</v>
      </c>
      <c r="F380" s="10">
        <f>F201+F178+F70</f>
        <v>16840000</v>
      </c>
    </row>
  </sheetData>
  <sheetProtection/>
  <mergeCells count="127">
    <mergeCell ref="A328:B328"/>
    <mergeCell ref="H8:H9"/>
    <mergeCell ref="A294:A301"/>
    <mergeCell ref="B294:B301"/>
    <mergeCell ref="A307:A313"/>
    <mergeCell ref="B307:B313"/>
    <mergeCell ref="A318:A325"/>
    <mergeCell ref="B318:B325"/>
    <mergeCell ref="B239:B240"/>
    <mergeCell ref="A288:A289"/>
    <mergeCell ref="B280:B285"/>
    <mergeCell ref="A315:A316"/>
    <mergeCell ref="B315:B316"/>
    <mergeCell ref="A290:A291"/>
    <mergeCell ref="B290:B291"/>
    <mergeCell ref="B288:B289"/>
    <mergeCell ref="A280:A285"/>
    <mergeCell ref="A244:A251"/>
    <mergeCell ref="B244:B251"/>
    <mergeCell ref="B235:B236"/>
    <mergeCell ref="A239:A240"/>
    <mergeCell ref="C230:C232"/>
    <mergeCell ref="A235:A236"/>
    <mergeCell ref="A210:A212"/>
    <mergeCell ref="B210:B212"/>
    <mergeCell ref="C210:C212"/>
    <mergeCell ref="D211:D212"/>
    <mergeCell ref="A214:A215"/>
    <mergeCell ref="B214:B215"/>
    <mergeCell ref="A179:A180"/>
    <mergeCell ref="B179:B180"/>
    <mergeCell ref="A269:A275"/>
    <mergeCell ref="B269:B275"/>
    <mergeCell ref="A258:A263"/>
    <mergeCell ref="B258:B263"/>
    <mergeCell ref="A219:A220"/>
    <mergeCell ref="B219:B220"/>
    <mergeCell ref="A254:A255"/>
    <mergeCell ref="B254:B255"/>
    <mergeCell ref="A169:A170"/>
    <mergeCell ref="B169:B170"/>
    <mergeCell ref="A208:A209"/>
    <mergeCell ref="B208:B209"/>
    <mergeCell ref="A171:A173"/>
    <mergeCell ref="B171:B173"/>
    <mergeCell ref="A176:A177"/>
    <mergeCell ref="B176:B177"/>
    <mergeCell ref="A191:A193"/>
    <mergeCell ref="B191:B193"/>
    <mergeCell ref="A156:A157"/>
    <mergeCell ref="B156:B157"/>
    <mergeCell ref="A161:A163"/>
    <mergeCell ref="B161:B163"/>
    <mergeCell ref="A138:A139"/>
    <mergeCell ref="B138:B139"/>
    <mergeCell ref="A140:A144"/>
    <mergeCell ref="B140:B144"/>
    <mergeCell ref="A132:A134"/>
    <mergeCell ref="B132:B134"/>
    <mergeCell ref="A135:A137"/>
    <mergeCell ref="B135:B137"/>
    <mergeCell ref="A166:A167"/>
    <mergeCell ref="B166:B167"/>
    <mergeCell ref="A159:A160"/>
    <mergeCell ref="B159:B160"/>
    <mergeCell ref="A129:A131"/>
    <mergeCell ref="B129:B131"/>
    <mergeCell ref="A110:A111"/>
    <mergeCell ref="B110:B111"/>
    <mergeCell ref="A112:A113"/>
    <mergeCell ref="B112:B113"/>
    <mergeCell ref="A127:A128"/>
    <mergeCell ref="B127:B128"/>
    <mergeCell ref="A114:A115"/>
    <mergeCell ref="B114:B115"/>
    <mergeCell ref="C71:C72"/>
    <mergeCell ref="A75:A79"/>
    <mergeCell ref="B75:B79"/>
    <mergeCell ref="A80:A82"/>
    <mergeCell ref="B80:B82"/>
    <mergeCell ref="A86:A88"/>
    <mergeCell ref="B86:B88"/>
    <mergeCell ref="A89:A90"/>
    <mergeCell ref="A101:A102"/>
    <mergeCell ref="B101:B102"/>
    <mergeCell ref="B89:B90"/>
    <mergeCell ref="A95:A96"/>
    <mergeCell ref="B95:B96"/>
    <mergeCell ref="B116:B118"/>
    <mergeCell ref="A117:A118"/>
    <mergeCell ref="A98:A100"/>
    <mergeCell ref="B98:B100"/>
    <mergeCell ref="A105:A109"/>
    <mergeCell ref="B105:B109"/>
    <mergeCell ref="B46:B50"/>
    <mergeCell ref="B83:B85"/>
    <mergeCell ref="A83:A85"/>
    <mergeCell ref="A65:A66"/>
    <mergeCell ref="B65:B66"/>
    <mergeCell ref="A67:A69"/>
    <mergeCell ref="B67:B69"/>
    <mergeCell ref="A61:A63"/>
    <mergeCell ref="B61:B63"/>
    <mergeCell ref="A54:A55"/>
    <mergeCell ref="C16:C19"/>
    <mergeCell ref="A23:A30"/>
    <mergeCell ref="B23:B30"/>
    <mergeCell ref="A16:A19"/>
    <mergeCell ref="B16:B19"/>
    <mergeCell ref="B54:B55"/>
    <mergeCell ref="A46:A50"/>
    <mergeCell ref="A34:A36"/>
    <mergeCell ref="B34:B36"/>
    <mergeCell ref="A37:A42"/>
    <mergeCell ref="B37:B42"/>
    <mergeCell ref="A43:A45"/>
    <mergeCell ref="B43:B45"/>
    <mergeCell ref="A52:A53"/>
    <mergeCell ref="B52:B53"/>
    <mergeCell ref="A5:G5"/>
    <mergeCell ref="B8:B9"/>
    <mergeCell ref="C8:D8"/>
    <mergeCell ref="E8:F8"/>
    <mergeCell ref="A12:A13"/>
    <mergeCell ref="B12:B13"/>
    <mergeCell ref="A14:A15"/>
    <mergeCell ref="B14:B15"/>
  </mergeCells>
  <printOptions/>
  <pageMargins left="0.3937007874015748" right="0.2362204724409449" top="0.3937007874015748" bottom="0.31496062992125984" header="0.2362204724409449" footer="0.2362204724409449"/>
  <pageSetup fitToHeight="16" horizontalDpi="600" verticalDpi="600" orientation="portrait" paperSize="9" scale="66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45"/>
  <sheetViews>
    <sheetView view="pageBreakPreview" zoomScale="75" zoomScaleSheetLayoutView="75" zoomScalePageLayoutView="0" workbookViewId="0" topLeftCell="A1">
      <selection activeCell="C14" sqref="C14"/>
    </sheetView>
  </sheetViews>
  <sheetFormatPr defaultColWidth="9.140625" defaultRowHeight="12.75"/>
  <cols>
    <col min="1" max="1" width="9.28125" style="1" customWidth="1"/>
    <col min="2" max="2" width="35.8515625" style="1" customWidth="1"/>
    <col min="3" max="3" width="62.8515625" style="1" customWidth="1"/>
    <col min="4" max="4" width="12.57421875" style="1" customWidth="1"/>
    <col min="5" max="5" width="62.7109375" style="1" customWidth="1"/>
    <col min="6" max="6" width="13.421875" style="1" customWidth="1"/>
    <col min="7" max="7" width="15.28125" style="1" customWidth="1"/>
    <col min="8" max="8" width="16.28125" style="1" customWidth="1"/>
    <col min="9" max="9" width="14.421875" style="1" customWidth="1"/>
    <col min="10" max="10" width="11.00390625" style="1" bestFit="1" customWidth="1"/>
    <col min="11" max="11" width="12.140625" style="1" bestFit="1" customWidth="1"/>
    <col min="12" max="16384" width="9.140625" style="1" customWidth="1"/>
  </cols>
  <sheetData>
    <row r="1" spans="5:7" ht="55.5" customHeight="1">
      <c r="E1" s="14" t="s">
        <v>243</v>
      </c>
      <c r="G1" s="13"/>
    </row>
    <row r="2" spans="5:7" ht="28.5" customHeight="1">
      <c r="E2" s="14" t="s">
        <v>244</v>
      </c>
      <c r="G2" s="13"/>
    </row>
    <row r="3" spans="3:7" ht="39.75" customHeight="1">
      <c r="C3" s="8"/>
      <c r="E3" s="14" t="s">
        <v>407</v>
      </c>
      <c r="G3" s="13"/>
    </row>
    <row r="5" spans="1:10" s="6" customFormat="1" ht="28.5" customHeight="1">
      <c r="A5" s="240" t="s">
        <v>437</v>
      </c>
      <c r="B5" s="240"/>
      <c r="C5" s="240"/>
      <c r="D5" s="240"/>
      <c r="E5" s="240"/>
      <c r="F5" s="240"/>
      <c r="G5" s="240"/>
      <c r="H5" s="49"/>
      <c r="J5" s="50"/>
    </row>
    <row r="6" spans="1:4" ht="5.25" customHeight="1">
      <c r="A6" s="63"/>
      <c r="B6" s="63"/>
      <c r="C6" s="63"/>
      <c r="D6" s="63"/>
    </row>
    <row r="7" spans="1:8" ht="16.5" customHeight="1">
      <c r="A7" s="63"/>
      <c r="B7" s="63"/>
      <c r="C7" s="63"/>
      <c r="D7" s="63"/>
      <c r="E7" s="63"/>
      <c r="F7" s="63"/>
      <c r="G7" s="68" t="s">
        <v>113</v>
      </c>
      <c r="H7" s="63"/>
    </row>
    <row r="8" spans="1:8" s="2" customFormat="1" ht="45.75" customHeight="1">
      <c r="A8" s="64" t="s">
        <v>82</v>
      </c>
      <c r="B8" s="239" t="s">
        <v>84</v>
      </c>
      <c r="C8" s="239" t="s">
        <v>108</v>
      </c>
      <c r="D8" s="239"/>
      <c r="E8" s="239" t="s">
        <v>111</v>
      </c>
      <c r="F8" s="239"/>
      <c r="G8" s="4" t="s">
        <v>112</v>
      </c>
      <c r="H8" s="20"/>
    </row>
    <row r="9" spans="1:8" s="2" customFormat="1" ht="57.75" customHeight="1">
      <c r="A9" s="64" t="s">
        <v>83</v>
      </c>
      <c r="B9" s="239"/>
      <c r="C9" s="4" t="s">
        <v>109</v>
      </c>
      <c r="D9" s="4" t="s">
        <v>110</v>
      </c>
      <c r="E9" s="4" t="s">
        <v>109</v>
      </c>
      <c r="F9" s="4" t="s">
        <v>110</v>
      </c>
      <c r="G9" s="4" t="s">
        <v>110</v>
      </c>
      <c r="H9" s="20"/>
    </row>
    <row r="10" spans="1:8" s="2" customFormat="1" ht="16.5" customHeight="1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20"/>
    </row>
    <row r="11" spans="1:9" s="2" customFormat="1" ht="31.5">
      <c r="A11" s="22" t="s">
        <v>179</v>
      </c>
      <c r="B11" s="23" t="s">
        <v>86</v>
      </c>
      <c r="C11" s="4"/>
      <c r="D11" s="24">
        <f>D13+D14+D23+D24+D26+D28+D29+D30</f>
        <v>0</v>
      </c>
      <c r="E11" s="4"/>
      <c r="F11" s="28">
        <f>F12+F15+F16+F20+F21+F23+F24+F26+F28+F29+F30</f>
        <v>0</v>
      </c>
      <c r="G11" s="28">
        <f>D11+F11</f>
        <v>0</v>
      </c>
      <c r="H11" s="47"/>
      <c r="I11" s="46"/>
    </row>
    <row r="12" spans="1:9" s="20" customFormat="1" ht="47.25">
      <c r="A12" s="238" t="s">
        <v>211</v>
      </c>
      <c r="B12" s="239" t="s">
        <v>212</v>
      </c>
      <c r="C12" s="4"/>
      <c r="D12" s="17"/>
      <c r="E12" s="4" t="s">
        <v>415</v>
      </c>
      <c r="F12" s="19"/>
      <c r="G12" s="19">
        <f>D12+F12</f>
        <v>0</v>
      </c>
      <c r="I12" s="46"/>
    </row>
    <row r="13" spans="1:9" s="20" customFormat="1" ht="68.25" customHeight="1">
      <c r="A13" s="238"/>
      <c r="B13" s="239"/>
      <c r="C13" s="61" t="s">
        <v>382</v>
      </c>
      <c r="D13" s="17"/>
      <c r="E13" s="4"/>
      <c r="F13" s="19"/>
      <c r="G13" s="19">
        <f aca="true" t="shared" si="0" ref="G13:G25">D13+F13</f>
        <v>0</v>
      </c>
      <c r="I13" s="46"/>
    </row>
    <row r="14" spans="1:9" s="20" customFormat="1" ht="51" customHeight="1">
      <c r="A14" s="238" t="s">
        <v>126</v>
      </c>
      <c r="B14" s="239" t="s">
        <v>152</v>
      </c>
      <c r="C14" s="4" t="s">
        <v>418</v>
      </c>
      <c r="D14" s="17"/>
      <c r="E14" s="4"/>
      <c r="F14" s="9"/>
      <c r="G14" s="19">
        <f t="shared" si="0"/>
        <v>0</v>
      </c>
      <c r="I14" s="46"/>
    </row>
    <row r="15" spans="1:9" s="20" customFormat="1" ht="31.5">
      <c r="A15" s="238"/>
      <c r="B15" s="239"/>
      <c r="C15" s="4"/>
      <c r="D15" s="17"/>
      <c r="E15" s="35" t="s">
        <v>417</v>
      </c>
      <c r="F15" s="36"/>
      <c r="G15" s="59">
        <f t="shared" si="0"/>
        <v>0</v>
      </c>
      <c r="I15" s="46"/>
    </row>
    <row r="16" spans="1:9" s="20" customFormat="1" ht="63">
      <c r="A16" s="238" t="s">
        <v>132</v>
      </c>
      <c r="B16" s="239" t="s">
        <v>133</v>
      </c>
      <c r="C16" s="239"/>
      <c r="D16" s="17"/>
      <c r="E16" s="4" t="s">
        <v>416</v>
      </c>
      <c r="F16" s="19"/>
      <c r="G16" s="19">
        <f t="shared" si="0"/>
        <v>0</v>
      </c>
      <c r="I16" s="46"/>
    </row>
    <row r="17" spans="1:9" s="20" customFormat="1" ht="44.25" customHeight="1" hidden="1">
      <c r="A17" s="238"/>
      <c r="B17" s="239"/>
      <c r="C17" s="239"/>
      <c r="D17" s="5"/>
      <c r="E17" s="4" t="s">
        <v>174</v>
      </c>
      <c r="F17" s="9"/>
      <c r="G17" s="19">
        <f t="shared" si="0"/>
        <v>0</v>
      </c>
      <c r="I17" s="46"/>
    </row>
    <row r="18" spans="1:9" s="20" customFormat="1" ht="47.25" customHeight="1" hidden="1">
      <c r="A18" s="238"/>
      <c r="B18" s="239"/>
      <c r="C18" s="239"/>
      <c r="D18" s="5"/>
      <c r="E18" s="4" t="s">
        <v>173</v>
      </c>
      <c r="F18" s="19">
        <v>0</v>
      </c>
      <c r="G18" s="19">
        <f t="shared" si="0"/>
        <v>0</v>
      </c>
      <c r="I18" s="46"/>
    </row>
    <row r="19" spans="1:9" s="20" customFormat="1" ht="15.75" hidden="1">
      <c r="A19" s="238"/>
      <c r="B19" s="239"/>
      <c r="C19" s="239"/>
      <c r="D19" s="5"/>
      <c r="E19" s="4"/>
      <c r="F19" s="19">
        <v>0</v>
      </c>
      <c r="G19" s="19">
        <f t="shared" si="0"/>
        <v>0</v>
      </c>
      <c r="I19" s="46"/>
    </row>
    <row r="20" spans="1:9" s="20" customFormat="1" ht="222" customHeight="1">
      <c r="A20" s="18" t="s">
        <v>262</v>
      </c>
      <c r="B20" s="40" t="s">
        <v>263</v>
      </c>
      <c r="C20" s="4"/>
      <c r="D20" s="5"/>
      <c r="E20" s="4" t="s">
        <v>305</v>
      </c>
      <c r="F20" s="19"/>
      <c r="G20" s="19">
        <f t="shared" si="0"/>
        <v>0</v>
      </c>
      <c r="I20" s="46"/>
    </row>
    <row r="21" spans="1:9" s="20" customFormat="1" ht="46.5" customHeight="1">
      <c r="A21" s="26">
        <v>240900</v>
      </c>
      <c r="B21" s="4" t="s">
        <v>153</v>
      </c>
      <c r="C21" s="16"/>
      <c r="D21" s="15"/>
      <c r="E21" s="4" t="s">
        <v>419</v>
      </c>
      <c r="F21" s="19"/>
      <c r="G21" s="19">
        <f t="shared" si="0"/>
        <v>0</v>
      </c>
      <c r="I21" s="46"/>
    </row>
    <row r="22" spans="1:9" s="20" customFormat="1" ht="75" customHeight="1" hidden="1">
      <c r="A22" s="26">
        <v>250203</v>
      </c>
      <c r="B22" s="4" t="s">
        <v>238</v>
      </c>
      <c r="C22" s="4"/>
      <c r="D22" s="21">
        <v>0</v>
      </c>
      <c r="E22" s="4"/>
      <c r="F22" s="9"/>
      <c r="G22" s="19">
        <f t="shared" si="0"/>
        <v>0</v>
      </c>
      <c r="I22" s="46"/>
    </row>
    <row r="23" spans="1:9" s="20" customFormat="1" ht="94.5">
      <c r="A23" s="245">
        <v>250404</v>
      </c>
      <c r="B23" s="239" t="s">
        <v>140</v>
      </c>
      <c r="C23" s="4" t="s">
        <v>398</v>
      </c>
      <c r="D23" s="21">
        <v>0</v>
      </c>
      <c r="E23" s="9"/>
      <c r="F23" s="12"/>
      <c r="G23" s="19">
        <f t="shared" si="0"/>
        <v>0</v>
      </c>
      <c r="I23" s="46"/>
    </row>
    <row r="24" spans="1:9" s="20" customFormat="1" ht="63">
      <c r="A24" s="245"/>
      <c r="B24" s="239"/>
      <c r="C24" s="4" t="s">
        <v>416</v>
      </c>
      <c r="D24" s="17">
        <v>0</v>
      </c>
      <c r="E24" s="4"/>
      <c r="F24" s="19">
        <v>0</v>
      </c>
      <c r="G24" s="19">
        <f t="shared" si="0"/>
        <v>0</v>
      </c>
      <c r="I24" s="46"/>
    </row>
    <row r="25" spans="1:9" s="20" customFormat="1" ht="32.25" customHeight="1" hidden="1">
      <c r="A25" s="245"/>
      <c r="B25" s="239"/>
      <c r="C25" s="4" t="s">
        <v>175</v>
      </c>
      <c r="D25" s="17">
        <v>120000</v>
      </c>
      <c r="E25" s="4" t="s">
        <v>175</v>
      </c>
      <c r="F25" s="19">
        <v>0</v>
      </c>
      <c r="G25" s="19">
        <f t="shared" si="0"/>
        <v>120000</v>
      </c>
      <c r="I25" s="46"/>
    </row>
    <row r="26" spans="1:9" s="20" customFormat="1" ht="65.25" customHeight="1">
      <c r="A26" s="245"/>
      <c r="B26" s="239"/>
      <c r="C26" s="4" t="s">
        <v>420</v>
      </c>
      <c r="D26" s="17">
        <v>0</v>
      </c>
      <c r="E26" s="4"/>
      <c r="F26" s="19">
        <v>0</v>
      </c>
      <c r="G26" s="19">
        <f aca="true" t="shared" si="1" ref="G26:G31">D26+F26</f>
        <v>0</v>
      </c>
      <c r="I26" s="46"/>
    </row>
    <row r="27" spans="1:9" s="20" customFormat="1" ht="38.25" customHeight="1" hidden="1">
      <c r="A27" s="245"/>
      <c r="B27" s="239"/>
      <c r="C27" s="4" t="s">
        <v>242</v>
      </c>
      <c r="D27" s="17">
        <v>0</v>
      </c>
      <c r="E27" s="4"/>
      <c r="F27" s="19"/>
      <c r="G27" s="19">
        <f t="shared" si="1"/>
        <v>0</v>
      </c>
      <c r="I27" s="46"/>
    </row>
    <row r="28" spans="1:9" s="20" customFormat="1" ht="46.5" customHeight="1">
      <c r="A28" s="245"/>
      <c r="B28" s="239"/>
      <c r="C28" s="35" t="s">
        <v>417</v>
      </c>
      <c r="D28" s="38">
        <v>0</v>
      </c>
      <c r="E28" s="35"/>
      <c r="F28" s="36"/>
      <c r="G28" s="59">
        <f t="shared" si="1"/>
        <v>0</v>
      </c>
      <c r="I28" s="46"/>
    </row>
    <row r="29" spans="1:9" s="20" customFormat="1" ht="62.25" customHeight="1">
      <c r="A29" s="245"/>
      <c r="B29" s="239"/>
      <c r="C29" s="4" t="s">
        <v>414</v>
      </c>
      <c r="D29" s="17"/>
      <c r="E29" s="35"/>
      <c r="F29" s="36"/>
      <c r="G29" s="19">
        <f t="shared" si="1"/>
        <v>0</v>
      </c>
      <c r="I29" s="46"/>
    </row>
    <row r="30" spans="1:9" s="20" customFormat="1" ht="63">
      <c r="A30" s="245"/>
      <c r="B30" s="239"/>
      <c r="C30" s="4" t="s">
        <v>305</v>
      </c>
      <c r="D30" s="17"/>
      <c r="E30" s="4"/>
      <c r="F30" s="19"/>
      <c r="G30" s="19">
        <f t="shared" si="1"/>
        <v>0</v>
      </c>
      <c r="I30" s="46"/>
    </row>
    <row r="31" spans="1:9" s="20" customFormat="1" ht="47.25">
      <c r="A31" s="22" t="s">
        <v>187</v>
      </c>
      <c r="B31" s="23" t="s">
        <v>97</v>
      </c>
      <c r="C31" s="4"/>
      <c r="D31" s="24">
        <f>D33+D34+D35+D36+D37+D40+D41+D42+D44++D46+D49+D50+D51+D52+D53+D54+D55+D56+D57+D58+D59+D60+D61+D62+D63+D68+D69</f>
        <v>0</v>
      </c>
      <c r="E31" s="5"/>
      <c r="F31" s="24">
        <f>F34+F35+F37+F41+F45+F46+F49+F59+F52+F63+F64+F65+F66+F67+F68</f>
        <v>0</v>
      </c>
      <c r="G31" s="24">
        <f t="shared" si="1"/>
        <v>0</v>
      </c>
      <c r="H31" s="47"/>
      <c r="I31" s="46"/>
    </row>
    <row r="32" spans="1:9" s="20" customFormat="1" ht="44.25" customHeight="1" hidden="1">
      <c r="A32" s="18" t="s">
        <v>211</v>
      </c>
      <c r="B32" s="4" t="s">
        <v>212</v>
      </c>
      <c r="C32" s="4" t="s">
        <v>236</v>
      </c>
      <c r="D32" s="17"/>
      <c r="E32" s="4"/>
      <c r="F32" s="19"/>
      <c r="G32" s="9">
        <v>0</v>
      </c>
      <c r="I32" s="46"/>
    </row>
    <row r="33" spans="1:9" s="20" customFormat="1" ht="66" customHeight="1">
      <c r="A33" s="18" t="s">
        <v>211</v>
      </c>
      <c r="B33" s="4" t="s">
        <v>212</v>
      </c>
      <c r="C33" s="58" t="s">
        <v>382</v>
      </c>
      <c r="D33" s="17">
        <v>0</v>
      </c>
      <c r="E33" s="4"/>
      <c r="F33" s="19"/>
      <c r="G33" s="19">
        <f>D33+F33</f>
        <v>0</v>
      </c>
      <c r="I33" s="46"/>
    </row>
    <row r="34" spans="1:9" s="20" customFormat="1" ht="33" customHeight="1">
      <c r="A34" s="238" t="s">
        <v>115</v>
      </c>
      <c r="B34" s="239" t="s">
        <v>155</v>
      </c>
      <c r="C34" s="58" t="s">
        <v>374</v>
      </c>
      <c r="D34" s="17">
        <v>0</v>
      </c>
      <c r="E34" s="4" t="s">
        <v>421</v>
      </c>
      <c r="F34" s="19">
        <v>0</v>
      </c>
      <c r="G34" s="19">
        <f>D34+F34</f>
        <v>0</v>
      </c>
      <c r="H34" s="47"/>
      <c r="I34" s="46"/>
    </row>
    <row r="35" spans="1:9" s="20" customFormat="1" ht="47.25">
      <c r="A35" s="238"/>
      <c r="B35" s="239"/>
      <c r="C35" s="35" t="s">
        <v>315</v>
      </c>
      <c r="D35" s="38">
        <v>0</v>
      </c>
      <c r="E35" s="35" t="s">
        <v>315</v>
      </c>
      <c r="F35" s="36">
        <v>0</v>
      </c>
      <c r="G35" s="19">
        <f>D35+F35</f>
        <v>0</v>
      </c>
      <c r="I35" s="46"/>
    </row>
    <row r="36" spans="1:9" s="20" customFormat="1" ht="71.25" customHeight="1">
      <c r="A36" s="238"/>
      <c r="B36" s="239"/>
      <c r="C36" s="58" t="s">
        <v>382</v>
      </c>
      <c r="D36" s="17">
        <v>0</v>
      </c>
      <c r="E36" s="35"/>
      <c r="F36" s="36"/>
      <c r="G36" s="19">
        <f>D36+F36</f>
        <v>0</v>
      </c>
      <c r="I36" s="46"/>
    </row>
    <row r="37" spans="1:9" s="20" customFormat="1" ht="35.25" customHeight="1">
      <c r="A37" s="238" t="s">
        <v>116</v>
      </c>
      <c r="B37" s="238" t="s">
        <v>156</v>
      </c>
      <c r="C37" s="58" t="s">
        <v>374</v>
      </c>
      <c r="D37" s="17">
        <v>0</v>
      </c>
      <c r="E37" s="4" t="s">
        <v>421</v>
      </c>
      <c r="F37" s="19">
        <v>0</v>
      </c>
      <c r="G37" s="19">
        <f>D37+F37</f>
        <v>0</v>
      </c>
      <c r="H37" s="47"/>
      <c r="I37" s="46"/>
    </row>
    <row r="38" spans="1:9" s="20" customFormat="1" ht="32.25" customHeight="1" hidden="1">
      <c r="A38" s="238"/>
      <c r="B38" s="238"/>
      <c r="C38" s="58" t="s">
        <v>278</v>
      </c>
      <c r="D38" s="17"/>
      <c r="E38" s="4" t="s">
        <v>278</v>
      </c>
      <c r="F38" s="19"/>
      <c r="G38" s="19">
        <f aca="true" t="shared" si="2" ref="G38:G48">D38+F38</f>
        <v>0</v>
      </c>
      <c r="I38" s="46"/>
    </row>
    <row r="39" spans="1:9" s="20" customFormat="1" ht="66" customHeight="1" hidden="1">
      <c r="A39" s="238"/>
      <c r="B39" s="238"/>
      <c r="C39" s="58" t="s">
        <v>278</v>
      </c>
      <c r="D39" s="17"/>
      <c r="E39" s="4" t="s">
        <v>278</v>
      </c>
      <c r="F39" s="19"/>
      <c r="G39" s="19">
        <f t="shared" si="2"/>
        <v>0</v>
      </c>
      <c r="I39" s="46"/>
    </row>
    <row r="40" spans="1:9" s="20" customFormat="1" ht="35.25" customHeight="1">
      <c r="A40" s="238"/>
      <c r="B40" s="238"/>
      <c r="C40" s="58" t="s">
        <v>379</v>
      </c>
      <c r="D40" s="17">
        <v>0</v>
      </c>
      <c r="E40" s="4"/>
      <c r="F40" s="19"/>
      <c r="G40" s="19">
        <f t="shared" si="2"/>
        <v>0</v>
      </c>
      <c r="I40" s="46"/>
    </row>
    <row r="41" spans="1:9" s="20" customFormat="1" ht="47.25">
      <c r="A41" s="238"/>
      <c r="B41" s="238"/>
      <c r="C41" s="35" t="s">
        <v>315</v>
      </c>
      <c r="D41" s="38">
        <v>0</v>
      </c>
      <c r="E41" s="35" t="s">
        <v>315</v>
      </c>
      <c r="F41" s="36">
        <v>0</v>
      </c>
      <c r="G41" s="19">
        <f t="shared" si="2"/>
        <v>0</v>
      </c>
      <c r="I41" s="46"/>
    </row>
    <row r="42" spans="1:9" s="20" customFormat="1" ht="66" customHeight="1">
      <c r="A42" s="238"/>
      <c r="B42" s="238"/>
      <c r="C42" s="58" t="s">
        <v>382</v>
      </c>
      <c r="D42" s="17">
        <v>0</v>
      </c>
      <c r="E42" s="35"/>
      <c r="F42" s="36"/>
      <c r="G42" s="19">
        <f t="shared" si="2"/>
        <v>0</v>
      </c>
      <c r="I42" s="46"/>
    </row>
    <row r="43" spans="1:9" s="20" customFormat="1" ht="35.25" customHeight="1">
      <c r="A43" s="238" t="s">
        <v>117</v>
      </c>
      <c r="B43" s="239" t="s">
        <v>157</v>
      </c>
      <c r="C43" s="58" t="s">
        <v>374</v>
      </c>
      <c r="D43" s="17">
        <v>0</v>
      </c>
      <c r="E43" s="4"/>
      <c r="F43" s="19"/>
      <c r="G43" s="19">
        <f t="shared" si="2"/>
        <v>0</v>
      </c>
      <c r="I43" s="46"/>
    </row>
    <row r="44" spans="1:9" s="20" customFormat="1" ht="70.5" customHeight="1">
      <c r="A44" s="238"/>
      <c r="B44" s="239"/>
      <c r="C44" s="58" t="s">
        <v>382</v>
      </c>
      <c r="D44" s="17">
        <v>0</v>
      </c>
      <c r="E44" s="4"/>
      <c r="F44" s="19"/>
      <c r="G44" s="19">
        <f t="shared" si="2"/>
        <v>0</v>
      </c>
      <c r="I44" s="46"/>
    </row>
    <row r="45" spans="1:9" s="20" customFormat="1" ht="31.5">
      <c r="A45" s="238"/>
      <c r="B45" s="239"/>
      <c r="C45" s="4"/>
      <c r="D45" s="17"/>
      <c r="E45" s="35" t="s">
        <v>417</v>
      </c>
      <c r="F45" s="36">
        <v>0</v>
      </c>
      <c r="G45" s="19">
        <f t="shared" si="2"/>
        <v>0</v>
      </c>
      <c r="H45" s="47"/>
      <c r="I45" s="46"/>
    </row>
    <row r="46" spans="1:9" s="20" customFormat="1" ht="39" customHeight="1">
      <c r="A46" s="238" t="s">
        <v>74</v>
      </c>
      <c r="B46" s="239" t="s">
        <v>75</v>
      </c>
      <c r="C46" s="58" t="s">
        <v>314</v>
      </c>
      <c r="D46" s="17">
        <v>0</v>
      </c>
      <c r="E46" s="4" t="s">
        <v>422</v>
      </c>
      <c r="F46" s="19">
        <v>0</v>
      </c>
      <c r="G46" s="19">
        <f t="shared" si="2"/>
        <v>0</v>
      </c>
      <c r="H46" s="47"/>
      <c r="I46" s="46"/>
    </row>
    <row r="47" spans="1:9" s="20" customFormat="1" ht="46.5" customHeight="1" hidden="1">
      <c r="A47" s="238"/>
      <c r="B47" s="239"/>
      <c r="C47" s="4" t="s">
        <v>405</v>
      </c>
      <c r="D47" s="17">
        <v>0</v>
      </c>
      <c r="E47" s="4" t="s">
        <v>405</v>
      </c>
      <c r="F47" s="19">
        <v>0</v>
      </c>
      <c r="G47" s="19">
        <f t="shared" si="2"/>
        <v>0</v>
      </c>
      <c r="I47" s="46"/>
    </row>
    <row r="48" spans="1:9" s="20" customFormat="1" ht="51.75" customHeight="1" hidden="1">
      <c r="A48" s="238"/>
      <c r="B48" s="239"/>
      <c r="C48" s="4"/>
      <c r="D48" s="21">
        <v>0</v>
      </c>
      <c r="E48" s="26"/>
      <c r="F48" s="16"/>
      <c r="G48" s="19">
        <f t="shared" si="2"/>
        <v>0</v>
      </c>
      <c r="I48" s="46"/>
    </row>
    <row r="49" spans="1:9" s="20" customFormat="1" ht="47.25">
      <c r="A49" s="238"/>
      <c r="B49" s="239"/>
      <c r="C49" s="35" t="s">
        <v>315</v>
      </c>
      <c r="D49" s="36">
        <v>0</v>
      </c>
      <c r="E49" s="35" t="s">
        <v>315</v>
      </c>
      <c r="F49" s="36">
        <v>0</v>
      </c>
      <c r="G49" s="19">
        <f>D49+F49</f>
        <v>0</v>
      </c>
      <c r="I49" s="46"/>
    </row>
    <row r="50" spans="1:9" s="20" customFormat="1" ht="66.75" customHeight="1">
      <c r="A50" s="238"/>
      <c r="B50" s="239"/>
      <c r="C50" s="58" t="s">
        <v>382</v>
      </c>
      <c r="D50" s="19">
        <v>0</v>
      </c>
      <c r="E50" s="35"/>
      <c r="F50" s="36"/>
      <c r="G50" s="19">
        <f aca="true" t="shared" si="3" ref="G50:G67">D50+F50</f>
        <v>0</v>
      </c>
      <c r="I50" s="46"/>
    </row>
    <row r="51" spans="1:9" s="20" customFormat="1" ht="63.75" customHeight="1">
      <c r="A51" s="18" t="s">
        <v>376</v>
      </c>
      <c r="B51" s="4" t="s">
        <v>375</v>
      </c>
      <c r="C51" s="58" t="s">
        <v>382</v>
      </c>
      <c r="D51" s="19">
        <v>0</v>
      </c>
      <c r="E51" s="35"/>
      <c r="F51" s="36"/>
      <c r="G51" s="19">
        <f t="shared" si="3"/>
        <v>0</v>
      </c>
      <c r="I51" s="46"/>
    </row>
    <row r="52" spans="1:9" s="51" customFormat="1" ht="46.5" customHeight="1">
      <c r="A52" s="18" t="s">
        <v>383</v>
      </c>
      <c r="B52" s="4" t="s">
        <v>384</v>
      </c>
      <c r="C52" s="58" t="s">
        <v>374</v>
      </c>
      <c r="D52" s="19">
        <v>0</v>
      </c>
      <c r="E52" s="4" t="s">
        <v>421</v>
      </c>
      <c r="F52" s="19">
        <v>0</v>
      </c>
      <c r="G52" s="19">
        <f t="shared" si="3"/>
        <v>0</v>
      </c>
      <c r="H52" s="47"/>
      <c r="I52" s="52"/>
    </row>
    <row r="53" spans="1:9" s="20" customFormat="1" ht="60.75" customHeight="1">
      <c r="A53" s="18" t="s">
        <v>377</v>
      </c>
      <c r="B53" s="4" t="s">
        <v>378</v>
      </c>
      <c r="C53" s="60" t="s">
        <v>382</v>
      </c>
      <c r="D53" s="19">
        <v>0</v>
      </c>
      <c r="E53" s="35"/>
      <c r="F53" s="36"/>
      <c r="G53" s="19">
        <f t="shared" si="3"/>
        <v>0</v>
      </c>
      <c r="I53" s="46"/>
    </row>
    <row r="54" spans="1:9" s="20" customFormat="1" ht="47.25">
      <c r="A54" s="25" t="s">
        <v>129</v>
      </c>
      <c r="B54" s="4" t="s">
        <v>76</v>
      </c>
      <c r="C54" s="4" t="s">
        <v>424</v>
      </c>
      <c r="D54" s="21">
        <v>0</v>
      </c>
      <c r="E54" s="4"/>
      <c r="F54" s="16"/>
      <c r="G54" s="19">
        <f t="shared" si="3"/>
        <v>0</v>
      </c>
      <c r="I54" s="46"/>
    </row>
    <row r="55" spans="1:9" s="20" customFormat="1" ht="95.25" customHeight="1">
      <c r="A55" s="18" t="s">
        <v>118</v>
      </c>
      <c r="B55" s="4" t="s">
        <v>151</v>
      </c>
      <c r="C55" s="60" t="s">
        <v>379</v>
      </c>
      <c r="D55" s="17">
        <v>0</v>
      </c>
      <c r="E55" s="4"/>
      <c r="F55" s="9"/>
      <c r="G55" s="19">
        <f t="shared" si="3"/>
        <v>0</v>
      </c>
      <c r="I55" s="46"/>
    </row>
    <row r="56" spans="1:9" s="20" customFormat="1" ht="35.25" customHeight="1">
      <c r="A56" s="18" t="s">
        <v>203</v>
      </c>
      <c r="B56" s="4" t="s">
        <v>204</v>
      </c>
      <c r="C56" s="60" t="s">
        <v>292</v>
      </c>
      <c r="D56" s="17">
        <v>0</v>
      </c>
      <c r="E56" s="4"/>
      <c r="F56" s="9"/>
      <c r="G56" s="19">
        <f t="shared" si="3"/>
        <v>0</v>
      </c>
      <c r="I56" s="46"/>
    </row>
    <row r="57" spans="1:9" s="20" customFormat="1" ht="47.25">
      <c r="A57" s="18" t="s">
        <v>289</v>
      </c>
      <c r="B57" s="4" t="s">
        <v>290</v>
      </c>
      <c r="C57" s="60" t="s">
        <v>292</v>
      </c>
      <c r="D57" s="17">
        <v>0</v>
      </c>
      <c r="E57" s="4"/>
      <c r="F57" s="19"/>
      <c r="G57" s="19">
        <f t="shared" si="3"/>
        <v>0</v>
      </c>
      <c r="I57" s="46"/>
    </row>
    <row r="58" spans="1:9" s="20" customFormat="1" ht="31.5" customHeight="1">
      <c r="A58" s="238" t="s">
        <v>158</v>
      </c>
      <c r="B58" s="239" t="s">
        <v>237</v>
      </c>
      <c r="C58" s="60" t="s">
        <v>292</v>
      </c>
      <c r="D58" s="17">
        <v>0</v>
      </c>
      <c r="E58" s="4"/>
      <c r="F58" s="19"/>
      <c r="G58" s="19">
        <f t="shared" si="3"/>
        <v>0</v>
      </c>
      <c r="I58" s="46"/>
    </row>
    <row r="59" spans="1:9" s="20" customFormat="1" ht="47.25">
      <c r="A59" s="238"/>
      <c r="B59" s="239"/>
      <c r="C59" s="35" t="s">
        <v>315</v>
      </c>
      <c r="D59" s="36">
        <v>0</v>
      </c>
      <c r="E59" s="35" t="s">
        <v>417</v>
      </c>
      <c r="F59" s="36">
        <v>0</v>
      </c>
      <c r="G59" s="19">
        <f t="shared" si="3"/>
        <v>0</v>
      </c>
      <c r="H59" s="47"/>
      <c r="I59" s="46"/>
    </row>
    <row r="60" spans="1:9" s="20" customFormat="1" ht="65.25" customHeight="1">
      <c r="A60" s="238"/>
      <c r="B60" s="239"/>
      <c r="C60" s="4" t="s">
        <v>382</v>
      </c>
      <c r="D60" s="19">
        <v>0</v>
      </c>
      <c r="E60" s="35"/>
      <c r="F60" s="36"/>
      <c r="G60" s="19">
        <f t="shared" si="3"/>
        <v>0</v>
      </c>
      <c r="I60" s="46"/>
    </row>
    <row r="61" spans="1:9" s="20" customFormat="1" ht="47.25">
      <c r="A61" s="18" t="s">
        <v>201</v>
      </c>
      <c r="B61" s="4" t="s">
        <v>202</v>
      </c>
      <c r="C61" s="4" t="s">
        <v>306</v>
      </c>
      <c r="D61" s="17">
        <v>0</v>
      </c>
      <c r="E61" s="4"/>
      <c r="F61" s="19"/>
      <c r="G61" s="19">
        <f t="shared" si="3"/>
        <v>0</v>
      </c>
      <c r="I61" s="46"/>
    </row>
    <row r="62" spans="1:9" s="20" customFormat="1" ht="63">
      <c r="A62" s="245">
        <v>130112</v>
      </c>
      <c r="B62" s="239" t="s">
        <v>140</v>
      </c>
      <c r="C62" s="58" t="s">
        <v>382</v>
      </c>
      <c r="D62" s="17">
        <v>0</v>
      </c>
      <c r="E62" s="4"/>
      <c r="F62" s="19"/>
      <c r="G62" s="19">
        <f t="shared" si="3"/>
        <v>0</v>
      </c>
      <c r="I62" s="46"/>
    </row>
    <row r="63" spans="1:9" s="20" customFormat="1" ht="37.5" customHeight="1">
      <c r="A63" s="245"/>
      <c r="B63" s="239"/>
      <c r="C63" s="4" t="s">
        <v>423</v>
      </c>
      <c r="D63" s="21">
        <v>0</v>
      </c>
      <c r="E63" s="60" t="s">
        <v>292</v>
      </c>
      <c r="F63" s="12">
        <v>0</v>
      </c>
      <c r="G63" s="19">
        <f t="shared" si="3"/>
        <v>0</v>
      </c>
      <c r="H63" s="47"/>
      <c r="I63" s="46"/>
    </row>
    <row r="64" spans="1:9" s="20" customFormat="1" ht="31.5">
      <c r="A64" s="238" t="s">
        <v>132</v>
      </c>
      <c r="B64" s="239" t="s">
        <v>133</v>
      </c>
      <c r="C64" s="4"/>
      <c r="D64" s="5"/>
      <c r="E64" s="4" t="s">
        <v>421</v>
      </c>
      <c r="F64" s="12">
        <v>0</v>
      </c>
      <c r="G64" s="19">
        <f t="shared" si="3"/>
        <v>0</v>
      </c>
      <c r="H64" s="47"/>
      <c r="I64" s="46"/>
    </row>
    <row r="65" spans="1:9" s="20" customFormat="1" ht="31.5">
      <c r="A65" s="238"/>
      <c r="B65" s="239"/>
      <c r="C65" s="4"/>
      <c r="D65" s="5"/>
      <c r="E65" s="4" t="s">
        <v>422</v>
      </c>
      <c r="F65" s="12">
        <v>0</v>
      </c>
      <c r="G65" s="19">
        <f t="shared" si="3"/>
        <v>0</v>
      </c>
      <c r="I65" s="46"/>
    </row>
    <row r="66" spans="1:9" s="20" customFormat="1" ht="31.5">
      <c r="A66" s="238"/>
      <c r="B66" s="239"/>
      <c r="C66" s="4"/>
      <c r="D66" s="5"/>
      <c r="E66" s="4" t="s">
        <v>425</v>
      </c>
      <c r="F66" s="12">
        <v>0</v>
      </c>
      <c r="G66" s="19">
        <f t="shared" si="3"/>
        <v>0</v>
      </c>
      <c r="I66" s="46"/>
    </row>
    <row r="67" spans="1:9" s="20" customFormat="1" ht="47.25">
      <c r="A67" s="4">
        <v>240601</v>
      </c>
      <c r="B67" s="4" t="s">
        <v>154</v>
      </c>
      <c r="C67" s="4"/>
      <c r="D67" s="5"/>
      <c r="E67" s="4" t="s">
        <v>426</v>
      </c>
      <c r="F67" s="19">
        <v>0</v>
      </c>
      <c r="G67" s="19">
        <f t="shared" si="3"/>
        <v>0</v>
      </c>
      <c r="H67" s="47"/>
      <c r="I67" s="46"/>
    </row>
    <row r="68" spans="1:9" s="20" customFormat="1" ht="77.25" customHeight="1">
      <c r="A68" s="25" t="s">
        <v>72</v>
      </c>
      <c r="B68" s="4" t="s">
        <v>73</v>
      </c>
      <c r="C68" s="241" t="s">
        <v>424</v>
      </c>
      <c r="D68" s="15">
        <v>0</v>
      </c>
      <c r="E68" s="60" t="s">
        <v>291</v>
      </c>
      <c r="F68" s="16">
        <v>0</v>
      </c>
      <c r="G68" s="19">
        <f>D68+F68</f>
        <v>0</v>
      </c>
      <c r="I68" s="46"/>
    </row>
    <row r="69" spans="1:9" s="20" customFormat="1" ht="94.5">
      <c r="A69" s="25" t="s">
        <v>402</v>
      </c>
      <c r="B69" s="4" t="s">
        <v>403</v>
      </c>
      <c r="C69" s="242"/>
      <c r="D69" s="15">
        <v>0</v>
      </c>
      <c r="E69" s="4"/>
      <c r="F69" s="16"/>
      <c r="G69" s="19">
        <f>D69+F69</f>
        <v>0</v>
      </c>
      <c r="I69" s="46"/>
    </row>
    <row r="70" spans="1:9" s="20" customFormat="1" ht="46.5" customHeight="1">
      <c r="A70" s="22" t="s">
        <v>188</v>
      </c>
      <c r="B70" s="23" t="s">
        <v>98</v>
      </c>
      <c r="C70" s="4"/>
      <c r="D70" s="24">
        <f>D72+D73+D74+D75+D76+D77+D78+D79+D80+D81+D83+D82+D85+D86+D87+D89</f>
        <v>0</v>
      </c>
      <c r="E70" s="5"/>
      <c r="F70" s="24">
        <f>F72+F73+F75+F77+F78+F80+F81+F83+F84+F86+F90</f>
        <v>0</v>
      </c>
      <c r="G70" s="28">
        <f>D70+F70</f>
        <v>0</v>
      </c>
      <c r="H70" s="47"/>
      <c r="I70" s="46"/>
    </row>
    <row r="71" spans="1:9" s="20" customFormat="1" ht="34.5" customHeight="1" hidden="1">
      <c r="A71" s="18" t="s">
        <v>211</v>
      </c>
      <c r="B71" s="4" t="s">
        <v>212</v>
      </c>
      <c r="C71" s="4" t="s">
        <v>220</v>
      </c>
      <c r="D71" s="17"/>
      <c r="E71" s="4"/>
      <c r="F71" s="19"/>
      <c r="G71" s="19">
        <v>0</v>
      </c>
      <c r="I71" s="46"/>
    </row>
    <row r="72" spans="1:9" s="20" customFormat="1" ht="52.5" customHeight="1">
      <c r="A72" s="238" t="s">
        <v>120</v>
      </c>
      <c r="B72" s="239" t="s">
        <v>67</v>
      </c>
      <c r="C72" s="60" t="s">
        <v>392</v>
      </c>
      <c r="D72" s="17">
        <v>0</v>
      </c>
      <c r="E72" s="4" t="s">
        <v>427</v>
      </c>
      <c r="F72" s="19">
        <v>0</v>
      </c>
      <c r="G72" s="19">
        <f>D72+F72</f>
        <v>0</v>
      </c>
      <c r="H72" s="47"/>
      <c r="I72" s="46"/>
    </row>
    <row r="73" spans="1:9" s="20" customFormat="1" ht="51.75" customHeight="1">
      <c r="A73" s="238"/>
      <c r="B73" s="239"/>
      <c r="C73" s="4" t="s">
        <v>405</v>
      </c>
      <c r="D73" s="17">
        <v>0</v>
      </c>
      <c r="E73" s="4" t="s">
        <v>405</v>
      </c>
      <c r="F73" s="19">
        <v>0</v>
      </c>
      <c r="G73" s="19">
        <f aca="true" t="shared" si="4" ref="G73:G90">D73+F73</f>
        <v>0</v>
      </c>
      <c r="I73" s="46"/>
    </row>
    <row r="74" spans="1:9" s="20" customFormat="1" ht="54.75" customHeight="1">
      <c r="A74" s="238"/>
      <c r="B74" s="239"/>
      <c r="C74" s="60" t="s">
        <v>393</v>
      </c>
      <c r="D74" s="17">
        <v>0</v>
      </c>
      <c r="E74" s="4"/>
      <c r="F74" s="19"/>
      <c r="G74" s="19">
        <f t="shared" si="4"/>
        <v>0</v>
      </c>
      <c r="I74" s="46"/>
    </row>
    <row r="75" spans="1:9" s="20" customFormat="1" ht="47.25">
      <c r="A75" s="238"/>
      <c r="B75" s="239"/>
      <c r="C75" s="60" t="s">
        <v>315</v>
      </c>
      <c r="D75" s="38">
        <v>0</v>
      </c>
      <c r="E75" s="35" t="s">
        <v>417</v>
      </c>
      <c r="F75" s="36">
        <v>0</v>
      </c>
      <c r="G75" s="19">
        <f t="shared" si="4"/>
        <v>0</v>
      </c>
      <c r="I75" s="46"/>
    </row>
    <row r="76" spans="1:9" s="20" customFormat="1" ht="63">
      <c r="A76" s="238"/>
      <c r="B76" s="239"/>
      <c r="C76" s="60" t="s">
        <v>382</v>
      </c>
      <c r="D76" s="17">
        <v>0</v>
      </c>
      <c r="E76" s="35"/>
      <c r="F76" s="36"/>
      <c r="G76" s="19">
        <f t="shared" si="4"/>
        <v>0</v>
      </c>
      <c r="I76" s="46"/>
    </row>
    <row r="77" spans="1:9" s="20" customFormat="1" ht="50.25" customHeight="1">
      <c r="A77" s="238" t="s">
        <v>159</v>
      </c>
      <c r="B77" s="239" t="s">
        <v>280</v>
      </c>
      <c r="C77" s="60" t="s">
        <v>392</v>
      </c>
      <c r="D77" s="17">
        <v>0</v>
      </c>
      <c r="E77" s="4" t="s">
        <v>427</v>
      </c>
      <c r="F77" s="19">
        <v>0</v>
      </c>
      <c r="G77" s="19">
        <f t="shared" si="4"/>
        <v>0</v>
      </c>
      <c r="H77" s="47"/>
      <c r="I77" s="46"/>
    </row>
    <row r="78" spans="1:9" s="20" customFormat="1" ht="47.25">
      <c r="A78" s="238"/>
      <c r="B78" s="239"/>
      <c r="C78" s="35" t="s">
        <v>315</v>
      </c>
      <c r="D78" s="36">
        <v>0</v>
      </c>
      <c r="E78" s="35" t="s">
        <v>417</v>
      </c>
      <c r="F78" s="36">
        <v>0</v>
      </c>
      <c r="G78" s="19">
        <f t="shared" si="4"/>
        <v>0</v>
      </c>
      <c r="I78" s="46"/>
    </row>
    <row r="79" spans="1:9" s="20" customFormat="1" ht="63">
      <c r="A79" s="238"/>
      <c r="B79" s="239"/>
      <c r="C79" s="61" t="s">
        <v>382</v>
      </c>
      <c r="D79" s="19">
        <v>0</v>
      </c>
      <c r="E79" s="35"/>
      <c r="F79" s="36"/>
      <c r="G79" s="19">
        <f t="shared" si="4"/>
        <v>0</v>
      </c>
      <c r="I79" s="46"/>
    </row>
    <row r="80" spans="1:9" s="20" customFormat="1" ht="47.25">
      <c r="A80" s="238" t="s">
        <v>121</v>
      </c>
      <c r="B80" s="239" t="s">
        <v>68</v>
      </c>
      <c r="C80" s="61" t="s">
        <v>392</v>
      </c>
      <c r="D80" s="17">
        <v>0</v>
      </c>
      <c r="E80" s="4" t="s">
        <v>427</v>
      </c>
      <c r="F80" s="19">
        <v>0</v>
      </c>
      <c r="G80" s="19">
        <f t="shared" si="4"/>
        <v>0</v>
      </c>
      <c r="H80" s="47"/>
      <c r="I80" s="46"/>
    </row>
    <row r="81" spans="1:9" s="20" customFormat="1" ht="47.25">
      <c r="A81" s="238"/>
      <c r="B81" s="239"/>
      <c r="C81" s="35" t="s">
        <v>315</v>
      </c>
      <c r="D81" s="36">
        <v>0</v>
      </c>
      <c r="E81" s="35" t="s">
        <v>417</v>
      </c>
      <c r="F81" s="36">
        <v>0</v>
      </c>
      <c r="G81" s="19">
        <f t="shared" si="4"/>
        <v>0</v>
      </c>
      <c r="I81" s="46"/>
    </row>
    <row r="82" spans="1:9" s="20" customFormat="1" ht="63">
      <c r="A82" s="238"/>
      <c r="B82" s="239"/>
      <c r="C82" s="61" t="s">
        <v>382</v>
      </c>
      <c r="D82" s="19">
        <v>0</v>
      </c>
      <c r="E82" s="35"/>
      <c r="F82" s="36"/>
      <c r="G82" s="19">
        <f t="shared" si="4"/>
        <v>0</v>
      </c>
      <c r="I82" s="46"/>
    </row>
    <row r="83" spans="1:9" s="20" customFormat="1" ht="47.25" customHeight="1">
      <c r="A83" s="238" t="s">
        <v>122</v>
      </c>
      <c r="B83" s="239" t="s">
        <v>69</v>
      </c>
      <c r="C83" s="61" t="s">
        <v>392</v>
      </c>
      <c r="D83" s="17">
        <v>0</v>
      </c>
      <c r="E83" s="4" t="s">
        <v>427</v>
      </c>
      <c r="F83" s="19">
        <v>0</v>
      </c>
      <c r="G83" s="19">
        <f t="shared" si="4"/>
        <v>0</v>
      </c>
      <c r="H83" s="47"/>
      <c r="I83" s="46"/>
    </row>
    <row r="84" spans="1:9" s="20" customFormat="1" ht="31.5">
      <c r="A84" s="238"/>
      <c r="B84" s="239"/>
      <c r="C84" s="4"/>
      <c r="D84" s="17"/>
      <c r="E84" s="35" t="s">
        <v>417</v>
      </c>
      <c r="F84" s="36">
        <v>0</v>
      </c>
      <c r="G84" s="19">
        <f t="shared" si="4"/>
        <v>0</v>
      </c>
      <c r="I84" s="46"/>
    </row>
    <row r="85" spans="1:9" s="20" customFormat="1" ht="66" customHeight="1">
      <c r="A85" s="238"/>
      <c r="B85" s="239"/>
      <c r="C85" s="61" t="s">
        <v>382</v>
      </c>
      <c r="D85" s="17">
        <v>0</v>
      </c>
      <c r="E85" s="35"/>
      <c r="F85" s="36"/>
      <c r="G85" s="19">
        <f t="shared" si="4"/>
        <v>0</v>
      </c>
      <c r="I85" s="46"/>
    </row>
    <row r="86" spans="1:9" s="53" customFormat="1" ht="50.25" customHeight="1">
      <c r="A86" s="18" t="s">
        <v>385</v>
      </c>
      <c r="B86" s="4" t="s">
        <v>386</v>
      </c>
      <c r="C86" s="61" t="s">
        <v>392</v>
      </c>
      <c r="D86" s="17">
        <v>0</v>
      </c>
      <c r="E86" s="4" t="s">
        <v>427</v>
      </c>
      <c r="F86" s="19">
        <v>0</v>
      </c>
      <c r="G86" s="19">
        <f t="shared" si="4"/>
        <v>0</v>
      </c>
      <c r="H86" s="47"/>
      <c r="I86" s="46"/>
    </row>
    <row r="87" spans="1:9" s="20" customFormat="1" ht="47.25">
      <c r="A87" s="18" t="s">
        <v>160</v>
      </c>
      <c r="B87" s="4" t="s">
        <v>161</v>
      </c>
      <c r="C87" s="61" t="s">
        <v>293</v>
      </c>
      <c r="D87" s="17">
        <v>0</v>
      </c>
      <c r="E87" s="4"/>
      <c r="F87" s="9"/>
      <c r="G87" s="19">
        <f t="shared" si="4"/>
        <v>0</v>
      </c>
      <c r="I87" s="46"/>
    </row>
    <row r="88" spans="1:9" s="20" customFormat="1" ht="15.75" customHeight="1" hidden="1">
      <c r="A88" s="18" t="s">
        <v>123</v>
      </c>
      <c r="B88" s="4" t="s">
        <v>70</v>
      </c>
      <c r="C88" s="61"/>
      <c r="D88" s="17"/>
      <c r="E88" s="4"/>
      <c r="F88" s="19">
        <v>0</v>
      </c>
      <c r="G88" s="19">
        <f t="shared" si="4"/>
        <v>0</v>
      </c>
      <c r="I88" s="46"/>
    </row>
    <row r="89" spans="1:9" s="20" customFormat="1" ht="46.5" customHeight="1">
      <c r="A89" s="18" t="s">
        <v>124</v>
      </c>
      <c r="B89" s="4" t="s">
        <v>281</v>
      </c>
      <c r="C89" s="61" t="s">
        <v>294</v>
      </c>
      <c r="D89" s="17">
        <v>0</v>
      </c>
      <c r="E89" s="4"/>
      <c r="F89" s="9"/>
      <c r="G89" s="19">
        <f t="shared" si="4"/>
        <v>0</v>
      </c>
      <c r="I89" s="46"/>
    </row>
    <row r="90" spans="1:9" s="20" customFormat="1" ht="52.5" customHeight="1">
      <c r="A90" s="18" t="s">
        <v>132</v>
      </c>
      <c r="B90" s="4" t="s">
        <v>133</v>
      </c>
      <c r="C90" s="4"/>
      <c r="D90" s="5"/>
      <c r="E90" s="4" t="s">
        <v>427</v>
      </c>
      <c r="F90" s="19">
        <v>0</v>
      </c>
      <c r="G90" s="19">
        <f t="shared" si="4"/>
        <v>0</v>
      </c>
      <c r="H90" s="47"/>
      <c r="I90" s="46"/>
    </row>
    <row r="91" spans="1:9" s="20" customFormat="1" ht="36" customHeight="1" hidden="1">
      <c r="A91" s="238" t="s">
        <v>119</v>
      </c>
      <c r="B91" s="239" t="s">
        <v>153</v>
      </c>
      <c r="C91" s="4"/>
      <c r="D91" s="5"/>
      <c r="E91" s="4" t="s">
        <v>176</v>
      </c>
      <c r="F91" s="12"/>
      <c r="G91" s="9">
        <v>0</v>
      </c>
      <c r="I91" s="46"/>
    </row>
    <row r="92" spans="1:9" s="20" customFormat="1" ht="33" customHeight="1" hidden="1">
      <c r="A92" s="238"/>
      <c r="B92" s="239"/>
      <c r="C92" s="4"/>
      <c r="D92" s="5"/>
      <c r="E92" s="4" t="s">
        <v>177</v>
      </c>
      <c r="F92" s="12"/>
      <c r="G92" s="9">
        <v>0</v>
      </c>
      <c r="I92" s="46"/>
    </row>
    <row r="93" spans="1:9" s="20" customFormat="1" ht="49.5" customHeight="1">
      <c r="A93" s="22" t="s">
        <v>189</v>
      </c>
      <c r="B93" s="23" t="s">
        <v>99</v>
      </c>
      <c r="C93" s="4"/>
      <c r="D93" s="28">
        <f>D96+D99+D101+D102+D104+D105+D106+D107+D108+D109+D113+D115+D116</f>
        <v>0</v>
      </c>
      <c r="E93" s="9"/>
      <c r="F93" s="28">
        <f>F94+F97+F101+F102+F104+F107+F110+F111</f>
        <v>0</v>
      </c>
      <c r="G93" s="28">
        <f>D93+F93</f>
        <v>0</v>
      </c>
      <c r="H93" s="47"/>
      <c r="I93" s="46"/>
    </row>
    <row r="94" spans="1:9" s="20" customFormat="1" ht="47.25">
      <c r="A94" s="238" t="s">
        <v>211</v>
      </c>
      <c r="B94" s="239" t="s">
        <v>212</v>
      </c>
      <c r="C94" s="4"/>
      <c r="D94" s="19"/>
      <c r="E94" s="4" t="s">
        <v>415</v>
      </c>
      <c r="F94" s="19">
        <v>0</v>
      </c>
      <c r="G94" s="19">
        <f>D94+F94</f>
        <v>0</v>
      </c>
      <c r="I94" s="46"/>
    </row>
    <row r="95" spans="1:9" s="20" customFormat="1" ht="96.75" customHeight="1" hidden="1">
      <c r="A95" s="238"/>
      <c r="B95" s="239"/>
      <c r="C95" s="4" t="s">
        <v>279</v>
      </c>
      <c r="D95" s="17">
        <v>0</v>
      </c>
      <c r="E95" s="4"/>
      <c r="F95" s="9"/>
      <c r="G95" s="19">
        <f aca="true" t="shared" si="5" ref="G95:G116">D95+F95</f>
        <v>0</v>
      </c>
      <c r="I95" s="46"/>
    </row>
    <row r="96" spans="1:9" s="20" customFormat="1" ht="64.5" customHeight="1">
      <c r="A96" s="238"/>
      <c r="B96" s="239"/>
      <c r="C96" s="61" t="s">
        <v>382</v>
      </c>
      <c r="D96" s="19">
        <v>0</v>
      </c>
      <c r="E96" s="4"/>
      <c r="F96" s="9"/>
      <c r="G96" s="19">
        <f t="shared" si="5"/>
        <v>0</v>
      </c>
      <c r="I96" s="46"/>
    </row>
    <row r="97" spans="1:9" s="20" customFormat="1" ht="51.75" customHeight="1">
      <c r="A97" s="238" t="s">
        <v>127</v>
      </c>
      <c r="B97" s="239" t="s">
        <v>285</v>
      </c>
      <c r="C97" s="4"/>
      <c r="D97" s="19"/>
      <c r="E97" s="4" t="s">
        <v>415</v>
      </c>
      <c r="F97" s="19">
        <v>0</v>
      </c>
      <c r="G97" s="19">
        <f t="shared" si="5"/>
        <v>0</v>
      </c>
      <c r="I97" s="46"/>
    </row>
    <row r="98" spans="1:9" s="20" customFormat="1" ht="63" hidden="1">
      <c r="A98" s="238"/>
      <c r="B98" s="239"/>
      <c r="C98" s="4" t="s">
        <v>382</v>
      </c>
      <c r="D98" s="17">
        <v>0</v>
      </c>
      <c r="E98" s="4"/>
      <c r="F98" s="19"/>
      <c r="G98" s="19">
        <f t="shared" si="5"/>
        <v>0</v>
      </c>
      <c r="I98" s="46"/>
    </row>
    <row r="99" spans="1:9" s="20" customFormat="1" ht="63">
      <c r="A99" s="18" t="s">
        <v>128</v>
      </c>
      <c r="B99" s="4" t="s">
        <v>286</v>
      </c>
      <c r="C99" s="4" t="s">
        <v>429</v>
      </c>
      <c r="D99" s="17">
        <v>0</v>
      </c>
      <c r="E99" s="4"/>
      <c r="F99" s="9"/>
      <c r="G99" s="19">
        <f t="shared" si="5"/>
        <v>0</v>
      </c>
      <c r="I99" s="46"/>
    </row>
    <row r="100" spans="1:9" s="20" customFormat="1" ht="47.25" hidden="1">
      <c r="A100" s="18" t="s">
        <v>129</v>
      </c>
      <c r="B100" s="4" t="s">
        <v>287</v>
      </c>
      <c r="C100" s="4"/>
      <c r="D100" s="17"/>
      <c r="E100" s="4"/>
      <c r="F100" s="9"/>
      <c r="G100" s="19">
        <f t="shared" si="5"/>
        <v>0</v>
      </c>
      <c r="I100" s="46"/>
    </row>
    <row r="101" spans="1:9" s="20" customFormat="1" ht="50.25" customHeight="1">
      <c r="A101" s="238" t="s">
        <v>209</v>
      </c>
      <c r="B101" s="239" t="s">
        <v>210</v>
      </c>
      <c r="C101" s="4" t="s">
        <v>428</v>
      </c>
      <c r="D101" s="17">
        <v>0</v>
      </c>
      <c r="E101" s="4" t="s">
        <v>428</v>
      </c>
      <c r="F101" s="19">
        <v>0</v>
      </c>
      <c r="G101" s="19">
        <f t="shared" si="5"/>
        <v>0</v>
      </c>
      <c r="I101" s="46"/>
    </row>
    <row r="102" spans="1:9" s="20" customFormat="1" ht="50.25" customHeight="1">
      <c r="A102" s="238"/>
      <c r="B102" s="239"/>
      <c r="C102" s="4" t="s">
        <v>405</v>
      </c>
      <c r="D102" s="17">
        <v>0</v>
      </c>
      <c r="E102" s="4" t="s">
        <v>405</v>
      </c>
      <c r="F102" s="19">
        <v>0</v>
      </c>
      <c r="G102" s="19">
        <f t="shared" si="5"/>
        <v>0</v>
      </c>
      <c r="I102" s="46"/>
    </row>
    <row r="103" spans="1:9" s="20" customFormat="1" ht="110.25" customHeight="1" hidden="1">
      <c r="A103" s="238"/>
      <c r="B103" s="239"/>
      <c r="C103" s="4"/>
      <c r="D103" s="17"/>
      <c r="E103" s="4"/>
      <c r="F103" s="9"/>
      <c r="G103" s="19">
        <f t="shared" si="5"/>
        <v>0</v>
      </c>
      <c r="I103" s="46"/>
    </row>
    <row r="104" spans="1:9" s="20" customFormat="1" ht="51" customHeight="1">
      <c r="A104" s="238"/>
      <c r="B104" s="239"/>
      <c r="C104" s="35" t="s">
        <v>315</v>
      </c>
      <c r="D104" s="37">
        <v>0</v>
      </c>
      <c r="E104" s="35" t="s">
        <v>315</v>
      </c>
      <c r="F104" s="37">
        <v>0</v>
      </c>
      <c r="G104" s="19">
        <f t="shared" si="5"/>
        <v>0</v>
      </c>
      <c r="I104" s="46"/>
    </row>
    <row r="105" spans="1:9" s="20" customFormat="1" ht="63">
      <c r="A105" s="238"/>
      <c r="B105" s="239"/>
      <c r="C105" s="61" t="s">
        <v>382</v>
      </c>
      <c r="D105" s="9">
        <v>0</v>
      </c>
      <c r="E105" s="35"/>
      <c r="F105" s="37"/>
      <c r="G105" s="19">
        <f t="shared" si="5"/>
        <v>0</v>
      </c>
      <c r="I105" s="46"/>
    </row>
    <row r="106" spans="1:9" s="20" customFormat="1" ht="49.5" customHeight="1">
      <c r="A106" s="238" t="s">
        <v>71</v>
      </c>
      <c r="B106" s="239" t="s">
        <v>65</v>
      </c>
      <c r="C106" s="4" t="s">
        <v>428</v>
      </c>
      <c r="D106" s="17">
        <v>0</v>
      </c>
      <c r="E106" s="4"/>
      <c r="F106" s="9"/>
      <c r="G106" s="19">
        <f t="shared" si="5"/>
        <v>0</v>
      </c>
      <c r="I106" s="46"/>
    </row>
    <row r="107" spans="1:9" s="20" customFormat="1" ht="47.25">
      <c r="A107" s="238"/>
      <c r="B107" s="239"/>
      <c r="C107" s="35" t="s">
        <v>315</v>
      </c>
      <c r="D107" s="37">
        <v>0</v>
      </c>
      <c r="E107" s="35" t="s">
        <v>417</v>
      </c>
      <c r="F107" s="37">
        <v>0</v>
      </c>
      <c r="G107" s="19">
        <f t="shared" si="5"/>
        <v>0</v>
      </c>
      <c r="I107" s="46"/>
    </row>
    <row r="108" spans="1:9" s="20" customFormat="1" ht="48" customHeight="1">
      <c r="A108" s="238" t="s">
        <v>134</v>
      </c>
      <c r="B108" s="239" t="s">
        <v>141</v>
      </c>
      <c r="C108" s="61" t="s">
        <v>295</v>
      </c>
      <c r="D108" s="17">
        <v>0</v>
      </c>
      <c r="E108" s="4"/>
      <c r="F108" s="9"/>
      <c r="G108" s="19">
        <f>D108+F108</f>
        <v>0</v>
      </c>
      <c r="I108" s="46"/>
    </row>
    <row r="109" spans="1:9" s="20" customFormat="1" ht="47.25">
      <c r="A109" s="238"/>
      <c r="B109" s="239"/>
      <c r="C109" s="35" t="s">
        <v>315</v>
      </c>
      <c r="D109" s="38">
        <v>0</v>
      </c>
      <c r="E109" s="35"/>
      <c r="F109" s="37"/>
      <c r="G109" s="19">
        <f t="shared" si="5"/>
        <v>0</v>
      </c>
      <c r="I109" s="46"/>
    </row>
    <row r="110" spans="1:9" s="20" customFormat="1" ht="48" customHeight="1">
      <c r="A110" s="238" t="s">
        <v>132</v>
      </c>
      <c r="B110" s="239" t="s">
        <v>133</v>
      </c>
      <c r="C110" s="4"/>
      <c r="D110" s="17"/>
      <c r="E110" s="4" t="s">
        <v>369</v>
      </c>
      <c r="F110" s="12">
        <v>0</v>
      </c>
      <c r="G110" s="19">
        <f t="shared" si="5"/>
        <v>0</v>
      </c>
      <c r="I110" s="46"/>
    </row>
    <row r="111" spans="1:9" s="20" customFormat="1" ht="45.75" customHeight="1">
      <c r="A111" s="238"/>
      <c r="B111" s="239"/>
      <c r="C111" s="4"/>
      <c r="D111" s="5"/>
      <c r="E111" s="4" t="s">
        <v>428</v>
      </c>
      <c r="F111" s="12">
        <v>0</v>
      </c>
      <c r="G111" s="19">
        <f t="shared" si="5"/>
        <v>0</v>
      </c>
      <c r="I111" s="46"/>
    </row>
    <row r="112" spans="1:9" s="20" customFormat="1" ht="52.5" customHeight="1" hidden="1">
      <c r="A112" s="18" t="s">
        <v>81</v>
      </c>
      <c r="B112" s="239" t="s">
        <v>283</v>
      </c>
      <c r="C112" s="4" t="s">
        <v>178</v>
      </c>
      <c r="D112" s="17"/>
      <c r="E112" s="4"/>
      <c r="F112" s="16"/>
      <c r="G112" s="19">
        <f t="shared" si="5"/>
        <v>0</v>
      </c>
      <c r="I112" s="46"/>
    </row>
    <row r="113" spans="1:9" s="20" customFormat="1" ht="49.5" customHeight="1">
      <c r="A113" s="238" t="s">
        <v>81</v>
      </c>
      <c r="B113" s="239"/>
      <c r="C113" s="61" t="s">
        <v>296</v>
      </c>
      <c r="D113" s="17">
        <v>0</v>
      </c>
      <c r="E113" s="4"/>
      <c r="F113" s="16"/>
      <c r="G113" s="19">
        <f t="shared" si="5"/>
        <v>0</v>
      </c>
      <c r="I113" s="46"/>
    </row>
    <row r="114" spans="1:9" s="20" customFormat="1" ht="62.25" customHeight="1" hidden="1">
      <c r="A114" s="238"/>
      <c r="B114" s="239"/>
      <c r="C114" s="61" t="s">
        <v>279</v>
      </c>
      <c r="D114" s="17"/>
      <c r="E114" s="4"/>
      <c r="F114" s="16"/>
      <c r="G114" s="19">
        <f t="shared" si="5"/>
        <v>0</v>
      </c>
      <c r="I114" s="46"/>
    </row>
    <row r="115" spans="1:9" s="20" customFormat="1" ht="78.75" customHeight="1">
      <c r="A115" s="18" t="s">
        <v>135</v>
      </c>
      <c r="B115" s="4" t="s">
        <v>284</v>
      </c>
      <c r="C115" s="61" t="s">
        <v>296</v>
      </c>
      <c r="D115" s="17">
        <v>0</v>
      </c>
      <c r="E115" s="4"/>
      <c r="F115" s="16"/>
      <c r="G115" s="19">
        <f t="shared" si="5"/>
        <v>0</v>
      </c>
      <c r="I115" s="46"/>
    </row>
    <row r="116" spans="1:9" s="20" customFormat="1" ht="51" customHeight="1">
      <c r="A116" s="18" t="s">
        <v>165</v>
      </c>
      <c r="B116" s="4" t="s">
        <v>271</v>
      </c>
      <c r="C116" s="61" t="s">
        <v>296</v>
      </c>
      <c r="D116" s="17">
        <v>0</v>
      </c>
      <c r="E116" s="4"/>
      <c r="F116" s="16"/>
      <c r="G116" s="19">
        <f t="shared" si="5"/>
        <v>0</v>
      </c>
      <c r="I116" s="46"/>
    </row>
    <row r="117" spans="1:9" s="20" customFormat="1" ht="68.25" customHeight="1" hidden="1">
      <c r="A117" s="22" t="s">
        <v>222</v>
      </c>
      <c r="B117" s="23" t="s">
        <v>226</v>
      </c>
      <c r="C117" s="4"/>
      <c r="D117" s="24">
        <v>0</v>
      </c>
      <c r="E117" s="4"/>
      <c r="F117" s="24">
        <v>0</v>
      </c>
      <c r="G117" s="24">
        <v>0</v>
      </c>
      <c r="I117" s="46"/>
    </row>
    <row r="118" spans="1:9" s="20" customFormat="1" ht="31.5" hidden="1">
      <c r="A118" s="18" t="s">
        <v>211</v>
      </c>
      <c r="B118" s="4" t="s">
        <v>212</v>
      </c>
      <c r="C118" s="4" t="s">
        <v>223</v>
      </c>
      <c r="D118" s="17"/>
      <c r="E118" s="4" t="s">
        <v>223</v>
      </c>
      <c r="F118" s="12"/>
      <c r="G118" s="9">
        <v>0</v>
      </c>
      <c r="I118" s="46"/>
    </row>
    <row r="119" spans="1:9" s="20" customFormat="1" ht="63" hidden="1">
      <c r="A119" s="22" t="s">
        <v>233</v>
      </c>
      <c r="B119" s="23" t="s">
        <v>234</v>
      </c>
      <c r="C119" s="4"/>
      <c r="D119" s="24">
        <v>0</v>
      </c>
      <c r="E119" s="4"/>
      <c r="F119" s="24">
        <v>0</v>
      </c>
      <c r="G119" s="24">
        <v>0</v>
      </c>
      <c r="I119" s="46"/>
    </row>
    <row r="120" spans="1:9" s="20" customFormat="1" ht="47.25" hidden="1">
      <c r="A120" s="18" t="s">
        <v>211</v>
      </c>
      <c r="B120" s="4" t="s">
        <v>212</v>
      </c>
      <c r="C120" s="4" t="s">
        <v>235</v>
      </c>
      <c r="D120" s="17"/>
      <c r="E120" s="4" t="s">
        <v>235</v>
      </c>
      <c r="F120" s="12"/>
      <c r="G120" s="9">
        <v>0</v>
      </c>
      <c r="I120" s="46"/>
    </row>
    <row r="121" spans="1:9" s="20" customFormat="1" ht="35.25" customHeight="1">
      <c r="A121" s="22" t="s">
        <v>194</v>
      </c>
      <c r="B121" s="23" t="s">
        <v>102</v>
      </c>
      <c r="C121" s="4"/>
      <c r="D121" s="24">
        <f>D123+D125+D126+D127+D128+D129+D130+D132+D133+D134+D135+D136</f>
        <v>0</v>
      </c>
      <c r="E121" s="5"/>
      <c r="F121" s="24">
        <f>F123+F125+F126+F128+F129+F130+F131+F134+F135+F138+F139</f>
        <v>0</v>
      </c>
      <c r="G121" s="28">
        <f>D121+F121</f>
        <v>0</v>
      </c>
      <c r="H121" s="47"/>
      <c r="I121" s="46"/>
    </row>
    <row r="122" spans="1:9" s="20" customFormat="1" ht="31.5" hidden="1">
      <c r="A122" s="18" t="s">
        <v>211</v>
      </c>
      <c r="B122" s="4" t="s">
        <v>212</v>
      </c>
      <c r="C122" s="4" t="s">
        <v>225</v>
      </c>
      <c r="D122" s="17"/>
      <c r="E122" s="4"/>
      <c r="F122" s="19"/>
      <c r="G122" s="16">
        <v>0</v>
      </c>
      <c r="I122" s="46"/>
    </row>
    <row r="123" spans="1:9" s="20" customFormat="1" ht="54" customHeight="1">
      <c r="A123" s="238" t="s">
        <v>205</v>
      </c>
      <c r="B123" s="239" t="s">
        <v>206</v>
      </c>
      <c r="C123" s="61" t="s">
        <v>297</v>
      </c>
      <c r="D123" s="17">
        <v>0</v>
      </c>
      <c r="E123" s="4" t="s">
        <v>431</v>
      </c>
      <c r="F123" s="19">
        <v>0</v>
      </c>
      <c r="G123" s="12">
        <f>D123+F123</f>
        <v>0</v>
      </c>
      <c r="H123" s="47"/>
      <c r="I123" s="46"/>
    </row>
    <row r="124" spans="1:9" s="20" customFormat="1" ht="65.25" customHeight="1" hidden="1">
      <c r="A124" s="238"/>
      <c r="B124" s="239"/>
      <c r="C124" s="61" t="s">
        <v>382</v>
      </c>
      <c r="D124" s="17">
        <v>0</v>
      </c>
      <c r="E124" s="4"/>
      <c r="F124" s="19"/>
      <c r="G124" s="12">
        <f aca="true" t="shared" si="6" ref="G124:G138">D124+F124</f>
        <v>0</v>
      </c>
      <c r="I124" s="46"/>
    </row>
    <row r="125" spans="1:9" s="20" customFormat="1" ht="54" customHeight="1">
      <c r="A125" s="238" t="s">
        <v>207</v>
      </c>
      <c r="B125" s="239" t="s">
        <v>208</v>
      </c>
      <c r="C125" s="61" t="s">
        <v>298</v>
      </c>
      <c r="D125" s="17">
        <v>0</v>
      </c>
      <c r="E125" s="4" t="s">
        <v>431</v>
      </c>
      <c r="F125" s="19">
        <v>0</v>
      </c>
      <c r="G125" s="12">
        <f t="shared" si="6"/>
        <v>0</v>
      </c>
      <c r="H125" s="47"/>
      <c r="I125" s="46"/>
    </row>
    <row r="126" spans="1:9" s="20" customFormat="1" ht="47.25">
      <c r="A126" s="238"/>
      <c r="B126" s="239"/>
      <c r="C126" s="35" t="s">
        <v>315</v>
      </c>
      <c r="D126" s="36">
        <v>0</v>
      </c>
      <c r="E126" s="35" t="s">
        <v>417</v>
      </c>
      <c r="F126" s="36">
        <v>0</v>
      </c>
      <c r="G126" s="12">
        <f t="shared" si="6"/>
        <v>0</v>
      </c>
      <c r="I126" s="46"/>
    </row>
    <row r="127" spans="1:9" s="20" customFormat="1" ht="66.75" customHeight="1">
      <c r="A127" s="238"/>
      <c r="B127" s="239"/>
      <c r="C127" s="61" t="s">
        <v>382</v>
      </c>
      <c r="D127" s="19">
        <v>0</v>
      </c>
      <c r="E127" s="35"/>
      <c r="F127" s="36"/>
      <c r="G127" s="12">
        <f t="shared" si="6"/>
        <v>0</v>
      </c>
      <c r="I127" s="46"/>
    </row>
    <row r="128" spans="1:9" s="20" customFormat="1" ht="54" customHeight="1">
      <c r="A128" s="238" t="s">
        <v>215</v>
      </c>
      <c r="B128" s="239" t="s">
        <v>216</v>
      </c>
      <c r="C128" s="61" t="s">
        <v>298</v>
      </c>
      <c r="D128" s="17">
        <v>0</v>
      </c>
      <c r="E128" s="4" t="s">
        <v>431</v>
      </c>
      <c r="F128" s="19">
        <v>0</v>
      </c>
      <c r="G128" s="12">
        <f t="shared" si="6"/>
        <v>0</v>
      </c>
      <c r="H128" s="69"/>
      <c r="I128" s="46"/>
    </row>
    <row r="129" spans="1:9" s="20" customFormat="1" ht="47.25">
      <c r="A129" s="238"/>
      <c r="B129" s="239"/>
      <c r="C129" s="35" t="s">
        <v>315</v>
      </c>
      <c r="D129" s="36">
        <v>0</v>
      </c>
      <c r="E129" s="35" t="s">
        <v>417</v>
      </c>
      <c r="F129" s="36">
        <v>0</v>
      </c>
      <c r="G129" s="12">
        <f t="shared" si="6"/>
        <v>0</v>
      </c>
      <c r="I129" s="46"/>
    </row>
    <row r="130" spans="1:9" s="20" customFormat="1" ht="51" customHeight="1">
      <c r="A130" s="238" t="s">
        <v>213</v>
      </c>
      <c r="B130" s="239" t="s">
        <v>214</v>
      </c>
      <c r="C130" s="61" t="s">
        <v>298</v>
      </c>
      <c r="D130" s="17">
        <v>0</v>
      </c>
      <c r="E130" s="4" t="s">
        <v>431</v>
      </c>
      <c r="F130" s="19">
        <v>0</v>
      </c>
      <c r="G130" s="12">
        <f t="shared" si="6"/>
        <v>0</v>
      </c>
      <c r="H130" s="47"/>
      <c r="I130" s="46"/>
    </row>
    <row r="131" spans="1:9" s="20" customFormat="1" ht="31.5">
      <c r="A131" s="238"/>
      <c r="B131" s="239"/>
      <c r="C131" s="4"/>
      <c r="D131" s="17"/>
      <c r="E131" s="35" t="s">
        <v>417</v>
      </c>
      <c r="F131" s="36">
        <v>0</v>
      </c>
      <c r="G131" s="12">
        <f t="shared" si="6"/>
        <v>0</v>
      </c>
      <c r="I131" s="46"/>
    </row>
    <row r="132" spans="1:9" s="20" customFormat="1" ht="66" customHeight="1">
      <c r="A132" s="238"/>
      <c r="B132" s="239"/>
      <c r="C132" s="61" t="s">
        <v>382</v>
      </c>
      <c r="D132" s="17">
        <v>0</v>
      </c>
      <c r="E132" s="35"/>
      <c r="F132" s="36"/>
      <c r="G132" s="12">
        <f t="shared" si="6"/>
        <v>0</v>
      </c>
      <c r="I132" s="46"/>
    </row>
    <row r="133" spans="1:9" s="20" customFormat="1" ht="47.25">
      <c r="A133" s="26">
        <v>110300</v>
      </c>
      <c r="B133" s="4" t="s">
        <v>78</v>
      </c>
      <c r="C133" s="61" t="s">
        <v>299</v>
      </c>
      <c r="D133" s="21">
        <v>0</v>
      </c>
      <c r="E133" s="4"/>
      <c r="F133" s="36"/>
      <c r="G133" s="12">
        <f t="shared" si="6"/>
        <v>0</v>
      </c>
      <c r="I133" s="46"/>
    </row>
    <row r="134" spans="1:9" s="20" customFormat="1" ht="47.25">
      <c r="A134" s="245">
        <v>110502</v>
      </c>
      <c r="B134" s="239" t="s">
        <v>66</v>
      </c>
      <c r="C134" s="61" t="s">
        <v>399</v>
      </c>
      <c r="D134" s="15">
        <v>0</v>
      </c>
      <c r="E134" s="61" t="s">
        <v>399</v>
      </c>
      <c r="F134" s="16">
        <v>0</v>
      </c>
      <c r="G134" s="12">
        <f t="shared" si="6"/>
        <v>0</v>
      </c>
      <c r="H134" s="47"/>
      <c r="I134" s="46"/>
    </row>
    <row r="135" spans="1:9" s="20" customFormat="1" ht="51" customHeight="1">
      <c r="A135" s="245"/>
      <c r="B135" s="239"/>
      <c r="C135" s="61" t="s">
        <v>298</v>
      </c>
      <c r="D135" s="15">
        <v>0</v>
      </c>
      <c r="E135" s="4" t="s">
        <v>431</v>
      </c>
      <c r="F135" s="12">
        <v>0</v>
      </c>
      <c r="G135" s="12">
        <f t="shared" si="6"/>
        <v>0</v>
      </c>
      <c r="I135" s="46"/>
    </row>
    <row r="136" spans="1:9" s="20" customFormat="1" ht="55.5" customHeight="1">
      <c r="A136" s="245"/>
      <c r="B136" s="239"/>
      <c r="C136" s="61" t="s">
        <v>300</v>
      </c>
      <c r="D136" s="15">
        <v>0</v>
      </c>
      <c r="E136" s="26"/>
      <c r="F136" s="16"/>
      <c r="G136" s="12">
        <f t="shared" si="6"/>
        <v>0</v>
      </c>
      <c r="I136" s="46"/>
    </row>
    <row r="137" spans="1:9" s="20" customFormat="1" ht="68.25" customHeight="1" hidden="1">
      <c r="A137" s="245"/>
      <c r="B137" s="239"/>
      <c r="C137" s="4" t="s">
        <v>382</v>
      </c>
      <c r="D137" s="15">
        <v>0</v>
      </c>
      <c r="E137" s="4"/>
      <c r="F137" s="16"/>
      <c r="G137" s="12">
        <f t="shared" si="6"/>
        <v>0</v>
      </c>
      <c r="I137" s="46"/>
    </row>
    <row r="138" spans="1:9" s="20" customFormat="1" ht="47.25">
      <c r="A138" s="245"/>
      <c r="B138" s="239"/>
      <c r="C138" s="4"/>
      <c r="D138" s="15"/>
      <c r="E138" s="35" t="s">
        <v>315</v>
      </c>
      <c r="F138" s="36">
        <v>0</v>
      </c>
      <c r="G138" s="12">
        <f t="shared" si="6"/>
        <v>0</v>
      </c>
      <c r="I138" s="46"/>
    </row>
    <row r="139" spans="1:9" s="20" customFormat="1" ht="47.25">
      <c r="A139" s="18" t="s">
        <v>132</v>
      </c>
      <c r="B139" s="4" t="s">
        <v>133</v>
      </c>
      <c r="C139" s="4"/>
      <c r="D139" s="5"/>
      <c r="E139" s="4" t="s">
        <v>430</v>
      </c>
      <c r="F139" s="19">
        <v>0</v>
      </c>
      <c r="G139" s="12">
        <f>D139+F139</f>
        <v>0</v>
      </c>
      <c r="H139" s="47"/>
      <c r="I139" s="46"/>
    </row>
    <row r="140" spans="1:9" s="20" customFormat="1" ht="47.25" hidden="1">
      <c r="A140" s="22" t="s">
        <v>394</v>
      </c>
      <c r="B140" s="23" t="s">
        <v>395</v>
      </c>
      <c r="C140" s="4"/>
      <c r="D140" s="24">
        <v>0</v>
      </c>
      <c r="E140" s="5"/>
      <c r="F140" s="28">
        <v>0</v>
      </c>
      <c r="G140" s="27">
        <v>0</v>
      </c>
      <c r="H140" s="47"/>
      <c r="I140" s="46"/>
    </row>
    <row r="141" spans="1:9" s="20" customFormat="1" ht="47.25" hidden="1">
      <c r="A141" s="18" t="s">
        <v>211</v>
      </c>
      <c r="B141" s="4" t="s">
        <v>212</v>
      </c>
      <c r="C141" s="4"/>
      <c r="D141" s="5"/>
      <c r="E141" s="55" t="s">
        <v>367</v>
      </c>
      <c r="F141" s="56">
        <v>0</v>
      </c>
      <c r="G141" s="9">
        <v>0</v>
      </c>
      <c r="H141" s="47"/>
      <c r="I141" s="46"/>
    </row>
    <row r="142" spans="1:9" s="20" customFormat="1" ht="54" customHeight="1">
      <c r="A142" s="22" t="s">
        <v>193</v>
      </c>
      <c r="B142" s="23" t="s">
        <v>219</v>
      </c>
      <c r="C142" s="4"/>
      <c r="D142" s="24">
        <f>D143+D144+D145+D146</f>
        <v>0</v>
      </c>
      <c r="E142" s="5"/>
      <c r="F142" s="28">
        <f>F143+F144</f>
        <v>0</v>
      </c>
      <c r="G142" s="28">
        <f aca="true" t="shared" si="7" ref="G142:G150">D142+F142</f>
        <v>0</v>
      </c>
      <c r="H142" s="47"/>
      <c r="I142" s="46"/>
    </row>
    <row r="143" spans="1:9" s="20" customFormat="1" ht="47.25">
      <c r="A143" s="18" t="s">
        <v>211</v>
      </c>
      <c r="B143" s="4" t="s">
        <v>212</v>
      </c>
      <c r="C143" s="4"/>
      <c r="D143" s="17"/>
      <c r="E143" s="61" t="s">
        <v>367</v>
      </c>
      <c r="F143" s="19">
        <v>0</v>
      </c>
      <c r="G143" s="19">
        <f t="shared" si="7"/>
        <v>0</v>
      </c>
      <c r="I143" s="46"/>
    </row>
    <row r="144" spans="1:9" s="20" customFormat="1" ht="47.25">
      <c r="A144" s="18" t="s">
        <v>132</v>
      </c>
      <c r="B144" s="4" t="s">
        <v>133</v>
      </c>
      <c r="C144" s="4"/>
      <c r="D144" s="5"/>
      <c r="E144" s="4" t="s">
        <v>432</v>
      </c>
      <c r="F144" s="19">
        <v>0</v>
      </c>
      <c r="G144" s="19">
        <f t="shared" si="7"/>
        <v>0</v>
      </c>
      <c r="I144" s="46"/>
    </row>
    <row r="145" spans="1:9" s="20" customFormat="1" ht="31.5" customHeight="1">
      <c r="A145" s="18" t="s">
        <v>125</v>
      </c>
      <c r="B145" s="4" t="s">
        <v>140</v>
      </c>
      <c r="C145" s="61" t="s">
        <v>301</v>
      </c>
      <c r="D145" s="17">
        <v>0</v>
      </c>
      <c r="E145" s="4"/>
      <c r="F145" s="9"/>
      <c r="G145" s="19">
        <f t="shared" si="7"/>
        <v>0</v>
      </c>
      <c r="I145" s="46"/>
    </row>
    <row r="146" spans="1:9" s="20" customFormat="1" ht="47.25">
      <c r="A146" s="18" t="s">
        <v>150</v>
      </c>
      <c r="B146" s="4" t="s">
        <v>269</v>
      </c>
      <c r="C146" s="4" t="s">
        <v>433</v>
      </c>
      <c r="D146" s="17">
        <v>0</v>
      </c>
      <c r="E146" s="4"/>
      <c r="F146" s="9"/>
      <c r="G146" s="19">
        <f t="shared" si="7"/>
        <v>0</v>
      </c>
      <c r="I146" s="46"/>
    </row>
    <row r="147" spans="1:9" s="20" customFormat="1" ht="47.25">
      <c r="A147" s="22" t="s">
        <v>228</v>
      </c>
      <c r="B147" s="23" t="s">
        <v>229</v>
      </c>
      <c r="C147" s="4"/>
      <c r="D147" s="24">
        <f>D148</f>
        <v>0</v>
      </c>
      <c r="E147" s="5"/>
      <c r="F147" s="24">
        <f>F148</f>
        <v>0</v>
      </c>
      <c r="G147" s="24">
        <f t="shared" si="7"/>
        <v>0</v>
      </c>
      <c r="H147" s="47"/>
      <c r="I147" s="46"/>
    </row>
    <row r="148" spans="1:9" s="20" customFormat="1" ht="48.75" customHeight="1">
      <c r="A148" s="18" t="s">
        <v>211</v>
      </c>
      <c r="B148" s="4" t="s">
        <v>212</v>
      </c>
      <c r="C148" s="4"/>
      <c r="D148" s="17"/>
      <c r="E148" s="4" t="s">
        <v>367</v>
      </c>
      <c r="F148" s="19">
        <v>0</v>
      </c>
      <c r="G148" s="24">
        <f t="shared" si="7"/>
        <v>0</v>
      </c>
      <c r="I148" s="46"/>
    </row>
    <row r="149" spans="1:9" s="20" customFormat="1" ht="45.75" customHeight="1">
      <c r="A149" s="22" t="s">
        <v>191</v>
      </c>
      <c r="B149" s="23" t="s">
        <v>276</v>
      </c>
      <c r="C149" s="4"/>
      <c r="D149" s="24">
        <f>D151+D152+D153+D154+D159+D160+D172</f>
        <v>0</v>
      </c>
      <c r="E149" s="5"/>
      <c r="F149" s="28">
        <f>F150+F151+F152+F153+F154+F155+F157+F158+F159+F160+F162+F163+F165+F166+F167+F169+F170+F171+F172</f>
        <v>0</v>
      </c>
      <c r="G149" s="28">
        <f t="shared" si="7"/>
        <v>0</v>
      </c>
      <c r="H149" s="47"/>
      <c r="I149" s="46"/>
    </row>
    <row r="150" spans="1:9" s="20" customFormat="1" ht="45.75" customHeight="1">
      <c r="A150" s="238" t="s">
        <v>211</v>
      </c>
      <c r="B150" s="239" t="s">
        <v>212</v>
      </c>
      <c r="C150" s="4"/>
      <c r="D150" s="24"/>
      <c r="E150" s="61" t="s">
        <v>367</v>
      </c>
      <c r="F150" s="19"/>
      <c r="G150" s="19">
        <f t="shared" si="7"/>
        <v>0</v>
      </c>
      <c r="H150" s="47"/>
      <c r="I150" s="46"/>
    </row>
    <row r="151" spans="1:9" s="20" customFormat="1" ht="61.5" customHeight="1">
      <c r="A151" s="238"/>
      <c r="B151" s="239"/>
      <c r="C151" s="61" t="s">
        <v>382</v>
      </c>
      <c r="D151" s="17">
        <v>0</v>
      </c>
      <c r="E151" s="4"/>
      <c r="F151" s="19"/>
      <c r="G151" s="19">
        <f aca="true" t="shared" si="8" ref="G151:G172">D151+F151</f>
        <v>0</v>
      </c>
      <c r="I151" s="46"/>
    </row>
    <row r="152" spans="1:9" s="20" customFormat="1" ht="47.25">
      <c r="A152" s="18" t="s">
        <v>134</v>
      </c>
      <c r="B152" s="4" t="s">
        <v>141</v>
      </c>
      <c r="C152" s="61" t="s">
        <v>370</v>
      </c>
      <c r="D152" s="17">
        <v>0</v>
      </c>
      <c r="E152" s="4"/>
      <c r="F152" s="9"/>
      <c r="G152" s="19">
        <f t="shared" si="8"/>
        <v>0</v>
      </c>
      <c r="I152" s="46"/>
    </row>
    <row r="153" spans="1:9" s="20" customFormat="1" ht="47.25">
      <c r="A153" s="238" t="s">
        <v>267</v>
      </c>
      <c r="B153" s="239" t="s">
        <v>268</v>
      </c>
      <c r="C153" s="61" t="s">
        <v>370</v>
      </c>
      <c r="D153" s="17">
        <v>0</v>
      </c>
      <c r="E153" s="4"/>
      <c r="F153" s="9"/>
      <c r="G153" s="19">
        <f t="shared" si="8"/>
        <v>0</v>
      </c>
      <c r="I153" s="46"/>
    </row>
    <row r="154" spans="1:9" s="20" customFormat="1" ht="47.25">
      <c r="A154" s="238"/>
      <c r="B154" s="239"/>
      <c r="C154" s="61" t="s">
        <v>315</v>
      </c>
      <c r="D154" s="37">
        <v>0</v>
      </c>
      <c r="E154" s="4"/>
      <c r="F154" s="9"/>
      <c r="G154" s="19">
        <f t="shared" si="8"/>
        <v>0</v>
      </c>
      <c r="I154" s="46"/>
    </row>
    <row r="155" spans="1:9" s="20" customFormat="1" ht="47.25">
      <c r="A155" s="238" t="s">
        <v>162</v>
      </c>
      <c r="B155" s="239" t="s">
        <v>163</v>
      </c>
      <c r="C155" s="4"/>
      <c r="D155" s="17"/>
      <c r="E155" s="4" t="s">
        <v>282</v>
      </c>
      <c r="F155" s="19">
        <v>0</v>
      </c>
      <c r="G155" s="19">
        <f t="shared" si="8"/>
        <v>0</v>
      </c>
      <c r="I155" s="46"/>
    </row>
    <row r="156" spans="1:9" s="20" customFormat="1" ht="47.25" customHeight="1" hidden="1">
      <c r="A156" s="238"/>
      <c r="B156" s="239"/>
      <c r="C156" s="4" t="s">
        <v>277</v>
      </c>
      <c r="D156" s="17">
        <v>0</v>
      </c>
      <c r="E156" s="4" t="s">
        <v>282</v>
      </c>
      <c r="F156" s="9"/>
      <c r="G156" s="19">
        <f t="shared" si="8"/>
        <v>0</v>
      </c>
      <c r="I156" s="46"/>
    </row>
    <row r="157" spans="1:9" s="20" customFormat="1" ht="47.25">
      <c r="A157" s="238"/>
      <c r="B157" s="239"/>
      <c r="C157" s="4"/>
      <c r="D157" s="17"/>
      <c r="E157" s="61" t="s">
        <v>315</v>
      </c>
      <c r="F157" s="37">
        <v>0</v>
      </c>
      <c r="G157" s="19">
        <f t="shared" si="8"/>
        <v>0</v>
      </c>
      <c r="I157" s="46"/>
    </row>
    <row r="158" spans="1:9" s="20" customFormat="1" ht="56.25" customHeight="1">
      <c r="A158" s="18" t="s">
        <v>311</v>
      </c>
      <c r="B158" s="4" t="s">
        <v>312</v>
      </c>
      <c r="C158" s="4"/>
      <c r="D158" s="17"/>
      <c r="E158" s="4" t="s">
        <v>282</v>
      </c>
      <c r="F158" s="19">
        <v>0</v>
      </c>
      <c r="G158" s="19">
        <f t="shared" si="8"/>
        <v>0</v>
      </c>
      <c r="I158" s="46"/>
    </row>
    <row r="159" spans="1:9" s="20" customFormat="1" ht="51.75" customHeight="1">
      <c r="A159" s="238" t="s">
        <v>142</v>
      </c>
      <c r="B159" s="239" t="s">
        <v>164</v>
      </c>
      <c r="C159" s="61" t="s">
        <v>370</v>
      </c>
      <c r="D159" s="62">
        <v>0</v>
      </c>
      <c r="E159" s="4" t="s">
        <v>282</v>
      </c>
      <c r="F159" s="19">
        <v>0</v>
      </c>
      <c r="G159" s="19">
        <f t="shared" si="8"/>
        <v>0</v>
      </c>
      <c r="I159" s="46"/>
    </row>
    <row r="160" spans="1:9" s="20" customFormat="1" ht="47.25">
      <c r="A160" s="238"/>
      <c r="B160" s="239"/>
      <c r="C160" s="61" t="s">
        <v>315</v>
      </c>
      <c r="D160" s="37">
        <v>0</v>
      </c>
      <c r="E160" s="35" t="s">
        <v>417</v>
      </c>
      <c r="F160" s="37">
        <v>0</v>
      </c>
      <c r="G160" s="19">
        <f t="shared" si="8"/>
        <v>0</v>
      </c>
      <c r="I160" s="46"/>
    </row>
    <row r="161" spans="1:9" s="20" customFormat="1" ht="47.25" hidden="1">
      <c r="A161" s="18" t="s">
        <v>387</v>
      </c>
      <c r="B161" s="4" t="s">
        <v>388</v>
      </c>
      <c r="C161" s="35"/>
      <c r="D161" s="37"/>
      <c r="E161" s="4" t="s">
        <v>370</v>
      </c>
      <c r="F161" s="36">
        <v>0</v>
      </c>
      <c r="G161" s="19">
        <f t="shared" si="8"/>
        <v>0</v>
      </c>
      <c r="I161" s="46"/>
    </row>
    <row r="162" spans="1:9" s="20" customFormat="1" ht="51" customHeight="1">
      <c r="A162" s="238" t="s">
        <v>132</v>
      </c>
      <c r="B162" s="239" t="s">
        <v>133</v>
      </c>
      <c r="C162" s="4"/>
      <c r="D162" s="5"/>
      <c r="E162" s="4" t="s">
        <v>282</v>
      </c>
      <c r="F162" s="12">
        <v>0</v>
      </c>
      <c r="G162" s="19">
        <f t="shared" si="8"/>
        <v>0</v>
      </c>
      <c r="I162" s="46"/>
    </row>
    <row r="163" spans="1:9" s="20" customFormat="1" ht="31.5">
      <c r="A163" s="238"/>
      <c r="B163" s="239"/>
      <c r="C163" s="4"/>
      <c r="D163" s="5"/>
      <c r="E163" s="35" t="s">
        <v>417</v>
      </c>
      <c r="F163" s="37">
        <v>0</v>
      </c>
      <c r="G163" s="19">
        <f t="shared" si="8"/>
        <v>0</v>
      </c>
      <c r="I163" s="46"/>
    </row>
    <row r="164" spans="1:9" s="51" customFormat="1" ht="46.5" customHeight="1" hidden="1">
      <c r="A164" s="243" t="s">
        <v>87</v>
      </c>
      <c r="B164" s="241" t="s">
        <v>250</v>
      </c>
      <c r="C164" s="4"/>
      <c r="D164" s="5"/>
      <c r="E164" s="4" t="s">
        <v>370</v>
      </c>
      <c r="F164" s="19">
        <v>0</v>
      </c>
      <c r="G164" s="19">
        <f t="shared" si="8"/>
        <v>0</v>
      </c>
      <c r="H164" s="20"/>
      <c r="I164" s="52"/>
    </row>
    <row r="165" spans="1:9" s="51" customFormat="1" ht="69.75" customHeight="1">
      <c r="A165" s="246"/>
      <c r="B165" s="247"/>
      <c r="C165" s="4"/>
      <c r="D165" s="5"/>
      <c r="E165" s="4" t="s">
        <v>434</v>
      </c>
      <c r="F165" s="19">
        <v>0</v>
      </c>
      <c r="G165" s="19">
        <f t="shared" si="8"/>
        <v>0</v>
      </c>
      <c r="H165" s="20"/>
      <c r="I165" s="52"/>
    </row>
    <row r="166" spans="1:9" s="51" customFormat="1" ht="87" customHeight="1">
      <c r="A166" s="244"/>
      <c r="B166" s="242"/>
      <c r="C166" s="4"/>
      <c r="D166" s="5"/>
      <c r="E166" s="4" t="s">
        <v>435</v>
      </c>
      <c r="F166" s="19">
        <v>0</v>
      </c>
      <c r="G166" s="19">
        <f t="shared" si="8"/>
        <v>0</v>
      </c>
      <c r="H166" s="20"/>
      <c r="I166" s="52"/>
    </row>
    <row r="167" spans="1:9" s="20" customFormat="1" ht="69.75" customHeight="1">
      <c r="A167" s="18" t="s">
        <v>144</v>
      </c>
      <c r="B167" s="4" t="s">
        <v>145</v>
      </c>
      <c r="C167" s="4"/>
      <c r="D167" s="5"/>
      <c r="E167" s="61" t="s">
        <v>370</v>
      </c>
      <c r="F167" s="19">
        <v>0</v>
      </c>
      <c r="G167" s="19">
        <f t="shared" si="8"/>
        <v>0</v>
      </c>
      <c r="I167" s="46"/>
    </row>
    <row r="168" spans="1:9" s="20" customFormat="1" ht="27.75" customHeight="1" hidden="1">
      <c r="A168" s="4">
        <v>180107</v>
      </c>
      <c r="B168" s="4" t="s">
        <v>264</v>
      </c>
      <c r="C168" s="4"/>
      <c r="D168" s="17"/>
      <c r="E168" s="4" t="s">
        <v>282</v>
      </c>
      <c r="F168" s="19">
        <v>0</v>
      </c>
      <c r="G168" s="19">
        <f t="shared" si="8"/>
        <v>0</v>
      </c>
      <c r="I168" s="46"/>
    </row>
    <row r="169" spans="1:9" s="20" customFormat="1" ht="63" customHeight="1">
      <c r="A169" s="239">
        <v>180409</v>
      </c>
      <c r="B169" s="239" t="s">
        <v>275</v>
      </c>
      <c r="C169" s="4"/>
      <c r="D169" s="17"/>
      <c r="E169" s="4" t="s">
        <v>282</v>
      </c>
      <c r="F169" s="19">
        <v>0</v>
      </c>
      <c r="G169" s="19">
        <f t="shared" si="8"/>
        <v>0</v>
      </c>
      <c r="I169" s="46"/>
    </row>
    <row r="170" spans="1:9" s="20" customFormat="1" ht="47.25">
      <c r="A170" s="239"/>
      <c r="B170" s="239"/>
      <c r="C170" s="4"/>
      <c r="D170" s="17"/>
      <c r="E170" s="4" t="s">
        <v>436</v>
      </c>
      <c r="F170" s="19">
        <v>0</v>
      </c>
      <c r="G170" s="19">
        <f t="shared" si="8"/>
        <v>0</v>
      </c>
      <c r="I170" s="46"/>
    </row>
    <row r="171" spans="1:9" s="20" customFormat="1" ht="47.25">
      <c r="A171" s="18" t="s">
        <v>77</v>
      </c>
      <c r="B171" s="4" t="s">
        <v>154</v>
      </c>
      <c r="C171" s="4"/>
      <c r="D171" s="5"/>
      <c r="E171" s="4" t="s">
        <v>426</v>
      </c>
      <c r="F171" s="19">
        <v>0</v>
      </c>
      <c r="G171" s="19">
        <f t="shared" si="8"/>
        <v>0</v>
      </c>
      <c r="I171" s="46"/>
    </row>
    <row r="172" spans="1:9" s="20" customFormat="1" ht="45.75" customHeight="1">
      <c r="A172" s="18" t="s">
        <v>125</v>
      </c>
      <c r="B172" s="4" t="s">
        <v>140</v>
      </c>
      <c r="C172" s="61" t="s">
        <v>370</v>
      </c>
      <c r="D172" s="17">
        <v>0</v>
      </c>
      <c r="E172" s="4" t="s">
        <v>282</v>
      </c>
      <c r="F172" s="12">
        <v>0</v>
      </c>
      <c r="G172" s="19">
        <f t="shared" si="8"/>
        <v>0</v>
      </c>
      <c r="I172" s="46"/>
    </row>
    <row r="173" spans="1:9" s="20" customFormat="1" ht="38.25" hidden="1">
      <c r="A173" s="18" t="s">
        <v>87</v>
      </c>
      <c r="B173" s="29" t="s">
        <v>250</v>
      </c>
      <c r="C173" s="4"/>
      <c r="D173" s="5"/>
      <c r="E173" s="4" t="s">
        <v>260</v>
      </c>
      <c r="F173" s="12">
        <v>0</v>
      </c>
      <c r="G173" s="9">
        <v>0</v>
      </c>
      <c r="I173" s="46"/>
    </row>
    <row r="174" spans="1:9" s="20" customFormat="1" ht="70.5" customHeight="1" hidden="1">
      <c r="A174" s="22" t="s">
        <v>274</v>
      </c>
      <c r="B174" s="23" t="s">
        <v>273</v>
      </c>
      <c r="C174" s="23"/>
      <c r="D174" s="24">
        <v>0</v>
      </c>
      <c r="E174" s="23"/>
      <c r="F174" s="30"/>
      <c r="G174" s="27">
        <v>0</v>
      </c>
      <c r="I174" s="46"/>
    </row>
    <row r="175" spans="1:9" s="20" customFormat="1" ht="36" customHeight="1" hidden="1">
      <c r="A175" s="18" t="s">
        <v>134</v>
      </c>
      <c r="B175" s="4" t="s">
        <v>141</v>
      </c>
      <c r="C175" s="4" t="s">
        <v>166</v>
      </c>
      <c r="D175" s="17">
        <v>0</v>
      </c>
      <c r="E175" s="4"/>
      <c r="F175" s="12"/>
      <c r="G175" s="9">
        <v>0</v>
      </c>
      <c r="I175" s="46"/>
    </row>
    <row r="176" spans="1:9" s="20" customFormat="1" ht="47.25" customHeight="1" hidden="1">
      <c r="A176" s="18" t="s">
        <v>142</v>
      </c>
      <c r="B176" s="4" t="s">
        <v>164</v>
      </c>
      <c r="C176" s="4" t="s">
        <v>248</v>
      </c>
      <c r="D176" s="17">
        <v>0</v>
      </c>
      <c r="E176" s="4"/>
      <c r="F176" s="12"/>
      <c r="G176" s="9">
        <v>0</v>
      </c>
      <c r="I176" s="46"/>
    </row>
    <row r="177" spans="1:9" s="20" customFormat="1" ht="47.25">
      <c r="A177" s="22" t="s">
        <v>192</v>
      </c>
      <c r="B177" s="23" t="s">
        <v>101</v>
      </c>
      <c r="C177" s="4"/>
      <c r="D177" s="24">
        <f>D179</f>
        <v>0</v>
      </c>
      <c r="E177" s="5"/>
      <c r="F177" s="24">
        <f>F178</f>
        <v>0</v>
      </c>
      <c r="G177" s="28">
        <f aca="true" t="shared" si="9" ref="G177:G184">D177+F177</f>
        <v>0</v>
      </c>
      <c r="H177" s="47"/>
      <c r="I177" s="46"/>
    </row>
    <row r="178" spans="1:9" s="20" customFormat="1" ht="48" customHeight="1">
      <c r="A178" s="18" t="s">
        <v>211</v>
      </c>
      <c r="B178" s="4" t="s">
        <v>212</v>
      </c>
      <c r="C178" s="4"/>
      <c r="D178" s="17"/>
      <c r="E178" s="4" t="s">
        <v>415</v>
      </c>
      <c r="F178" s="19">
        <v>0</v>
      </c>
      <c r="G178" s="19">
        <f t="shared" si="9"/>
        <v>0</v>
      </c>
      <c r="I178" s="46"/>
    </row>
    <row r="179" spans="1:9" s="20" customFormat="1" ht="63">
      <c r="A179" s="18" t="s">
        <v>125</v>
      </c>
      <c r="B179" s="4" t="s">
        <v>140</v>
      </c>
      <c r="C179" s="61" t="s">
        <v>382</v>
      </c>
      <c r="D179" s="17">
        <v>0</v>
      </c>
      <c r="E179" s="4"/>
      <c r="F179" s="9"/>
      <c r="G179" s="19">
        <f t="shared" si="9"/>
        <v>0</v>
      </c>
      <c r="I179" s="46"/>
    </row>
    <row r="180" spans="1:9" s="20" customFormat="1" ht="47.25">
      <c r="A180" s="22" t="s">
        <v>196</v>
      </c>
      <c r="B180" s="23" t="s">
        <v>103</v>
      </c>
      <c r="C180" s="4"/>
      <c r="D180" s="24">
        <f>D181+D182+D183+D184</f>
        <v>0</v>
      </c>
      <c r="E180" s="5"/>
      <c r="F180" s="28">
        <f>F181</f>
        <v>0</v>
      </c>
      <c r="G180" s="28">
        <f t="shared" si="9"/>
        <v>0</v>
      </c>
      <c r="I180" s="46"/>
    </row>
    <row r="181" spans="1:9" s="20" customFormat="1" ht="60" customHeight="1">
      <c r="A181" s="18" t="s">
        <v>211</v>
      </c>
      <c r="B181" s="4" t="s">
        <v>212</v>
      </c>
      <c r="C181" s="4"/>
      <c r="D181" s="17"/>
      <c r="E181" s="4" t="s">
        <v>367</v>
      </c>
      <c r="F181" s="19">
        <v>0</v>
      </c>
      <c r="G181" s="19">
        <f t="shared" si="9"/>
        <v>0</v>
      </c>
      <c r="I181" s="46"/>
    </row>
    <row r="182" spans="1:9" s="20" customFormat="1" ht="63">
      <c r="A182" s="245">
        <v>250404</v>
      </c>
      <c r="B182" s="245" t="s">
        <v>140</v>
      </c>
      <c r="C182" s="4" t="s">
        <v>391</v>
      </c>
      <c r="D182" s="21">
        <v>0</v>
      </c>
      <c r="E182" s="9"/>
      <c r="F182" s="31"/>
      <c r="G182" s="19">
        <f t="shared" si="9"/>
        <v>0</v>
      </c>
      <c r="I182" s="46"/>
    </row>
    <row r="183" spans="1:9" s="20" customFormat="1" ht="51" customHeight="1">
      <c r="A183" s="245"/>
      <c r="B183" s="245"/>
      <c r="C183" s="4" t="s">
        <v>409</v>
      </c>
      <c r="D183" s="21">
        <v>0</v>
      </c>
      <c r="E183" s="9"/>
      <c r="F183" s="31"/>
      <c r="G183" s="19">
        <f t="shared" si="9"/>
        <v>0</v>
      </c>
      <c r="I183" s="46"/>
    </row>
    <row r="184" spans="1:9" s="20" customFormat="1" ht="66" customHeight="1">
      <c r="A184" s="250"/>
      <c r="B184" s="245"/>
      <c r="C184" s="4" t="s">
        <v>410</v>
      </c>
      <c r="D184" s="21">
        <v>0</v>
      </c>
      <c r="E184" s="4"/>
      <c r="F184" s="9"/>
      <c r="G184" s="19">
        <f t="shared" si="9"/>
        <v>0</v>
      </c>
      <c r="I184" s="46"/>
    </row>
    <row r="185" spans="1:9" s="20" customFormat="1" ht="31.5" hidden="1">
      <c r="A185" s="22">
        <v>50</v>
      </c>
      <c r="B185" s="23" t="s">
        <v>232</v>
      </c>
      <c r="C185" s="4"/>
      <c r="D185" s="24">
        <v>0</v>
      </c>
      <c r="E185" s="5"/>
      <c r="F185" s="27">
        <v>0</v>
      </c>
      <c r="G185" s="27">
        <v>0</v>
      </c>
      <c r="I185" s="46"/>
    </row>
    <row r="186" spans="1:9" s="20" customFormat="1" ht="48.75" customHeight="1" hidden="1">
      <c r="A186" s="18" t="s">
        <v>211</v>
      </c>
      <c r="B186" s="4" t="s">
        <v>212</v>
      </c>
      <c r="C186" s="4" t="s">
        <v>224</v>
      </c>
      <c r="D186" s="21"/>
      <c r="E186" s="4"/>
      <c r="F186" s="9"/>
      <c r="G186" s="9">
        <v>0</v>
      </c>
      <c r="I186" s="46"/>
    </row>
    <row r="187" spans="1:9" s="20" customFormat="1" ht="47.25">
      <c r="A187" s="22" t="s">
        <v>200</v>
      </c>
      <c r="B187" s="23" t="s">
        <v>107</v>
      </c>
      <c r="C187" s="23"/>
      <c r="D187" s="24">
        <v>0</v>
      </c>
      <c r="E187" s="32"/>
      <c r="F187" s="24">
        <f>F188+F189</f>
        <v>0</v>
      </c>
      <c r="G187" s="24">
        <f aca="true" t="shared" si="10" ref="G187:G195">D187+F187</f>
        <v>0</v>
      </c>
      <c r="H187" s="47"/>
      <c r="I187" s="46"/>
    </row>
    <row r="188" spans="1:9" s="20" customFormat="1" ht="47.25">
      <c r="A188" s="18" t="s">
        <v>211</v>
      </c>
      <c r="B188" s="4" t="s">
        <v>212</v>
      </c>
      <c r="C188" s="4"/>
      <c r="D188" s="17"/>
      <c r="E188" s="4" t="s">
        <v>400</v>
      </c>
      <c r="F188" s="17">
        <v>0</v>
      </c>
      <c r="G188" s="17">
        <f t="shared" si="10"/>
        <v>0</v>
      </c>
      <c r="I188" s="46"/>
    </row>
    <row r="189" spans="1:9" s="20" customFormat="1" ht="47.25">
      <c r="A189" s="18" t="s">
        <v>89</v>
      </c>
      <c r="B189" s="4" t="s">
        <v>90</v>
      </c>
      <c r="C189" s="4"/>
      <c r="D189" s="17"/>
      <c r="E189" s="4" t="s">
        <v>401</v>
      </c>
      <c r="F189" s="19">
        <v>0</v>
      </c>
      <c r="G189" s="17">
        <f t="shared" si="10"/>
        <v>0</v>
      </c>
      <c r="I189" s="46"/>
    </row>
    <row r="190" spans="1:9" s="20" customFormat="1" ht="50.25" customHeight="1">
      <c r="A190" s="22" t="s">
        <v>197</v>
      </c>
      <c r="B190" s="23" t="s">
        <v>104</v>
      </c>
      <c r="C190" s="4"/>
      <c r="D190" s="24">
        <f>D194</f>
        <v>0</v>
      </c>
      <c r="E190" s="5"/>
      <c r="F190" s="24">
        <f>F192+F193</f>
        <v>0</v>
      </c>
      <c r="G190" s="24">
        <f t="shared" si="10"/>
        <v>0</v>
      </c>
      <c r="H190" s="47"/>
      <c r="I190" s="46"/>
    </row>
    <row r="191" spans="1:9" s="20" customFormat="1" ht="33" customHeight="1" hidden="1">
      <c r="A191" s="18" t="s">
        <v>211</v>
      </c>
      <c r="B191" s="4" t="s">
        <v>212</v>
      </c>
      <c r="C191" s="4" t="s">
        <v>227</v>
      </c>
      <c r="D191" s="17"/>
      <c r="E191" s="4"/>
      <c r="F191" s="19"/>
      <c r="G191" s="24">
        <f t="shared" si="10"/>
        <v>0</v>
      </c>
      <c r="I191" s="46"/>
    </row>
    <row r="192" spans="1:9" s="20" customFormat="1" ht="47.25">
      <c r="A192" s="4">
        <v>240601</v>
      </c>
      <c r="B192" s="4" t="s">
        <v>154</v>
      </c>
      <c r="C192" s="4"/>
      <c r="D192" s="5"/>
      <c r="E192" s="4" t="s">
        <v>390</v>
      </c>
      <c r="F192" s="19">
        <v>0</v>
      </c>
      <c r="G192" s="17">
        <f t="shared" si="10"/>
        <v>0</v>
      </c>
      <c r="I192" s="46"/>
    </row>
    <row r="193" spans="1:9" s="20" customFormat="1" ht="72" customHeight="1">
      <c r="A193" s="4">
        <v>240900</v>
      </c>
      <c r="B193" s="4" t="s">
        <v>272</v>
      </c>
      <c r="C193" s="4"/>
      <c r="D193" s="5"/>
      <c r="E193" s="4" t="s">
        <v>380</v>
      </c>
      <c r="F193" s="19">
        <v>0</v>
      </c>
      <c r="G193" s="17">
        <f t="shared" si="10"/>
        <v>0</v>
      </c>
      <c r="I193" s="46"/>
    </row>
    <row r="194" spans="1:9" s="20" customFormat="1" ht="54" customHeight="1">
      <c r="A194" s="4">
        <v>250404</v>
      </c>
      <c r="B194" s="4" t="s">
        <v>261</v>
      </c>
      <c r="C194" s="4" t="s">
        <v>408</v>
      </c>
      <c r="D194" s="17">
        <v>0</v>
      </c>
      <c r="E194" s="4"/>
      <c r="F194" s="19"/>
      <c r="G194" s="17">
        <f t="shared" si="10"/>
        <v>0</v>
      </c>
      <c r="I194" s="46"/>
    </row>
    <row r="195" spans="1:9" s="20" customFormat="1" ht="47.25">
      <c r="A195" s="22" t="s">
        <v>195</v>
      </c>
      <c r="B195" s="23" t="s">
        <v>105</v>
      </c>
      <c r="C195" s="4"/>
      <c r="D195" s="24">
        <f>D197+D198+D204+D206</f>
        <v>0</v>
      </c>
      <c r="E195" s="5"/>
      <c r="F195" s="24">
        <f>F200+F201+F202+F204+F206</f>
        <v>0</v>
      </c>
      <c r="G195" s="24">
        <f t="shared" si="10"/>
        <v>0</v>
      </c>
      <c r="H195" s="47"/>
      <c r="I195" s="46"/>
    </row>
    <row r="196" spans="1:9" s="20" customFormat="1" ht="69" customHeight="1" hidden="1">
      <c r="A196" s="18" t="s">
        <v>211</v>
      </c>
      <c r="B196" s="4" t="s">
        <v>212</v>
      </c>
      <c r="C196" s="4" t="s">
        <v>230</v>
      </c>
      <c r="D196" s="17"/>
      <c r="E196" s="5"/>
      <c r="F196" s="9"/>
      <c r="G196" s="24">
        <f aca="true" t="shared" si="11" ref="G196:G206">D196+F196</f>
        <v>0</v>
      </c>
      <c r="I196" s="46"/>
    </row>
    <row r="197" spans="1:9" s="20" customFormat="1" ht="84.75" customHeight="1">
      <c r="A197" s="18" t="s">
        <v>79</v>
      </c>
      <c r="B197" s="4" t="s">
        <v>80</v>
      </c>
      <c r="C197" s="4" t="s">
        <v>396</v>
      </c>
      <c r="D197" s="17">
        <v>0</v>
      </c>
      <c r="E197" s="4"/>
      <c r="F197" s="19"/>
      <c r="G197" s="17">
        <f t="shared" si="11"/>
        <v>0</v>
      </c>
      <c r="I197" s="46"/>
    </row>
    <row r="198" spans="1:9" s="20" customFormat="1" ht="72.75" customHeight="1">
      <c r="A198" s="18" t="s">
        <v>130</v>
      </c>
      <c r="B198" s="4" t="s">
        <v>131</v>
      </c>
      <c r="C198" s="4" t="s">
        <v>303</v>
      </c>
      <c r="D198" s="17">
        <v>0</v>
      </c>
      <c r="E198" s="4"/>
      <c r="F198" s="9"/>
      <c r="G198" s="17">
        <f t="shared" si="11"/>
        <v>0</v>
      </c>
      <c r="I198" s="46"/>
    </row>
    <row r="199" spans="1:9" s="20" customFormat="1" ht="78.75" hidden="1">
      <c r="A199" s="243" t="s">
        <v>132</v>
      </c>
      <c r="B199" s="241" t="s">
        <v>133</v>
      </c>
      <c r="C199" s="4"/>
      <c r="D199" s="17"/>
      <c r="E199" s="4" t="s">
        <v>303</v>
      </c>
      <c r="F199" s="19">
        <v>0</v>
      </c>
      <c r="G199" s="24">
        <f t="shared" si="11"/>
        <v>0</v>
      </c>
      <c r="I199" s="46"/>
    </row>
    <row r="200" spans="1:9" s="20" customFormat="1" ht="63">
      <c r="A200" s="244"/>
      <c r="B200" s="242"/>
      <c r="C200" s="4"/>
      <c r="D200" s="17"/>
      <c r="E200" s="4" t="s">
        <v>368</v>
      </c>
      <c r="F200" s="19">
        <v>0</v>
      </c>
      <c r="G200" s="17">
        <f t="shared" si="11"/>
        <v>0</v>
      </c>
      <c r="I200" s="46"/>
    </row>
    <row r="201" spans="1:9" s="20" customFormat="1" ht="62.25" customHeight="1">
      <c r="A201" s="238" t="s">
        <v>146</v>
      </c>
      <c r="B201" s="239" t="s">
        <v>275</v>
      </c>
      <c r="C201" s="239"/>
      <c r="D201" s="17"/>
      <c r="E201" s="4" t="s">
        <v>303</v>
      </c>
      <c r="F201" s="19">
        <v>0</v>
      </c>
      <c r="G201" s="17">
        <f t="shared" si="11"/>
        <v>0</v>
      </c>
      <c r="I201" s="46"/>
    </row>
    <row r="202" spans="1:9" s="20" customFormat="1" ht="63">
      <c r="A202" s="238"/>
      <c r="B202" s="239"/>
      <c r="C202" s="239"/>
      <c r="D202" s="251"/>
      <c r="E202" s="4" t="s">
        <v>381</v>
      </c>
      <c r="F202" s="19">
        <v>0</v>
      </c>
      <c r="G202" s="17">
        <f t="shared" si="11"/>
        <v>0</v>
      </c>
      <c r="I202" s="46"/>
    </row>
    <row r="203" spans="1:9" s="20" customFormat="1" ht="47.25" hidden="1">
      <c r="A203" s="238"/>
      <c r="B203" s="239"/>
      <c r="C203" s="239"/>
      <c r="D203" s="251"/>
      <c r="E203" s="4" t="s">
        <v>404</v>
      </c>
      <c r="F203" s="9">
        <v>0</v>
      </c>
      <c r="G203" s="17">
        <f t="shared" si="11"/>
        <v>0</v>
      </c>
      <c r="I203" s="46"/>
    </row>
    <row r="204" spans="1:9" s="20" customFormat="1" ht="69" customHeight="1">
      <c r="A204" s="18" t="s">
        <v>265</v>
      </c>
      <c r="B204" s="4" t="s">
        <v>266</v>
      </c>
      <c r="C204" s="4" t="s">
        <v>303</v>
      </c>
      <c r="D204" s="17">
        <v>0</v>
      </c>
      <c r="E204" s="4" t="s">
        <v>381</v>
      </c>
      <c r="F204" s="19">
        <v>0</v>
      </c>
      <c r="G204" s="17">
        <f t="shared" si="11"/>
        <v>0</v>
      </c>
      <c r="I204" s="46"/>
    </row>
    <row r="205" spans="1:9" s="20" customFormat="1" ht="63">
      <c r="A205" s="238" t="s">
        <v>125</v>
      </c>
      <c r="B205" s="239" t="s">
        <v>140</v>
      </c>
      <c r="C205" s="4" t="s">
        <v>381</v>
      </c>
      <c r="D205" s="17">
        <v>0</v>
      </c>
      <c r="E205" s="4"/>
      <c r="F205" s="9"/>
      <c r="G205" s="17">
        <f t="shared" si="11"/>
        <v>0</v>
      </c>
      <c r="I205" s="46"/>
    </row>
    <row r="206" spans="1:9" s="20" customFormat="1" ht="63">
      <c r="A206" s="238"/>
      <c r="B206" s="239"/>
      <c r="C206" s="4" t="s">
        <v>406</v>
      </c>
      <c r="D206" s="17">
        <v>0</v>
      </c>
      <c r="E206" s="4" t="s">
        <v>406</v>
      </c>
      <c r="F206" s="19">
        <v>0</v>
      </c>
      <c r="G206" s="17">
        <f t="shared" si="11"/>
        <v>0</v>
      </c>
      <c r="I206" s="46"/>
    </row>
    <row r="207" spans="1:9" s="20" customFormat="1" ht="78.75" customHeight="1">
      <c r="A207" s="22" t="s">
        <v>190</v>
      </c>
      <c r="B207" s="23" t="s">
        <v>100</v>
      </c>
      <c r="C207" s="4"/>
      <c r="D207" s="24">
        <f>D209+D210+D211</f>
        <v>0</v>
      </c>
      <c r="E207" s="5"/>
      <c r="F207" s="28">
        <f>F209+F210</f>
        <v>0</v>
      </c>
      <c r="G207" s="28">
        <f aca="true" t="shared" si="12" ref="G207:G224">D207+F207</f>
        <v>0</v>
      </c>
      <c r="H207" s="47"/>
      <c r="I207" s="46"/>
    </row>
    <row r="208" spans="1:9" s="20" customFormat="1" ht="65.25" customHeight="1" hidden="1">
      <c r="A208" s="18" t="s">
        <v>211</v>
      </c>
      <c r="B208" s="4" t="s">
        <v>212</v>
      </c>
      <c r="C208" s="4" t="s">
        <v>221</v>
      </c>
      <c r="D208" s="17"/>
      <c r="E208" s="4"/>
      <c r="F208" s="12"/>
      <c r="G208" s="28">
        <f t="shared" si="12"/>
        <v>0</v>
      </c>
      <c r="I208" s="46"/>
    </row>
    <row r="209" spans="1:9" s="20" customFormat="1" ht="78.75" customHeight="1">
      <c r="A209" s="18" t="s">
        <v>136</v>
      </c>
      <c r="B209" s="4" t="s">
        <v>137</v>
      </c>
      <c r="C209" s="4" t="s">
        <v>371</v>
      </c>
      <c r="D209" s="17">
        <v>0</v>
      </c>
      <c r="E209" s="4" t="s">
        <v>371</v>
      </c>
      <c r="F209" s="12">
        <v>0</v>
      </c>
      <c r="G209" s="19">
        <f t="shared" si="12"/>
        <v>0</v>
      </c>
      <c r="H209" s="47"/>
      <c r="I209" s="46"/>
    </row>
    <row r="210" spans="1:9" s="20" customFormat="1" ht="78.75">
      <c r="A210" s="238" t="s">
        <v>138</v>
      </c>
      <c r="B210" s="239" t="s">
        <v>139</v>
      </c>
      <c r="C210" s="4" t="s">
        <v>371</v>
      </c>
      <c r="D210" s="17">
        <v>0</v>
      </c>
      <c r="E210" s="4" t="s">
        <v>371</v>
      </c>
      <c r="F210" s="12">
        <v>0</v>
      </c>
      <c r="G210" s="19">
        <f t="shared" si="12"/>
        <v>0</v>
      </c>
      <c r="H210" s="47"/>
      <c r="I210" s="46"/>
    </row>
    <row r="211" spans="1:9" s="20" customFormat="1" ht="68.25" customHeight="1">
      <c r="A211" s="238"/>
      <c r="B211" s="239"/>
      <c r="C211" s="4" t="s">
        <v>397</v>
      </c>
      <c r="D211" s="17">
        <v>0</v>
      </c>
      <c r="E211" s="4"/>
      <c r="F211" s="12"/>
      <c r="G211" s="19">
        <f t="shared" si="12"/>
        <v>0</v>
      </c>
      <c r="I211" s="46"/>
    </row>
    <row r="212" spans="1:9" s="20" customFormat="1" ht="47.25">
      <c r="A212" s="22" t="s">
        <v>199</v>
      </c>
      <c r="B212" s="23" t="s">
        <v>106</v>
      </c>
      <c r="C212" s="4"/>
      <c r="D212" s="24">
        <f>D217</f>
        <v>0</v>
      </c>
      <c r="E212" s="5"/>
      <c r="F212" s="24">
        <f>F213+F214+F215</f>
        <v>0</v>
      </c>
      <c r="G212" s="24">
        <f t="shared" si="12"/>
        <v>0</v>
      </c>
      <c r="H212" s="47"/>
      <c r="I212" s="46"/>
    </row>
    <row r="213" spans="1:9" s="20" customFormat="1" ht="47.25">
      <c r="A213" s="18" t="s">
        <v>211</v>
      </c>
      <c r="B213" s="4" t="s">
        <v>212</v>
      </c>
      <c r="C213" s="4"/>
      <c r="D213" s="17"/>
      <c r="E213" s="4" t="s">
        <v>302</v>
      </c>
      <c r="F213" s="17">
        <v>0</v>
      </c>
      <c r="G213" s="17">
        <f t="shared" si="12"/>
        <v>0</v>
      </c>
      <c r="I213" s="46"/>
    </row>
    <row r="214" spans="1:9" s="20" customFormat="1" ht="63">
      <c r="A214" s="18" t="s">
        <v>132</v>
      </c>
      <c r="B214" s="4" t="s">
        <v>133</v>
      </c>
      <c r="C214" s="4"/>
      <c r="D214" s="5"/>
      <c r="E214" s="4" t="s">
        <v>372</v>
      </c>
      <c r="F214" s="12">
        <v>0</v>
      </c>
      <c r="G214" s="17">
        <f t="shared" si="12"/>
        <v>0</v>
      </c>
      <c r="I214" s="46"/>
    </row>
    <row r="215" spans="1:9" s="20" customFormat="1" ht="79.5" customHeight="1">
      <c r="A215" s="18" t="s">
        <v>147</v>
      </c>
      <c r="B215" s="4" t="s">
        <v>148</v>
      </c>
      <c r="C215" s="4"/>
      <c r="D215" s="5"/>
      <c r="E215" s="4" t="s">
        <v>372</v>
      </c>
      <c r="F215" s="19">
        <v>0</v>
      </c>
      <c r="G215" s="17">
        <f t="shared" si="12"/>
        <v>0</v>
      </c>
      <c r="I215" s="46"/>
    </row>
    <row r="216" spans="1:9" s="20" customFormat="1" ht="78.75" hidden="1">
      <c r="A216" s="18" t="s">
        <v>136</v>
      </c>
      <c r="B216" s="4" t="s">
        <v>270</v>
      </c>
      <c r="C216" s="4"/>
      <c r="D216" s="17"/>
      <c r="E216" s="4" t="s">
        <v>371</v>
      </c>
      <c r="F216" s="19">
        <v>0</v>
      </c>
      <c r="G216" s="24">
        <f t="shared" si="12"/>
        <v>0</v>
      </c>
      <c r="I216" s="46"/>
    </row>
    <row r="217" spans="1:9" s="20" customFormat="1" ht="53.25" customHeight="1">
      <c r="A217" s="18" t="s">
        <v>125</v>
      </c>
      <c r="B217" s="4" t="s">
        <v>140</v>
      </c>
      <c r="C217" s="4" t="s">
        <v>307</v>
      </c>
      <c r="D217" s="17">
        <v>0</v>
      </c>
      <c r="E217" s="4"/>
      <c r="F217" s="19"/>
      <c r="G217" s="17">
        <f t="shared" si="12"/>
        <v>0</v>
      </c>
      <c r="I217" s="46"/>
    </row>
    <row r="218" spans="1:9" s="20" customFormat="1" ht="46.5" customHeight="1">
      <c r="A218" s="22" t="s">
        <v>198</v>
      </c>
      <c r="B218" s="23" t="s">
        <v>85</v>
      </c>
      <c r="C218" s="4"/>
      <c r="D218" s="24">
        <f>D220+D221+D223</f>
        <v>0</v>
      </c>
      <c r="E218" s="5"/>
      <c r="F218" s="27"/>
      <c r="G218" s="28">
        <f t="shared" si="12"/>
        <v>0</v>
      </c>
      <c r="I218" s="46"/>
    </row>
    <row r="219" spans="1:9" s="20" customFormat="1" ht="46.5" customHeight="1" hidden="1">
      <c r="A219" s="26" t="s">
        <v>211</v>
      </c>
      <c r="B219" s="4" t="s">
        <v>212</v>
      </c>
      <c r="C219" s="4" t="s">
        <v>231</v>
      </c>
      <c r="D219" s="21"/>
      <c r="E219" s="5"/>
      <c r="F219" s="19"/>
      <c r="G219" s="28">
        <f t="shared" si="12"/>
        <v>0</v>
      </c>
      <c r="I219" s="46"/>
    </row>
    <row r="220" spans="1:9" s="20" customFormat="1" ht="70.5" customHeight="1">
      <c r="A220" s="18" t="s">
        <v>211</v>
      </c>
      <c r="B220" s="4" t="s">
        <v>212</v>
      </c>
      <c r="C220" s="4" t="s">
        <v>382</v>
      </c>
      <c r="D220" s="21">
        <v>0</v>
      </c>
      <c r="E220" s="5"/>
      <c r="F220" s="19"/>
      <c r="G220" s="19">
        <f t="shared" si="12"/>
        <v>0</v>
      </c>
      <c r="I220" s="46"/>
    </row>
    <row r="221" spans="1:9" s="20" customFormat="1" ht="15.75">
      <c r="A221" s="26">
        <v>230000</v>
      </c>
      <c r="B221" s="4" t="s">
        <v>240</v>
      </c>
      <c r="C221" s="239" t="s">
        <v>411</v>
      </c>
      <c r="D221" s="21">
        <v>0</v>
      </c>
      <c r="E221" s="5"/>
      <c r="F221" s="27"/>
      <c r="G221" s="19">
        <f t="shared" si="12"/>
        <v>0</v>
      </c>
      <c r="I221" s="46"/>
    </row>
    <row r="222" spans="1:9" s="20" customFormat="1" ht="48" customHeight="1" hidden="1">
      <c r="A222" s="26">
        <v>210105</v>
      </c>
      <c r="B222" s="4"/>
      <c r="C222" s="239"/>
      <c r="D222" s="21">
        <v>0</v>
      </c>
      <c r="E222" s="5"/>
      <c r="F222" s="19">
        <v>0</v>
      </c>
      <c r="G222" s="19">
        <f t="shared" si="12"/>
        <v>0</v>
      </c>
      <c r="I222" s="46"/>
    </row>
    <row r="223" spans="1:9" s="20" customFormat="1" ht="33" customHeight="1">
      <c r="A223" s="18" t="s">
        <v>125</v>
      </c>
      <c r="B223" s="4" t="s">
        <v>140</v>
      </c>
      <c r="C223" s="239"/>
      <c r="D223" s="17">
        <v>0</v>
      </c>
      <c r="E223" s="4"/>
      <c r="F223" s="9"/>
      <c r="G223" s="19">
        <f t="shared" si="12"/>
        <v>0</v>
      </c>
      <c r="I223" s="46"/>
    </row>
    <row r="224" spans="1:9" s="20" customFormat="1" ht="47.25">
      <c r="A224" s="22" t="s">
        <v>239</v>
      </c>
      <c r="B224" s="23" t="s">
        <v>85</v>
      </c>
      <c r="C224" s="4"/>
      <c r="D224" s="32">
        <v>0</v>
      </c>
      <c r="E224" s="4"/>
      <c r="F224" s="24">
        <f>F226+F227</f>
        <v>0</v>
      </c>
      <c r="G224" s="24">
        <f t="shared" si="12"/>
        <v>0</v>
      </c>
      <c r="H224" s="47"/>
      <c r="I224" s="46"/>
    </row>
    <row r="225" spans="1:9" s="20" customFormat="1" ht="45" customHeight="1" hidden="1">
      <c r="A225" s="18" t="s">
        <v>149</v>
      </c>
      <c r="B225" s="4" t="s">
        <v>241</v>
      </c>
      <c r="C225" s="4"/>
      <c r="D225" s="5"/>
      <c r="E225" s="4" t="s">
        <v>249</v>
      </c>
      <c r="F225" s="12">
        <v>0</v>
      </c>
      <c r="G225" s="9">
        <v>0</v>
      </c>
      <c r="I225" s="46"/>
    </row>
    <row r="226" spans="1:9" s="20" customFormat="1" ht="51.75" customHeight="1">
      <c r="A226" s="248">
        <v>250380</v>
      </c>
      <c r="B226" s="241" t="s">
        <v>389</v>
      </c>
      <c r="C226" s="4"/>
      <c r="D226" s="5"/>
      <c r="E226" s="4" t="s">
        <v>370</v>
      </c>
      <c r="F226" s="19">
        <v>0</v>
      </c>
      <c r="G226" s="19">
        <f>F226</f>
        <v>0</v>
      </c>
      <c r="I226" s="46"/>
    </row>
    <row r="227" spans="1:9" s="20" customFormat="1" ht="51.75" customHeight="1">
      <c r="A227" s="249"/>
      <c r="B227" s="242"/>
      <c r="C227" s="4"/>
      <c r="D227" s="5"/>
      <c r="E227" s="4" t="s">
        <v>392</v>
      </c>
      <c r="F227" s="19">
        <v>0</v>
      </c>
      <c r="G227" s="19">
        <f>F227</f>
        <v>0</v>
      </c>
      <c r="I227" s="46"/>
    </row>
    <row r="228" spans="1:9" s="20" customFormat="1" ht="47.25">
      <c r="A228" s="22" t="s">
        <v>180</v>
      </c>
      <c r="B228" s="23" t="s">
        <v>88</v>
      </c>
      <c r="C228" s="4"/>
      <c r="D228" s="24">
        <f>D232+D235+D236+D237+D238+D241+D242</f>
        <v>0</v>
      </c>
      <c r="E228" s="4"/>
      <c r="F228" s="24">
        <f>F231+F234</f>
        <v>0</v>
      </c>
      <c r="G228" s="24">
        <f>D228+F228</f>
        <v>0</v>
      </c>
      <c r="H228" s="47"/>
      <c r="I228" s="46"/>
    </row>
    <row r="229" spans="1:9" s="20" customFormat="1" ht="49.5" customHeight="1" hidden="1">
      <c r="A229" s="18" t="s">
        <v>211</v>
      </c>
      <c r="B229" s="4" t="s">
        <v>212</v>
      </c>
      <c r="C229" s="4" t="s">
        <v>217</v>
      </c>
      <c r="D229" s="17"/>
      <c r="E229" s="4" t="s">
        <v>217</v>
      </c>
      <c r="F229" s="19"/>
      <c r="G229" s="9">
        <v>0</v>
      </c>
      <c r="I229" s="46"/>
    </row>
    <row r="230" spans="1:9" s="20" customFormat="1" ht="72" customHeight="1" hidden="1">
      <c r="A230" s="238" t="s">
        <v>211</v>
      </c>
      <c r="B230" s="239" t="s">
        <v>212</v>
      </c>
      <c r="C230" s="4" t="s">
        <v>382</v>
      </c>
      <c r="D230" s="17">
        <v>0</v>
      </c>
      <c r="E230" s="4"/>
      <c r="F230" s="19"/>
      <c r="G230" s="19">
        <v>0</v>
      </c>
      <c r="I230" s="46"/>
    </row>
    <row r="231" spans="1:9" s="20" customFormat="1" ht="63" customHeight="1">
      <c r="A231" s="238"/>
      <c r="B231" s="239"/>
      <c r="C231" s="4"/>
      <c r="D231" s="17"/>
      <c r="E231" s="4" t="s">
        <v>367</v>
      </c>
      <c r="F231" s="19">
        <v>0</v>
      </c>
      <c r="G231" s="19">
        <f>F231</f>
        <v>0</v>
      </c>
      <c r="I231" s="46"/>
    </row>
    <row r="232" spans="1:9" s="20" customFormat="1" ht="47.25" customHeight="1">
      <c r="A232" s="18" t="s">
        <v>142</v>
      </c>
      <c r="B232" s="4" t="s">
        <v>143</v>
      </c>
      <c r="C232" s="4" t="s">
        <v>370</v>
      </c>
      <c r="D232" s="17">
        <v>0</v>
      </c>
      <c r="E232" s="4"/>
      <c r="F232" s="19"/>
      <c r="G232" s="19">
        <f>D232</f>
        <v>0</v>
      </c>
      <c r="I232" s="46"/>
    </row>
    <row r="233" spans="1:9" s="20" customFormat="1" ht="42.75" customHeight="1" hidden="1">
      <c r="A233" s="18" t="s">
        <v>132</v>
      </c>
      <c r="B233" s="4" t="s">
        <v>133</v>
      </c>
      <c r="C233" s="4"/>
      <c r="D233" s="17"/>
      <c r="E233" s="4" t="s">
        <v>245</v>
      </c>
      <c r="F233" s="19">
        <v>0</v>
      </c>
      <c r="G233" s="9">
        <v>0</v>
      </c>
      <c r="I233" s="46"/>
    </row>
    <row r="234" spans="1:9" s="20" customFormat="1" ht="95.25" customHeight="1">
      <c r="A234" s="18" t="s">
        <v>119</v>
      </c>
      <c r="B234" s="4" t="s">
        <v>272</v>
      </c>
      <c r="C234" s="4"/>
      <c r="D234" s="17"/>
      <c r="E234" s="4" t="s">
        <v>380</v>
      </c>
      <c r="F234" s="19">
        <v>0</v>
      </c>
      <c r="G234" s="19">
        <f>F234</f>
        <v>0</v>
      </c>
      <c r="I234" s="46"/>
    </row>
    <row r="235" spans="1:9" s="20" customFormat="1" ht="47.25">
      <c r="A235" s="238" t="s">
        <v>125</v>
      </c>
      <c r="B235" s="239" t="s">
        <v>140</v>
      </c>
      <c r="C235" s="4" t="s">
        <v>304</v>
      </c>
      <c r="D235" s="17">
        <v>0</v>
      </c>
      <c r="E235" s="4"/>
      <c r="F235" s="9"/>
      <c r="G235" s="19">
        <f>D235</f>
        <v>0</v>
      </c>
      <c r="I235" s="46"/>
    </row>
    <row r="236" spans="1:9" s="20" customFormat="1" ht="47.25">
      <c r="A236" s="238"/>
      <c r="B236" s="239"/>
      <c r="C236" s="4" t="s">
        <v>370</v>
      </c>
      <c r="D236" s="17">
        <v>0</v>
      </c>
      <c r="E236" s="4"/>
      <c r="F236" s="9"/>
      <c r="G236" s="19">
        <f aca="true" t="shared" si="13" ref="G236:G242">D236</f>
        <v>0</v>
      </c>
      <c r="I236" s="46"/>
    </row>
    <row r="237" spans="1:9" s="20" customFormat="1" ht="63">
      <c r="A237" s="238"/>
      <c r="B237" s="239"/>
      <c r="C237" s="4" t="s">
        <v>308</v>
      </c>
      <c r="D237" s="17">
        <v>0</v>
      </c>
      <c r="E237" s="4"/>
      <c r="F237" s="9"/>
      <c r="G237" s="19">
        <f t="shared" si="13"/>
        <v>0</v>
      </c>
      <c r="I237" s="46"/>
    </row>
    <row r="238" spans="1:9" s="20" customFormat="1" ht="47.25">
      <c r="A238" s="238"/>
      <c r="B238" s="239"/>
      <c r="C238" s="4" t="s">
        <v>313</v>
      </c>
      <c r="D238" s="17">
        <v>0</v>
      </c>
      <c r="E238" s="4"/>
      <c r="F238" s="9"/>
      <c r="G238" s="19">
        <f t="shared" si="13"/>
        <v>0</v>
      </c>
      <c r="I238" s="46"/>
    </row>
    <row r="239" spans="1:9" s="20" customFormat="1" ht="45.75" customHeight="1" hidden="1">
      <c r="A239" s="238"/>
      <c r="B239" s="239"/>
      <c r="C239" s="4"/>
      <c r="D239" s="5"/>
      <c r="E239" s="4"/>
      <c r="F239" s="9"/>
      <c r="G239" s="19">
        <f t="shared" si="13"/>
        <v>0</v>
      </c>
      <c r="I239" s="46"/>
    </row>
    <row r="240" spans="1:9" s="20" customFormat="1" ht="56.25" customHeight="1" hidden="1">
      <c r="A240" s="238"/>
      <c r="B240" s="239"/>
      <c r="C240" s="4"/>
      <c r="D240" s="5"/>
      <c r="E240" s="4"/>
      <c r="F240" s="9"/>
      <c r="G240" s="19">
        <f t="shared" si="13"/>
        <v>0</v>
      </c>
      <c r="I240" s="46"/>
    </row>
    <row r="241" spans="1:9" s="20" customFormat="1" ht="63">
      <c r="A241" s="238"/>
      <c r="B241" s="239"/>
      <c r="C241" s="4" t="s">
        <v>373</v>
      </c>
      <c r="D241" s="17">
        <v>0</v>
      </c>
      <c r="E241" s="4"/>
      <c r="F241" s="9"/>
      <c r="G241" s="19">
        <f t="shared" si="13"/>
        <v>0</v>
      </c>
      <c r="I241" s="46"/>
    </row>
    <row r="242" spans="1:9" s="20" customFormat="1" ht="63.75" customHeight="1">
      <c r="A242" s="238"/>
      <c r="B242" s="239"/>
      <c r="C242" s="4" t="s">
        <v>382</v>
      </c>
      <c r="D242" s="17">
        <v>0</v>
      </c>
      <c r="E242" s="4"/>
      <c r="F242" s="9"/>
      <c r="G242" s="19">
        <f t="shared" si="13"/>
        <v>0</v>
      </c>
      <c r="I242" s="46"/>
    </row>
    <row r="243" spans="1:9" s="20" customFormat="1" ht="47.25">
      <c r="A243" s="22" t="s">
        <v>181</v>
      </c>
      <c r="B243" s="23" t="s">
        <v>91</v>
      </c>
      <c r="C243" s="4"/>
      <c r="D243" s="24">
        <f>D245+D249+D251+D252+D253+D254</f>
        <v>0</v>
      </c>
      <c r="E243" s="23"/>
      <c r="F243" s="24">
        <f>F244+F245+F246+F248</f>
        <v>0</v>
      </c>
      <c r="G243" s="24">
        <f>D243+F243</f>
        <v>0</v>
      </c>
      <c r="H243" s="47"/>
      <c r="I243" s="46"/>
    </row>
    <row r="244" spans="1:9" s="20" customFormat="1" ht="43.5" customHeight="1">
      <c r="A244" s="18" t="s">
        <v>211</v>
      </c>
      <c r="B244" s="4" t="s">
        <v>212</v>
      </c>
      <c r="C244" s="4"/>
      <c r="D244" s="17"/>
      <c r="E244" s="4" t="s">
        <v>367</v>
      </c>
      <c r="F244" s="19">
        <v>0</v>
      </c>
      <c r="G244" s="19">
        <f>F244</f>
        <v>0</v>
      </c>
      <c r="I244" s="46"/>
    </row>
    <row r="245" spans="1:9" s="20" customFormat="1" ht="50.25" customHeight="1">
      <c r="A245" s="238" t="s">
        <v>142</v>
      </c>
      <c r="B245" s="239" t="s">
        <v>143</v>
      </c>
      <c r="C245" s="4" t="s">
        <v>370</v>
      </c>
      <c r="D245" s="17">
        <v>0</v>
      </c>
      <c r="E245" s="4" t="s">
        <v>370</v>
      </c>
      <c r="F245" s="19">
        <v>0</v>
      </c>
      <c r="G245" s="19">
        <f>D245+F245</f>
        <v>0</v>
      </c>
      <c r="I245" s="46"/>
    </row>
    <row r="246" spans="1:9" s="20" customFormat="1" ht="47.25">
      <c r="A246" s="238"/>
      <c r="B246" s="239"/>
      <c r="C246" s="4"/>
      <c r="D246" s="17"/>
      <c r="E246" s="35" t="s">
        <v>315</v>
      </c>
      <c r="F246" s="39">
        <v>0</v>
      </c>
      <c r="G246" s="39">
        <f>F246</f>
        <v>0</v>
      </c>
      <c r="I246" s="46"/>
    </row>
    <row r="247" spans="1:9" s="20" customFormat="1" ht="21.75" customHeight="1" hidden="1">
      <c r="A247" s="18" t="s">
        <v>132</v>
      </c>
      <c r="B247" s="4" t="s">
        <v>133</v>
      </c>
      <c r="C247" s="4"/>
      <c r="D247" s="17"/>
      <c r="E247" s="4"/>
      <c r="F247" s="19"/>
      <c r="G247" s="19">
        <v>0</v>
      </c>
      <c r="I247" s="46"/>
    </row>
    <row r="248" spans="1:9" s="20" customFormat="1" ht="99.75" customHeight="1">
      <c r="A248" s="18" t="s">
        <v>119</v>
      </c>
      <c r="B248" s="4" t="s">
        <v>272</v>
      </c>
      <c r="C248" s="4"/>
      <c r="D248" s="17"/>
      <c r="E248" s="4" t="s">
        <v>380</v>
      </c>
      <c r="F248" s="19">
        <v>0</v>
      </c>
      <c r="G248" s="19">
        <f>F248</f>
        <v>0</v>
      </c>
      <c r="I248" s="46"/>
    </row>
    <row r="249" spans="1:9" s="20" customFormat="1" ht="47.25">
      <c r="A249" s="238" t="s">
        <v>125</v>
      </c>
      <c r="B249" s="239" t="s">
        <v>140</v>
      </c>
      <c r="C249" s="4" t="s">
        <v>304</v>
      </c>
      <c r="D249" s="17">
        <v>0</v>
      </c>
      <c r="E249" s="4"/>
      <c r="F249" s="9"/>
      <c r="G249" s="19">
        <f aca="true" t="shared" si="14" ref="G249:G254">D249</f>
        <v>0</v>
      </c>
      <c r="I249" s="46"/>
    </row>
    <row r="250" spans="1:9" s="20" customFormat="1" ht="34.5" customHeight="1" hidden="1">
      <c r="A250" s="238"/>
      <c r="B250" s="239"/>
      <c r="C250" s="4"/>
      <c r="D250" s="17"/>
      <c r="E250" s="4"/>
      <c r="F250" s="9"/>
      <c r="G250" s="19">
        <f t="shared" si="14"/>
        <v>0</v>
      </c>
      <c r="I250" s="46"/>
    </row>
    <row r="251" spans="1:9" s="20" customFormat="1" ht="63">
      <c r="A251" s="238"/>
      <c r="B251" s="239"/>
      <c r="C251" s="4" t="s">
        <v>308</v>
      </c>
      <c r="D251" s="17">
        <v>0</v>
      </c>
      <c r="E251" s="4"/>
      <c r="F251" s="9"/>
      <c r="G251" s="19">
        <f t="shared" si="14"/>
        <v>0</v>
      </c>
      <c r="I251" s="46"/>
    </row>
    <row r="252" spans="1:9" s="20" customFormat="1" ht="47.25">
      <c r="A252" s="238"/>
      <c r="B252" s="239"/>
      <c r="C252" s="4" t="s">
        <v>313</v>
      </c>
      <c r="D252" s="17">
        <v>0</v>
      </c>
      <c r="E252" s="4"/>
      <c r="F252" s="9"/>
      <c r="G252" s="19">
        <f t="shared" si="14"/>
        <v>0</v>
      </c>
      <c r="I252" s="46"/>
    </row>
    <row r="253" spans="1:9" s="20" customFormat="1" ht="47.25">
      <c r="A253" s="238"/>
      <c r="B253" s="239"/>
      <c r="C253" s="4" t="s">
        <v>370</v>
      </c>
      <c r="D253" s="17">
        <v>0</v>
      </c>
      <c r="E253" s="4"/>
      <c r="F253" s="9"/>
      <c r="G253" s="19">
        <f t="shared" si="14"/>
        <v>0</v>
      </c>
      <c r="I253" s="46"/>
    </row>
    <row r="254" spans="1:9" s="20" customFormat="1" ht="63">
      <c r="A254" s="238"/>
      <c r="B254" s="239"/>
      <c r="C254" s="4" t="s">
        <v>373</v>
      </c>
      <c r="D254" s="17">
        <v>0</v>
      </c>
      <c r="E254" s="4"/>
      <c r="F254" s="9"/>
      <c r="G254" s="19">
        <f t="shared" si="14"/>
        <v>0</v>
      </c>
      <c r="I254" s="46"/>
    </row>
    <row r="255" spans="1:9" s="20" customFormat="1" ht="47.25">
      <c r="A255" s="22" t="s">
        <v>182</v>
      </c>
      <c r="B255" s="23" t="s">
        <v>92</v>
      </c>
      <c r="C255" s="4"/>
      <c r="D255" s="24">
        <f>D257+D260+D261+D262+D263+D265+D266</f>
        <v>0</v>
      </c>
      <c r="E255" s="23"/>
      <c r="F255" s="24">
        <f>F256+F257+F258+F259</f>
        <v>0</v>
      </c>
      <c r="G255" s="24">
        <f>D255+F255</f>
        <v>0</v>
      </c>
      <c r="H255" s="47"/>
      <c r="I255" s="46"/>
    </row>
    <row r="256" spans="1:9" s="20" customFormat="1" ht="52.5" customHeight="1">
      <c r="A256" s="18" t="s">
        <v>211</v>
      </c>
      <c r="B256" s="4" t="s">
        <v>212</v>
      </c>
      <c r="C256" s="4"/>
      <c r="D256" s="17"/>
      <c r="E256" s="4" t="s">
        <v>367</v>
      </c>
      <c r="F256" s="19">
        <v>0</v>
      </c>
      <c r="G256" s="19">
        <f>F256</f>
        <v>0</v>
      </c>
      <c r="I256" s="46"/>
    </row>
    <row r="257" spans="1:9" s="20" customFormat="1" ht="56.25" customHeight="1">
      <c r="A257" s="18" t="s">
        <v>142</v>
      </c>
      <c r="B257" s="4" t="s">
        <v>143</v>
      </c>
      <c r="C257" s="4" t="s">
        <v>370</v>
      </c>
      <c r="D257" s="17">
        <v>0</v>
      </c>
      <c r="E257" s="4" t="s">
        <v>370</v>
      </c>
      <c r="F257" s="19">
        <v>0</v>
      </c>
      <c r="G257" s="19">
        <f>D257+F257</f>
        <v>0</v>
      </c>
      <c r="I257" s="46"/>
    </row>
    <row r="258" spans="1:9" s="20" customFormat="1" ht="47.25">
      <c r="A258" s="18" t="s">
        <v>132</v>
      </c>
      <c r="B258" s="4" t="s">
        <v>133</v>
      </c>
      <c r="C258" s="4"/>
      <c r="D258" s="17"/>
      <c r="E258" s="4" t="s">
        <v>370</v>
      </c>
      <c r="F258" s="19">
        <v>0</v>
      </c>
      <c r="G258" s="19">
        <f>F258</f>
        <v>0</v>
      </c>
      <c r="I258" s="46"/>
    </row>
    <row r="259" spans="1:9" s="20" customFormat="1" ht="99.75" customHeight="1">
      <c r="A259" s="18" t="s">
        <v>119</v>
      </c>
      <c r="B259" s="4" t="s">
        <v>272</v>
      </c>
      <c r="C259" s="4"/>
      <c r="D259" s="17"/>
      <c r="E259" s="4" t="s">
        <v>380</v>
      </c>
      <c r="F259" s="19">
        <v>0</v>
      </c>
      <c r="G259" s="19">
        <f>F259</f>
        <v>0</v>
      </c>
      <c r="I259" s="46"/>
    </row>
    <row r="260" spans="1:9" s="20" customFormat="1" ht="47.25">
      <c r="A260" s="238" t="s">
        <v>125</v>
      </c>
      <c r="B260" s="239" t="s">
        <v>140</v>
      </c>
      <c r="C260" s="4" t="s">
        <v>304</v>
      </c>
      <c r="D260" s="17">
        <v>0</v>
      </c>
      <c r="E260" s="4"/>
      <c r="F260" s="9"/>
      <c r="G260" s="19">
        <f>D260</f>
        <v>0</v>
      </c>
      <c r="I260" s="46"/>
    </row>
    <row r="261" spans="1:9" s="20" customFormat="1" ht="47.25">
      <c r="A261" s="238"/>
      <c r="B261" s="239"/>
      <c r="C261" s="4" t="s">
        <v>370</v>
      </c>
      <c r="D261" s="17">
        <v>0</v>
      </c>
      <c r="E261" s="4"/>
      <c r="F261" s="9"/>
      <c r="G261" s="19">
        <f aca="true" t="shared" si="15" ref="G261:G266">D261</f>
        <v>0</v>
      </c>
      <c r="I261" s="46"/>
    </row>
    <row r="262" spans="1:9" s="20" customFormat="1" ht="63">
      <c r="A262" s="238"/>
      <c r="B262" s="239"/>
      <c r="C262" s="4" t="s">
        <v>308</v>
      </c>
      <c r="D262" s="17">
        <v>0</v>
      </c>
      <c r="E262" s="4"/>
      <c r="F262" s="9"/>
      <c r="G262" s="19">
        <f t="shared" si="15"/>
        <v>0</v>
      </c>
      <c r="I262" s="46"/>
    </row>
    <row r="263" spans="1:9" s="20" customFormat="1" ht="47.25">
      <c r="A263" s="238"/>
      <c r="B263" s="239"/>
      <c r="C263" s="4" t="s">
        <v>313</v>
      </c>
      <c r="D263" s="17">
        <v>0</v>
      </c>
      <c r="E263" s="4"/>
      <c r="F263" s="9"/>
      <c r="G263" s="19">
        <f t="shared" si="15"/>
        <v>0</v>
      </c>
      <c r="I263" s="46"/>
    </row>
    <row r="264" spans="1:9" s="20" customFormat="1" ht="21.75" customHeight="1" hidden="1">
      <c r="A264" s="238"/>
      <c r="B264" s="239"/>
      <c r="C264" s="4"/>
      <c r="D264" s="5"/>
      <c r="E264" s="4"/>
      <c r="F264" s="9"/>
      <c r="G264" s="19">
        <f t="shared" si="15"/>
        <v>0</v>
      </c>
      <c r="I264" s="46"/>
    </row>
    <row r="265" spans="1:9" s="20" customFormat="1" ht="63">
      <c r="A265" s="238"/>
      <c r="B265" s="239"/>
      <c r="C265" s="4" t="s">
        <v>373</v>
      </c>
      <c r="D265" s="17">
        <v>0</v>
      </c>
      <c r="E265" s="4"/>
      <c r="F265" s="9"/>
      <c r="G265" s="19">
        <f t="shared" si="15"/>
        <v>0</v>
      </c>
      <c r="I265" s="46"/>
    </row>
    <row r="266" spans="1:9" s="20" customFormat="1" ht="66.75" customHeight="1">
      <c r="A266" s="238"/>
      <c r="B266" s="239"/>
      <c r="C266" s="4" t="s">
        <v>382</v>
      </c>
      <c r="D266" s="17">
        <v>0</v>
      </c>
      <c r="E266" s="4"/>
      <c r="F266" s="9"/>
      <c r="G266" s="19">
        <f t="shared" si="15"/>
        <v>0</v>
      </c>
      <c r="I266" s="46"/>
    </row>
    <row r="267" spans="1:9" s="20" customFormat="1" ht="47.25">
      <c r="A267" s="22" t="s">
        <v>183</v>
      </c>
      <c r="B267" s="23" t="s">
        <v>93</v>
      </c>
      <c r="C267" s="4"/>
      <c r="D267" s="24">
        <f>D269+D271+D272+D273+D274+D275+D276</f>
        <v>0</v>
      </c>
      <c r="E267" s="23"/>
      <c r="F267" s="24">
        <f>F268+F269+F270</f>
        <v>0</v>
      </c>
      <c r="G267" s="28">
        <f>D267+F267</f>
        <v>0</v>
      </c>
      <c r="H267" s="48"/>
      <c r="I267" s="46"/>
    </row>
    <row r="268" spans="1:9" s="20" customFormat="1" ht="47.25">
      <c r="A268" s="18" t="s">
        <v>211</v>
      </c>
      <c r="B268" s="4" t="s">
        <v>212</v>
      </c>
      <c r="C268" s="4"/>
      <c r="D268" s="17"/>
      <c r="E268" s="4" t="s">
        <v>367</v>
      </c>
      <c r="F268" s="19">
        <v>0</v>
      </c>
      <c r="G268" s="19">
        <f>F268</f>
        <v>0</v>
      </c>
      <c r="H268" s="33"/>
      <c r="I268" s="46"/>
    </row>
    <row r="269" spans="1:9" s="20" customFormat="1" ht="66" customHeight="1">
      <c r="A269" s="18" t="s">
        <v>142</v>
      </c>
      <c r="B269" s="4" t="s">
        <v>143</v>
      </c>
      <c r="C269" s="4" t="s">
        <v>370</v>
      </c>
      <c r="D269" s="17">
        <v>0</v>
      </c>
      <c r="E269" s="4" t="s">
        <v>370</v>
      </c>
      <c r="F269" s="19">
        <v>0</v>
      </c>
      <c r="G269" s="19">
        <f>D269+F269</f>
        <v>0</v>
      </c>
      <c r="I269" s="46"/>
    </row>
    <row r="270" spans="1:9" s="20" customFormat="1" ht="55.5" customHeight="1">
      <c r="A270" s="18" t="s">
        <v>132</v>
      </c>
      <c r="B270" s="4" t="s">
        <v>133</v>
      </c>
      <c r="C270" s="4"/>
      <c r="D270" s="17"/>
      <c r="E270" s="4" t="s">
        <v>370</v>
      </c>
      <c r="F270" s="19">
        <v>0</v>
      </c>
      <c r="G270" s="19">
        <f>F270</f>
        <v>0</v>
      </c>
      <c r="I270" s="46"/>
    </row>
    <row r="271" spans="1:9" s="20" customFormat="1" ht="47.25">
      <c r="A271" s="238" t="s">
        <v>125</v>
      </c>
      <c r="B271" s="239" t="s">
        <v>140</v>
      </c>
      <c r="C271" s="4" t="s">
        <v>304</v>
      </c>
      <c r="D271" s="17">
        <v>0</v>
      </c>
      <c r="E271" s="4"/>
      <c r="F271" s="9"/>
      <c r="G271" s="19">
        <f aca="true" t="shared" si="16" ref="G271:G276">D271</f>
        <v>0</v>
      </c>
      <c r="I271" s="46"/>
    </row>
    <row r="272" spans="1:9" s="20" customFormat="1" ht="47.25">
      <c r="A272" s="238"/>
      <c r="B272" s="239"/>
      <c r="C272" s="4" t="s">
        <v>370</v>
      </c>
      <c r="D272" s="17">
        <v>0</v>
      </c>
      <c r="E272" s="4"/>
      <c r="F272" s="9"/>
      <c r="G272" s="19">
        <f t="shared" si="16"/>
        <v>0</v>
      </c>
      <c r="I272" s="46"/>
    </row>
    <row r="273" spans="1:9" s="20" customFormat="1" ht="63">
      <c r="A273" s="238"/>
      <c r="B273" s="239"/>
      <c r="C273" s="4" t="s">
        <v>308</v>
      </c>
      <c r="D273" s="17">
        <v>0</v>
      </c>
      <c r="E273" s="4"/>
      <c r="F273" s="9"/>
      <c r="G273" s="19">
        <f t="shared" si="16"/>
        <v>0</v>
      </c>
      <c r="I273" s="46"/>
    </row>
    <row r="274" spans="1:9" s="20" customFormat="1" ht="47.25">
      <c r="A274" s="238"/>
      <c r="B274" s="239"/>
      <c r="C274" s="4" t="s">
        <v>313</v>
      </c>
      <c r="D274" s="17">
        <v>0</v>
      </c>
      <c r="E274" s="4"/>
      <c r="F274" s="9"/>
      <c r="G274" s="19">
        <f t="shared" si="16"/>
        <v>0</v>
      </c>
      <c r="I274" s="46"/>
    </row>
    <row r="275" spans="1:9" s="20" customFormat="1" ht="63">
      <c r="A275" s="238"/>
      <c r="B275" s="239"/>
      <c r="C275" s="4" t="s">
        <v>373</v>
      </c>
      <c r="D275" s="17">
        <v>0</v>
      </c>
      <c r="E275" s="4"/>
      <c r="F275" s="9"/>
      <c r="G275" s="19">
        <f t="shared" si="16"/>
        <v>0</v>
      </c>
      <c r="I275" s="46"/>
    </row>
    <row r="276" spans="1:9" s="20" customFormat="1" ht="63.75" customHeight="1">
      <c r="A276" s="238"/>
      <c r="B276" s="239"/>
      <c r="C276" s="4" t="s">
        <v>382</v>
      </c>
      <c r="D276" s="17">
        <v>0</v>
      </c>
      <c r="E276" s="4"/>
      <c r="F276" s="9"/>
      <c r="G276" s="19">
        <f t="shared" si="16"/>
        <v>0</v>
      </c>
      <c r="I276" s="46"/>
    </row>
    <row r="277" spans="1:9" s="33" customFormat="1" ht="47.25">
      <c r="A277" s="22" t="s">
        <v>184</v>
      </c>
      <c r="B277" s="23" t="s">
        <v>94</v>
      </c>
      <c r="C277" s="23"/>
      <c r="D277" s="24">
        <f>D279+D281+D283+D285+D287+D288+D289+D290+D291+D292</f>
        <v>0</v>
      </c>
      <c r="E277" s="23"/>
      <c r="F277" s="24">
        <f>F280+F284</f>
        <v>0</v>
      </c>
      <c r="G277" s="24">
        <f>D277+F277</f>
        <v>0</v>
      </c>
      <c r="H277" s="48"/>
      <c r="I277" s="46"/>
    </row>
    <row r="278" spans="1:9" s="33" customFormat="1" ht="55.5" customHeight="1" hidden="1">
      <c r="A278" s="18" t="s">
        <v>211</v>
      </c>
      <c r="B278" s="4" t="s">
        <v>212</v>
      </c>
      <c r="C278" s="4" t="s">
        <v>218</v>
      </c>
      <c r="D278" s="17"/>
      <c r="E278" s="4" t="s">
        <v>218</v>
      </c>
      <c r="F278" s="19"/>
      <c r="G278" s="19">
        <v>0</v>
      </c>
      <c r="I278" s="46"/>
    </row>
    <row r="279" spans="1:9" s="33" customFormat="1" ht="69" customHeight="1">
      <c r="A279" s="243" t="s">
        <v>211</v>
      </c>
      <c r="B279" s="241" t="s">
        <v>212</v>
      </c>
      <c r="C279" s="4" t="s">
        <v>382</v>
      </c>
      <c r="D279" s="17">
        <v>0</v>
      </c>
      <c r="E279" s="4"/>
      <c r="F279" s="19"/>
      <c r="G279" s="19">
        <f>D279</f>
        <v>0</v>
      </c>
      <c r="I279" s="46"/>
    </row>
    <row r="280" spans="1:9" s="33" customFormat="1" ht="54.75" customHeight="1">
      <c r="A280" s="244"/>
      <c r="B280" s="242"/>
      <c r="C280" s="4"/>
      <c r="D280" s="17"/>
      <c r="E280" s="4" t="s">
        <v>367</v>
      </c>
      <c r="F280" s="19">
        <v>0</v>
      </c>
      <c r="G280" s="19">
        <f>F280</f>
        <v>0</v>
      </c>
      <c r="I280" s="46"/>
    </row>
    <row r="281" spans="1:9" s="20" customFormat="1" ht="49.5" customHeight="1">
      <c r="A281" s="238" t="s">
        <v>142</v>
      </c>
      <c r="B281" s="239" t="s">
        <v>143</v>
      </c>
      <c r="C281" s="4" t="s">
        <v>370</v>
      </c>
      <c r="D281" s="17">
        <v>0</v>
      </c>
      <c r="E281" s="4"/>
      <c r="F281" s="19"/>
      <c r="G281" s="19">
        <f>D281</f>
        <v>0</v>
      </c>
      <c r="I281" s="46"/>
    </row>
    <row r="282" spans="1:9" s="20" customFormat="1" ht="47.25" hidden="1">
      <c r="A282" s="238"/>
      <c r="B282" s="239"/>
      <c r="C282" s="4"/>
      <c r="D282" s="17"/>
      <c r="E282" s="35" t="s">
        <v>315</v>
      </c>
      <c r="F282" s="39">
        <v>0</v>
      </c>
      <c r="G282" s="39">
        <v>0</v>
      </c>
      <c r="I282" s="46"/>
    </row>
    <row r="283" spans="1:9" s="20" customFormat="1" ht="47.25">
      <c r="A283" s="18" t="s">
        <v>288</v>
      </c>
      <c r="B283" s="4" t="s">
        <v>140</v>
      </c>
      <c r="C283" s="4" t="s">
        <v>310</v>
      </c>
      <c r="D283" s="17">
        <v>0</v>
      </c>
      <c r="E283" s="4"/>
      <c r="F283" s="19"/>
      <c r="G283" s="19">
        <f>D283</f>
        <v>0</v>
      </c>
      <c r="I283" s="46"/>
    </row>
    <row r="284" spans="1:9" s="20" customFormat="1" ht="93.75" customHeight="1">
      <c r="A284" s="18" t="s">
        <v>119</v>
      </c>
      <c r="B284" s="4" t="s">
        <v>272</v>
      </c>
      <c r="C284" s="4"/>
      <c r="D284" s="17"/>
      <c r="E284" s="4" t="s">
        <v>380</v>
      </c>
      <c r="F284" s="19">
        <v>0</v>
      </c>
      <c r="G284" s="19">
        <f>F284</f>
        <v>0</v>
      </c>
      <c r="I284" s="46"/>
    </row>
    <row r="285" spans="1:9" s="20" customFormat="1" ht="47.25">
      <c r="A285" s="238" t="s">
        <v>125</v>
      </c>
      <c r="B285" s="239" t="s">
        <v>140</v>
      </c>
      <c r="C285" s="4" t="s">
        <v>304</v>
      </c>
      <c r="D285" s="17">
        <v>0</v>
      </c>
      <c r="E285" s="4"/>
      <c r="F285" s="9"/>
      <c r="G285" s="19">
        <f>D285</f>
        <v>0</v>
      </c>
      <c r="I285" s="46"/>
    </row>
    <row r="286" spans="1:9" s="20" customFormat="1" ht="21" customHeight="1" hidden="1">
      <c r="A286" s="238"/>
      <c r="B286" s="239"/>
      <c r="C286" s="4"/>
      <c r="D286" s="17"/>
      <c r="E286" s="4"/>
      <c r="F286" s="9"/>
      <c r="G286" s="19">
        <f aca="true" t="shared" si="17" ref="G286:G292">D286</f>
        <v>0</v>
      </c>
      <c r="I286" s="46"/>
    </row>
    <row r="287" spans="1:9" s="20" customFormat="1" ht="63">
      <c r="A287" s="238"/>
      <c r="B287" s="239"/>
      <c r="C287" s="4" t="s">
        <v>309</v>
      </c>
      <c r="D287" s="17">
        <v>0</v>
      </c>
      <c r="E287" s="4"/>
      <c r="F287" s="9"/>
      <c r="G287" s="19">
        <f t="shared" si="17"/>
        <v>0</v>
      </c>
      <c r="I287" s="46"/>
    </row>
    <row r="288" spans="1:9" s="20" customFormat="1" ht="63">
      <c r="A288" s="238"/>
      <c r="B288" s="239"/>
      <c r="C288" s="4" t="s">
        <v>308</v>
      </c>
      <c r="D288" s="17">
        <v>0</v>
      </c>
      <c r="E288" s="4"/>
      <c r="F288" s="9"/>
      <c r="G288" s="19">
        <f t="shared" si="17"/>
        <v>0</v>
      </c>
      <c r="I288" s="46"/>
    </row>
    <row r="289" spans="1:9" s="20" customFormat="1" ht="47.25">
      <c r="A289" s="238"/>
      <c r="B289" s="239"/>
      <c r="C289" s="4" t="s">
        <v>313</v>
      </c>
      <c r="D289" s="17">
        <v>0</v>
      </c>
      <c r="E289" s="4"/>
      <c r="F289" s="9"/>
      <c r="G289" s="19">
        <f t="shared" si="17"/>
        <v>0</v>
      </c>
      <c r="I289" s="46"/>
    </row>
    <row r="290" spans="1:9" s="20" customFormat="1" ht="63">
      <c r="A290" s="238"/>
      <c r="B290" s="239"/>
      <c r="C290" s="4" t="s">
        <v>373</v>
      </c>
      <c r="D290" s="17">
        <v>0</v>
      </c>
      <c r="E290" s="4"/>
      <c r="F290" s="9"/>
      <c r="G290" s="19">
        <f t="shared" si="17"/>
        <v>0</v>
      </c>
      <c r="I290" s="46"/>
    </row>
    <row r="291" spans="1:9" s="20" customFormat="1" ht="47.25">
      <c r="A291" s="238"/>
      <c r="B291" s="239"/>
      <c r="C291" s="4" t="s">
        <v>370</v>
      </c>
      <c r="D291" s="17">
        <v>0</v>
      </c>
      <c r="E291" s="4"/>
      <c r="F291" s="9"/>
      <c r="G291" s="19">
        <f t="shared" si="17"/>
        <v>0</v>
      </c>
      <c r="I291" s="46"/>
    </row>
    <row r="292" spans="1:9" s="20" customFormat="1" ht="65.25" customHeight="1">
      <c r="A292" s="238"/>
      <c r="B292" s="239"/>
      <c r="C292" s="4" t="s">
        <v>382</v>
      </c>
      <c r="D292" s="17">
        <v>0</v>
      </c>
      <c r="E292" s="4"/>
      <c r="F292" s="9"/>
      <c r="G292" s="19">
        <f t="shared" si="17"/>
        <v>0</v>
      </c>
      <c r="I292" s="46"/>
    </row>
    <row r="293" spans="1:9" s="33" customFormat="1" ht="47.25">
      <c r="A293" s="22" t="s">
        <v>185</v>
      </c>
      <c r="B293" s="23" t="s">
        <v>95</v>
      </c>
      <c r="C293" s="23"/>
      <c r="D293" s="24">
        <f>D296+D298+D300+D301+D302+D303+D304</f>
        <v>0</v>
      </c>
      <c r="E293" s="23"/>
      <c r="F293" s="24">
        <f>F294+F295+F296+F297</f>
        <v>0</v>
      </c>
      <c r="G293" s="28">
        <f>D293+F293</f>
        <v>0</v>
      </c>
      <c r="H293" s="48"/>
      <c r="I293" s="46"/>
    </row>
    <row r="294" spans="1:9" s="33" customFormat="1" ht="49.5" customHeight="1">
      <c r="A294" s="18" t="s">
        <v>211</v>
      </c>
      <c r="B294" s="4" t="s">
        <v>212</v>
      </c>
      <c r="C294" s="4"/>
      <c r="D294" s="17"/>
      <c r="E294" s="4" t="s">
        <v>367</v>
      </c>
      <c r="F294" s="19">
        <v>0</v>
      </c>
      <c r="G294" s="19">
        <f>F294</f>
        <v>0</v>
      </c>
      <c r="I294" s="46"/>
    </row>
    <row r="295" spans="1:9" s="33" customFormat="1" ht="49.5" customHeight="1">
      <c r="A295" s="18" t="s">
        <v>132</v>
      </c>
      <c r="B295" s="4" t="s">
        <v>133</v>
      </c>
      <c r="C295" s="4"/>
      <c r="D295" s="17"/>
      <c r="E295" s="4" t="s">
        <v>370</v>
      </c>
      <c r="F295" s="19">
        <v>0</v>
      </c>
      <c r="G295" s="19">
        <f>F295</f>
        <v>0</v>
      </c>
      <c r="I295" s="46"/>
    </row>
    <row r="296" spans="1:9" s="20" customFormat="1" ht="48" customHeight="1">
      <c r="A296" s="18" t="s">
        <v>142</v>
      </c>
      <c r="B296" s="4" t="s">
        <v>143</v>
      </c>
      <c r="C296" s="4" t="s">
        <v>370</v>
      </c>
      <c r="D296" s="17">
        <v>0</v>
      </c>
      <c r="E296" s="4" t="s">
        <v>370</v>
      </c>
      <c r="F296" s="19">
        <v>0</v>
      </c>
      <c r="G296" s="19">
        <f>D296+F296</f>
        <v>0</v>
      </c>
      <c r="I296" s="46"/>
    </row>
    <row r="297" spans="1:9" s="20" customFormat="1" ht="100.5" customHeight="1">
      <c r="A297" s="18" t="s">
        <v>119</v>
      </c>
      <c r="B297" s="4" t="s">
        <v>272</v>
      </c>
      <c r="C297" s="4"/>
      <c r="D297" s="17"/>
      <c r="E297" s="4" t="s">
        <v>380</v>
      </c>
      <c r="F297" s="19">
        <v>0</v>
      </c>
      <c r="G297" s="19">
        <f>F297</f>
        <v>0</v>
      </c>
      <c r="I297" s="46"/>
    </row>
    <row r="298" spans="1:9" s="20" customFormat="1" ht="47.25">
      <c r="A298" s="238" t="s">
        <v>125</v>
      </c>
      <c r="B298" s="239" t="s">
        <v>140</v>
      </c>
      <c r="C298" s="4" t="s">
        <v>304</v>
      </c>
      <c r="D298" s="17">
        <v>0</v>
      </c>
      <c r="E298" s="4"/>
      <c r="F298" s="9"/>
      <c r="G298" s="19">
        <f aca="true" t="shared" si="18" ref="G298:G304">D298</f>
        <v>0</v>
      </c>
      <c r="I298" s="46"/>
    </row>
    <row r="299" spans="1:9" s="20" customFormat="1" ht="30.75" customHeight="1" hidden="1">
      <c r="A299" s="238"/>
      <c r="B299" s="239"/>
      <c r="C299" s="4"/>
      <c r="D299" s="17"/>
      <c r="E299" s="4"/>
      <c r="F299" s="9"/>
      <c r="G299" s="19">
        <f t="shared" si="18"/>
        <v>0</v>
      </c>
      <c r="I299" s="46"/>
    </row>
    <row r="300" spans="1:9" s="20" customFormat="1" ht="63">
      <c r="A300" s="238"/>
      <c r="B300" s="239"/>
      <c r="C300" s="4" t="s">
        <v>308</v>
      </c>
      <c r="D300" s="17">
        <v>0</v>
      </c>
      <c r="E300" s="4"/>
      <c r="F300" s="9"/>
      <c r="G300" s="19">
        <f t="shared" si="18"/>
        <v>0</v>
      </c>
      <c r="I300" s="46"/>
    </row>
    <row r="301" spans="1:9" s="20" customFormat="1" ht="47.25">
      <c r="A301" s="238"/>
      <c r="B301" s="239"/>
      <c r="C301" s="4" t="s">
        <v>313</v>
      </c>
      <c r="D301" s="17">
        <v>0</v>
      </c>
      <c r="E301" s="4"/>
      <c r="F301" s="9"/>
      <c r="G301" s="19">
        <f t="shared" si="18"/>
        <v>0</v>
      </c>
      <c r="I301" s="46"/>
    </row>
    <row r="302" spans="1:9" s="20" customFormat="1" ht="63">
      <c r="A302" s="238"/>
      <c r="B302" s="239"/>
      <c r="C302" s="4" t="s">
        <v>373</v>
      </c>
      <c r="D302" s="17">
        <v>0</v>
      </c>
      <c r="E302" s="4"/>
      <c r="F302" s="9"/>
      <c r="G302" s="19">
        <f t="shared" si="18"/>
        <v>0</v>
      </c>
      <c r="I302" s="46"/>
    </row>
    <row r="303" spans="1:9" s="20" customFormat="1" ht="47.25">
      <c r="A303" s="238"/>
      <c r="B303" s="239"/>
      <c r="C303" s="4" t="s">
        <v>370</v>
      </c>
      <c r="D303" s="17">
        <v>0</v>
      </c>
      <c r="E303" s="4"/>
      <c r="F303" s="9"/>
      <c r="G303" s="19">
        <f t="shared" si="18"/>
        <v>0</v>
      </c>
      <c r="I303" s="46"/>
    </row>
    <row r="304" spans="1:9" s="20" customFormat="1" ht="69" customHeight="1">
      <c r="A304" s="238"/>
      <c r="B304" s="239"/>
      <c r="C304" s="4" t="s">
        <v>382</v>
      </c>
      <c r="D304" s="17">
        <v>0</v>
      </c>
      <c r="E304" s="4"/>
      <c r="F304" s="9"/>
      <c r="G304" s="19">
        <f t="shared" si="18"/>
        <v>0</v>
      </c>
      <c r="I304" s="46"/>
    </row>
    <row r="305" spans="1:9" s="20" customFormat="1" ht="46.5" customHeight="1">
      <c r="A305" s="22" t="s">
        <v>186</v>
      </c>
      <c r="B305" s="23" t="s">
        <v>96</v>
      </c>
      <c r="C305" s="4"/>
      <c r="D305" s="24">
        <f>D306+D308+D309+D311+D312+D314+D315+D316</f>
        <v>0</v>
      </c>
      <c r="E305" s="4"/>
      <c r="F305" s="24">
        <f>F307</f>
        <v>0</v>
      </c>
      <c r="G305" s="24">
        <f>D305+F305</f>
        <v>0</v>
      </c>
      <c r="H305" s="47"/>
      <c r="I305" s="46"/>
    </row>
    <row r="306" spans="1:9" s="20" customFormat="1" ht="67.5" customHeight="1">
      <c r="A306" s="238" t="s">
        <v>211</v>
      </c>
      <c r="B306" s="239" t="s">
        <v>212</v>
      </c>
      <c r="C306" s="4" t="s">
        <v>382</v>
      </c>
      <c r="D306" s="17">
        <v>0</v>
      </c>
      <c r="E306" s="4"/>
      <c r="F306" s="24"/>
      <c r="G306" s="19">
        <f>D306</f>
        <v>0</v>
      </c>
      <c r="H306" s="47"/>
      <c r="I306" s="46"/>
    </row>
    <row r="307" spans="1:9" s="20" customFormat="1" ht="64.5" customHeight="1">
      <c r="A307" s="238"/>
      <c r="B307" s="239"/>
      <c r="C307" s="4"/>
      <c r="D307" s="17"/>
      <c r="E307" s="4" t="s">
        <v>367</v>
      </c>
      <c r="F307" s="19">
        <v>0</v>
      </c>
      <c r="G307" s="19">
        <f>F307</f>
        <v>0</v>
      </c>
      <c r="I307" s="46"/>
    </row>
    <row r="308" spans="1:9" s="20" customFormat="1" ht="45.75" customHeight="1">
      <c r="A308" s="18" t="s">
        <v>142</v>
      </c>
      <c r="B308" s="4" t="s">
        <v>143</v>
      </c>
      <c r="C308" s="4" t="s">
        <v>370</v>
      </c>
      <c r="D308" s="17">
        <v>0</v>
      </c>
      <c r="E308" s="4"/>
      <c r="F308" s="19"/>
      <c r="G308" s="19">
        <f>D308</f>
        <v>0</v>
      </c>
      <c r="I308" s="46"/>
    </row>
    <row r="309" spans="1:9" s="20" customFormat="1" ht="47.25">
      <c r="A309" s="238" t="s">
        <v>125</v>
      </c>
      <c r="B309" s="239" t="s">
        <v>140</v>
      </c>
      <c r="C309" s="4" t="s">
        <v>304</v>
      </c>
      <c r="D309" s="17">
        <v>0</v>
      </c>
      <c r="E309" s="4"/>
      <c r="F309" s="9"/>
      <c r="G309" s="19">
        <f aca="true" t="shared" si="19" ref="G309:G316">D309</f>
        <v>0</v>
      </c>
      <c r="I309" s="46"/>
    </row>
    <row r="310" spans="1:9" s="20" customFormat="1" ht="15.75" customHeight="1" hidden="1">
      <c r="A310" s="238"/>
      <c r="B310" s="239"/>
      <c r="C310" s="4"/>
      <c r="D310" s="17"/>
      <c r="E310" s="4"/>
      <c r="F310" s="19">
        <v>0</v>
      </c>
      <c r="G310" s="19">
        <f t="shared" si="19"/>
        <v>0</v>
      </c>
      <c r="I310" s="46"/>
    </row>
    <row r="311" spans="1:9" s="20" customFormat="1" ht="63">
      <c r="A311" s="238"/>
      <c r="B311" s="239"/>
      <c r="C311" s="4" t="s">
        <v>308</v>
      </c>
      <c r="D311" s="17">
        <v>0</v>
      </c>
      <c r="E311" s="4"/>
      <c r="F311" s="9"/>
      <c r="G311" s="19">
        <f t="shared" si="19"/>
        <v>0</v>
      </c>
      <c r="I311" s="46"/>
    </row>
    <row r="312" spans="1:9" s="20" customFormat="1" ht="47.25">
      <c r="A312" s="238"/>
      <c r="B312" s="239"/>
      <c r="C312" s="4" t="s">
        <v>313</v>
      </c>
      <c r="D312" s="17">
        <v>0</v>
      </c>
      <c r="E312" s="4"/>
      <c r="F312" s="9"/>
      <c r="G312" s="19">
        <f t="shared" si="19"/>
        <v>0</v>
      </c>
      <c r="I312" s="46"/>
    </row>
    <row r="313" spans="1:9" s="20" customFormat="1" ht="24.75" customHeight="1" hidden="1">
      <c r="A313" s="238"/>
      <c r="B313" s="239"/>
      <c r="C313" s="4"/>
      <c r="D313" s="5"/>
      <c r="E313" s="4"/>
      <c r="F313" s="9"/>
      <c r="G313" s="19">
        <f t="shared" si="19"/>
        <v>0</v>
      </c>
      <c r="I313" s="46"/>
    </row>
    <row r="314" spans="1:9" s="20" customFormat="1" ht="63">
      <c r="A314" s="238"/>
      <c r="B314" s="239"/>
      <c r="C314" s="4" t="s">
        <v>373</v>
      </c>
      <c r="D314" s="17">
        <v>0</v>
      </c>
      <c r="E314" s="4"/>
      <c r="F314" s="9"/>
      <c r="G314" s="19">
        <f t="shared" si="19"/>
        <v>0</v>
      </c>
      <c r="I314" s="46"/>
    </row>
    <row r="315" spans="1:9" s="20" customFormat="1" ht="47.25">
      <c r="A315" s="238"/>
      <c r="B315" s="239"/>
      <c r="C315" s="4" t="s">
        <v>370</v>
      </c>
      <c r="D315" s="17">
        <v>0</v>
      </c>
      <c r="E315" s="4"/>
      <c r="F315" s="9"/>
      <c r="G315" s="19">
        <f t="shared" si="19"/>
        <v>0</v>
      </c>
      <c r="I315" s="46"/>
    </row>
    <row r="316" spans="1:9" s="20" customFormat="1" ht="68.25" customHeight="1">
      <c r="A316" s="238"/>
      <c r="B316" s="239"/>
      <c r="C316" s="4" t="s">
        <v>382</v>
      </c>
      <c r="D316" s="17">
        <v>0</v>
      </c>
      <c r="E316" s="4"/>
      <c r="F316" s="9"/>
      <c r="G316" s="19">
        <f t="shared" si="19"/>
        <v>0</v>
      </c>
      <c r="I316" s="46"/>
    </row>
    <row r="317" spans="1:11" s="34" customFormat="1" ht="15.75">
      <c r="A317" s="23"/>
      <c r="B317" s="23" t="s">
        <v>114</v>
      </c>
      <c r="C317" s="23"/>
      <c r="D317" s="28">
        <f>D11+D31+D70+D93+D121+D142+D147+D149+D177+D180+D187+D190+D195+D207+D212+D218+D224+D228+D243+D255+D267+D277+D293+D305</f>
        <v>0</v>
      </c>
      <c r="E317" s="27"/>
      <c r="F317" s="28">
        <f>F11+F31+F70+F93+F121+F142+F147+F149+F177+F180+F187+F190+F195+F207+F212+F218+F224+F228+F243+F255+F267+F277+F293+F305</f>
        <v>0</v>
      </c>
      <c r="G317" s="28">
        <f>D317+F317</f>
        <v>0</v>
      </c>
      <c r="I317" s="46"/>
      <c r="K317" s="45"/>
    </row>
    <row r="318" spans="1:8" ht="15" customHeight="1">
      <c r="A318" s="65"/>
      <c r="B318" s="65"/>
      <c r="C318" s="65"/>
      <c r="D318" s="65"/>
      <c r="E318" s="65"/>
      <c r="F318" s="65"/>
      <c r="G318" s="65"/>
      <c r="H318" s="63"/>
    </row>
    <row r="319" spans="1:6" s="11" customFormat="1" ht="35.25" customHeight="1">
      <c r="A319" s="252" t="s">
        <v>246</v>
      </c>
      <c r="B319" s="252"/>
      <c r="C319" s="66"/>
      <c r="D319" s="67"/>
      <c r="E319" s="54"/>
      <c r="F319" s="57" t="s">
        <v>247</v>
      </c>
    </row>
    <row r="320" spans="4:7" ht="18" customHeight="1">
      <c r="D320" s="10"/>
      <c r="F320" s="34"/>
      <c r="G320" s="45"/>
    </row>
    <row r="321" spans="4:7" ht="18" customHeight="1">
      <c r="D321" s="10"/>
      <c r="F321" s="34"/>
      <c r="G321" s="45"/>
    </row>
    <row r="322" ht="18" customHeight="1"/>
    <row r="323" spans="4:9" ht="18" customHeight="1">
      <c r="D323" s="10"/>
      <c r="F323" s="41"/>
      <c r="G323" s="42"/>
      <c r="H323" s="41"/>
      <c r="I323" s="10"/>
    </row>
    <row r="324" spans="4:6" ht="18" customHeight="1">
      <c r="D324" s="10"/>
      <c r="F324" s="10"/>
    </row>
    <row r="325" spans="4:6" ht="18" customHeight="1">
      <c r="D325" s="10"/>
      <c r="F325" s="10"/>
    </row>
    <row r="326" spans="4:6" ht="15.75">
      <c r="D326" s="10"/>
      <c r="F326" s="10"/>
    </row>
    <row r="327" spans="3:6" ht="15.75">
      <c r="C327" s="3"/>
      <c r="F327" s="10"/>
    </row>
    <row r="328" ht="15.75">
      <c r="F328" s="10"/>
    </row>
    <row r="329" ht="15.75">
      <c r="F329" s="10"/>
    </row>
    <row r="330" ht="15.75">
      <c r="F330" s="10"/>
    </row>
    <row r="331" ht="15.75">
      <c r="F331" s="10"/>
    </row>
    <row r="332" ht="15.75">
      <c r="F332" s="10"/>
    </row>
    <row r="333" ht="15.75">
      <c r="F333" s="10"/>
    </row>
    <row r="334" ht="15.75">
      <c r="F334" s="10"/>
    </row>
    <row r="335" ht="15.75">
      <c r="F335" s="10"/>
    </row>
    <row r="336" ht="15.75">
      <c r="F336" s="10"/>
    </row>
    <row r="337" ht="15.75">
      <c r="F337" s="10"/>
    </row>
    <row r="338" ht="15.75">
      <c r="F338" s="10"/>
    </row>
    <row r="339" ht="15.75">
      <c r="F339" s="10"/>
    </row>
    <row r="340" ht="15.75">
      <c r="F340" s="10"/>
    </row>
    <row r="341" spans="5:8" ht="15.75">
      <c r="E341" s="7"/>
      <c r="F341" s="10"/>
      <c r="H341" s="10"/>
    </row>
    <row r="343" spans="3:7" ht="15.75">
      <c r="C343" s="43"/>
      <c r="D343" s="44"/>
      <c r="E343" s="43"/>
      <c r="F343" s="44"/>
      <c r="G343" s="43"/>
    </row>
    <row r="344" spans="3:7" ht="15.75">
      <c r="C344" s="43"/>
      <c r="D344" s="44"/>
      <c r="E344" s="43"/>
      <c r="F344" s="44"/>
      <c r="G344" s="43"/>
    </row>
    <row r="345" spans="3:7" ht="15.75">
      <c r="C345" s="43"/>
      <c r="D345" s="43"/>
      <c r="E345" s="43"/>
      <c r="F345" s="43"/>
      <c r="G345" s="44"/>
    </row>
  </sheetData>
  <sheetProtection/>
  <mergeCells count="116">
    <mergeCell ref="C16:C19"/>
    <mergeCell ref="A5:G5"/>
    <mergeCell ref="B8:B9"/>
    <mergeCell ref="C8:D8"/>
    <mergeCell ref="E8:F8"/>
    <mergeCell ref="A12:A13"/>
    <mergeCell ref="B12:B13"/>
    <mergeCell ref="A14:A15"/>
    <mergeCell ref="A37:A42"/>
    <mergeCell ref="B37:B42"/>
    <mergeCell ref="A23:A30"/>
    <mergeCell ref="B23:B30"/>
    <mergeCell ref="B14:B15"/>
    <mergeCell ref="A16:A19"/>
    <mergeCell ref="B16:B19"/>
    <mergeCell ref="A34:A36"/>
    <mergeCell ref="B34:B36"/>
    <mergeCell ref="C68:C69"/>
    <mergeCell ref="A72:A76"/>
    <mergeCell ref="B72:B76"/>
    <mergeCell ref="A43:A45"/>
    <mergeCell ref="B43:B45"/>
    <mergeCell ref="A46:A50"/>
    <mergeCell ref="B46:B50"/>
    <mergeCell ref="A58:A60"/>
    <mergeCell ref="B58:B60"/>
    <mergeCell ref="A83:A85"/>
    <mergeCell ref="B83:B85"/>
    <mergeCell ref="A62:A63"/>
    <mergeCell ref="B62:B63"/>
    <mergeCell ref="A64:A66"/>
    <mergeCell ref="B64:B66"/>
    <mergeCell ref="A77:A79"/>
    <mergeCell ref="B77:B79"/>
    <mergeCell ref="A80:A82"/>
    <mergeCell ref="B80:B82"/>
    <mergeCell ref="A108:A109"/>
    <mergeCell ref="B108:B109"/>
    <mergeCell ref="A91:A92"/>
    <mergeCell ref="B91:B92"/>
    <mergeCell ref="A94:A96"/>
    <mergeCell ref="B94:B96"/>
    <mergeCell ref="A97:A98"/>
    <mergeCell ref="B97:B98"/>
    <mergeCell ref="A101:A105"/>
    <mergeCell ref="B101:B105"/>
    <mergeCell ref="A106:A107"/>
    <mergeCell ref="B106:B107"/>
    <mergeCell ref="A130:A132"/>
    <mergeCell ref="B130:B132"/>
    <mergeCell ref="A110:A111"/>
    <mergeCell ref="B110:B111"/>
    <mergeCell ref="B112:B114"/>
    <mergeCell ref="A113:A114"/>
    <mergeCell ref="A123:A124"/>
    <mergeCell ref="B123:B124"/>
    <mergeCell ref="A162:A163"/>
    <mergeCell ref="B162:B163"/>
    <mergeCell ref="A134:A138"/>
    <mergeCell ref="B134:B138"/>
    <mergeCell ref="A150:A151"/>
    <mergeCell ref="B150:B151"/>
    <mergeCell ref="A159:A160"/>
    <mergeCell ref="B159:B160"/>
    <mergeCell ref="A125:A127"/>
    <mergeCell ref="B125:B127"/>
    <mergeCell ref="A128:A129"/>
    <mergeCell ref="B128:B129"/>
    <mergeCell ref="A153:A154"/>
    <mergeCell ref="B153:B154"/>
    <mergeCell ref="A155:A157"/>
    <mergeCell ref="B155:B157"/>
    <mergeCell ref="D202:D203"/>
    <mergeCell ref="A164:A166"/>
    <mergeCell ref="B164:B166"/>
    <mergeCell ref="A169:A170"/>
    <mergeCell ref="B169:B170"/>
    <mergeCell ref="A182:A184"/>
    <mergeCell ref="B182:B184"/>
    <mergeCell ref="C221:C223"/>
    <mergeCell ref="A226:A227"/>
    <mergeCell ref="B226:B227"/>
    <mergeCell ref="A199:A200"/>
    <mergeCell ref="B199:B200"/>
    <mergeCell ref="A201:A203"/>
    <mergeCell ref="B201:B203"/>
    <mergeCell ref="C201:C203"/>
    <mergeCell ref="A245:A246"/>
    <mergeCell ref="B245:B246"/>
    <mergeCell ref="A205:A206"/>
    <mergeCell ref="B205:B206"/>
    <mergeCell ref="A210:A211"/>
    <mergeCell ref="B210:B211"/>
    <mergeCell ref="A230:A231"/>
    <mergeCell ref="B230:B231"/>
    <mergeCell ref="A235:A242"/>
    <mergeCell ref="B235:B242"/>
    <mergeCell ref="A249:A254"/>
    <mergeCell ref="B249:B254"/>
    <mergeCell ref="B298:B304"/>
    <mergeCell ref="A260:A266"/>
    <mergeCell ref="B260:B266"/>
    <mergeCell ref="A271:A276"/>
    <mergeCell ref="B271:B276"/>
    <mergeCell ref="A279:A280"/>
    <mergeCell ref="B279:B280"/>
    <mergeCell ref="A319:B319"/>
    <mergeCell ref="A281:A282"/>
    <mergeCell ref="B281:B282"/>
    <mergeCell ref="A285:A292"/>
    <mergeCell ref="B285:B292"/>
    <mergeCell ref="A298:A304"/>
    <mergeCell ref="A306:A307"/>
    <mergeCell ref="B306:B307"/>
    <mergeCell ref="A309:A316"/>
    <mergeCell ref="B309:B316"/>
  </mergeCells>
  <printOptions/>
  <pageMargins left="0.3937007874015748" right="0.2362204724409449" top="0.41" bottom="0.3" header="0.2362204724409449" footer="0.2362204724409449"/>
  <pageSetup fitToHeight="16" horizontalDpi="600" verticalDpi="600" orientation="landscape" paperSize="9" scale="66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2014-09-11T08:05:36Z</cp:lastPrinted>
  <dcterms:created xsi:type="dcterms:W3CDTF">1996-10-08T23:32:33Z</dcterms:created>
  <dcterms:modified xsi:type="dcterms:W3CDTF">2014-09-23T09:48:37Z</dcterms:modified>
  <cp:category/>
  <cp:version/>
  <cp:contentType/>
  <cp:contentStatus/>
</cp:coreProperties>
</file>