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1'!$A$1:$H$297</definedName>
    <definedName name="_xlnm.Print_Area" localSheetId="1">'додаток 2'!$A$1:$E$24</definedName>
    <definedName name="_xlnm.Print_Area" localSheetId="2">'Додаток 3'!$A$1:$G$309</definedName>
  </definedNames>
  <calcPr fullCalcOnLoad="1"/>
</workbook>
</file>

<file path=xl/sharedStrings.xml><?xml version="1.0" encoding="utf-8"?>
<sst xmlns="http://schemas.openxmlformats.org/spreadsheetml/2006/main" count="964" uniqueCount="282">
  <si>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</si>
  <si>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</si>
  <si>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</si>
  <si>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</si>
  <si>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</si>
  <si>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</si>
  <si>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</si>
  <si>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</si>
  <si>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</si>
  <si>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</si>
  <si>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</si>
  <si>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</si>
  <si>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</si>
  <si>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</si>
  <si>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</si>
  <si>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</si>
  <si>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</si>
  <si>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</si>
  <si>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</si>
  <si>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</si>
  <si>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</si>
  <si>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</si>
  <si>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</si>
  <si>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</si>
  <si>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</si>
  <si>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</si>
  <si>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</si>
  <si>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прибирання газонів, парків, скверів (прибирання листя)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</si>
  <si>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</si>
  <si>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</si>
  <si>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</si>
  <si>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</si>
  <si>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</si>
  <si>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</si>
  <si>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</si>
  <si>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</si>
  <si>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</si>
  <si>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</si>
  <si>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</si>
  <si>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</si>
  <si>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</si>
  <si>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</si>
  <si>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</si>
  <si>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</si>
  <si>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</si>
  <si>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</si>
  <si>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</si>
  <si>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</si>
  <si>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</si>
  <si>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</si>
  <si>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</si>
  <si>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</si>
  <si>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</si>
  <si>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</si>
  <si>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</si>
  <si>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</si>
  <si>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</si>
  <si>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</si>
  <si>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</si>
  <si>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</si>
  <si>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</si>
  <si>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</si>
  <si>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</si>
  <si>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</si>
  <si>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</si>
  <si>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</si>
  <si>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</si>
  <si>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</si>
  <si>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</si>
  <si>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</si>
  <si>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</si>
  <si>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</si>
  <si>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</si>
  <si>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</si>
  <si>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</si>
  <si>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</si>
  <si>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</si>
  <si>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</si>
  <si>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</si>
  <si>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</si>
  <si>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</si>
  <si>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</si>
  <si>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</si>
  <si>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</si>
  <si>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</si>
  <si>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</si>
  <si>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</si>
  <si>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</si>
  <si>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</si>
  <si>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</si>
  <si>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Поховання померлих безрідних та невідомих громадян міста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</si>
  <si>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</si>
  <si>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</si>
  <si>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</si>
  <si>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</si>
  <si>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</si>
  <si>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</si>
  <si>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</si>
  <si>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</si>
  <si>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</si>
  <si>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</si>
  <si>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</si>
  <si>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</si>
  <si>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</si>
  <si>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</si>
  <si>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</si>
  <si>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</si>
  <si>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</si>
  <si>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</si>
  <si>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</si>
  <si>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</si>
  <si>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</si>
  <si>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</si>
  <si>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</si>
  <si>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</si>
  <si>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</si>
  <si>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</si>
  <si>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</si>
  <si>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</si>
  <si>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</si>
  <si>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</si>
  <si>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</si>
  <si>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</si>
  <si>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</si>
  <si>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</si>
  <si>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</si>
  <si>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</si>
  <si>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</si>
  <si>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</si>
  <si>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</si>
  <si>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</si>
  <si>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</si>
  <si>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</si>
  <si>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</si>
  <si>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</si>
  <si>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</si>
  <si>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</si>
  <si>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</si>
  <si>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</si>
  <si>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</si>
  <si>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</si>
  <si>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</si>
  <si>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</si>
  <si>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</si>
  <si>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</si>
  <si>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</si>
  <si>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</si>
  <si>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</si>
  <si>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</si>
  <si>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</si>
  <si>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</si>
  <si>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</si>
  <si>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</si>
  <si>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</si>
  <si>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</si>
  <si>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</si>
  <si>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</si>
  <si>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</si>
  <si>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</si>
  <si>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</si>
  <si>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</si>
  <si>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догляд за зеленими насадженнями, в тому числі обрізка та ліквідація сухих, аварійно-небезпечних дерев</t>
  </si>
  <si>
    <t>Поховання померлих безрідних і невідомих та почесних громадян міста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</si>
  <si>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</si>
  <si>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</si>
  <si>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</si>
  <si>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</si>
  <si>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до Програми розвитку та утримання житлово-комунального господарства м. Запоріжжя на 2014-2016 роки</t>
  </si>
  <si>
    <t>з виконання Програми розвитку та утримання житлово-комунального господарства м. Запоріжжя на 2014-2016 роки</t>
  </si>
  <si>
    <t>до Програми розвитку та утримання житлово-комунального господарства        м. Запоріжжя на 2014-2016 роки</t>
  </si>
  <si>
    <t>Програми розвитку та утримання житлово-комунального господарства м. Запоріжжя на 2014-2016 роки</t>
  </si>
  <si>
    <t>до Програми розвитку та утримання житлово-комунального господарства              м. Запоріжжя на 2014-2016 роки</t>
  </si>
  <si>
    <t>виконання Програми розвитку та утримання житлово-комунального господарства м. Запоріжжя на 2014-2016 роки</t>
  </si>
  <si>
    <t>оплата за виконані роботи з капітального ремонту житлового фонду у 2013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</si>
  <si>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2013 році</t>
  </si>
  <si>
    <t>оплата за виконані роботи з поточного ремонту внутрішньоквартальних доріг у 2013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</si>
  <si>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проведення технічної інвентаризації гуртожитків комунальної власності міста у 2013 році</t>
  </si>
  <si>
    <t>Фінансова підтримка об'єктів житлово-комунального  господарства</t>
  </si>
  <si>
    <t>Фінансова підтримка об'єктів житлово-комунального  господарства, в тому числі:</t>
  </si>
  <si>
    <t>забезпечення підтримки міського комунального підприємства "Основаніє" для утримання та  експлуатації житлового фонду, визнаного ветхим та аварійним</t>
  </si>
  <si>
    <t>утримання громадських вбиралень (туалетів), мобільних та модульних туалетних кабін</t>
  </si>
  <si>
    <t>оплата за роботи виконані у 2013 році</t>
  </si>
  <si>
    <t>освітлення міста</t>
  </si>
  <si>
    <t>Капітальний ремонт нежитлового приміщення будівлі по вул. Сталеварів, 19</t>
  </si>
  <si>
    <t>оплата за виконані роботи з капітального ремонту нежитлових приміщень та будівель м. Запоріжжя у 2013 році</t>
  </si>
  <si>
    <t xml:space="preserve">оплата за виконані у 2013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</si>
  <si>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2013 році)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</si>
  <si>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</si>
  <si>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</si>
  <si>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</si>
  <si>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</si>
  <si>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незалежна оцінка автомобільних доріг</t>
  </si>
  <si>
    <t>Проведення незалежної оцінки автомобільних доріг, в тому числі:</t>
  </si>
  <si>
    <t>капітальний ремонт штучної споруди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</si>
  <si>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</si>
  <si>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</si>
  <si>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</si>
  <si>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</si>
  <si>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</si>
  <si>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поточний ремонт мостів, зупинкових комплексів, доріг та тротуарів </t>
  </si>
  <si>
    <t>технічне обслуговування засобів регулювання дорожнього руху</t>
  </si>
  <si>
    <t>оплата за виконані роботи з поточного ремонту нежитлових приміщень та будівель м. Запоріжжя у 2013 році</t>
  </si>
  <si>
    <t>депутати</t>
  </si>
  <si>
    <t>департамент економічного розвитку Запорізької міської ради</t>
  </si>
  <si>
    <t>надання фінансової підтримки комунальному підприємству "Управління капітального будівництва" для подачі позовної заяви до господарського суду</t>
  </si>
  <si>
    <t>департамент архітектури та містобудування Запорізької міської ради</t>
  </si>
  <si>
    <t>надання фінансової підтримки комунальному підприємству "Градпроект" для виплати заробітної плати з нарахуваннями</t>
  </si>
  <si>
    <t>виконавчий комітет Запорізької міської ради</t>
  </si>
  <si>
    <t>надання фінансової підтримки комунальному підприємству "Центр управління інформаційними технологіями" для виплати заробітної плати з нарахуваннями</t>
  </si>
  <si>
    <t>Головний розпорядник бюджетних коштів - департамент економічного розвитку Запорізької міської ради</t>
  </si>
  <si>
    <t>подача комунальним підприємством "Управління капітального будівництва" позовної заяви до господарського суду</t>
  </si>
  <si>
    <t>%</t>
  </si>
  <si>
    <t>Головний розпорядник бюджетних коштів - департамент архітектури та містобудування Запорізької міської ради</t>
  </si>
  <si>
    <t xml:space="preserve">забезпечення  виплати заробітної плати з нарахуваннями працівникам комунального підприємства "Градпроект" </t>
  </si>
  <si>
    <t>Головний розпорядник бюджетних коштів - виконавчий комітет Запорізької міської ради</t>
  </si>
  <si>
    <t xml:space="preserve">забезпечення  виплати заробітної плати з нарахуваннями працівникам комунального підприємства "Центр управління інформаційними технологіями" </t>
  </si>
  <si>
    <t>посадка дерев та чагарників</t>
  </si>
  <si>
    <t>реконструкція об’єктів транспортної інфраструктури</t>
  </si>
  <si>
    <t>км.</t>
  </si>
  <si>
    <t>Надання допомоги у вирішені житлових питань</t>
  </si>
  <si>
    <t>Забезпечення житлом окремих категорій населення, в тому числі:</t>
  </si>
  <si>
    <t>в тому числі за рахунок залишку субвенції 2012 - 2013 років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</si>
  <si>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залишку субвенції 2013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</si>
  <si>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будівництво об’єктів транспортної інфраструктури</t>
  </si>
  <si>
    <t xml:space="preserve">установка дорожніх знаків </t>
  </si>
  <si>
    <t>капітальний ремонт воїнсько-братського меморіалу на Капустяному кладовищі</t>
  </si>
  <si>
    <t>проекти</t>
  </si>
  <si>
    <t>поточний  ремонт штучних споруд</t>
  </si>
  <si>
    <t>поточний ремонт та заміна засобів регулювання дорожнього руху</t>
  </si>
  <si>
    <t>встановлення  малих архітектурних форм</t>
  </si>
  <si>
    <t>утримання та поточний ремонт малих архітектурних форм, пам'ятників</t>
  </si>
  <si>
    <t>інвентаризація зелених насаджень</t>
  </si>
  <si>
    <t>інвентаризація та паспортизація вулиць</t>
  </si>
  <si>
    <t>поточний ремонт об'єктів транспортної інфраструктури</t>
  </si>
  <si>
    <t>відновлення дорожньої розмітки</t>
  </si>
  <si>
    <t>незалежна оцінка шляхів з твердим покриттям</t>
  </si>
  <si>
    <t>утримання громадських вбиралень (туалетів)</t>
  </si>
  <si>
    <t>паспортизація доріг</t>
  </si>
  <si>
    <t>ЗАТВЕРДЖЕНО</t>
  </si>
  <si>
    <t>Рішення міської ради</t>
  </si>
  <si>
    <t>поточний ремонт мостів</t>
  </si>
  <si>
    <t>поточний ремонт зупинкових комплексів</t>
  </si>
  <si>
    <t>проведення технічної інвентаризації та погашення державної реєстрації права власності ветхих житлових будинків</t>
  </si>
  <si>
    <t xml:space="preserve">забезпечення  виплати заробітної плати працівникам комунального підприємства "Управління капітального будівництва" </t>
  </si>
  <si>
    <t>надання фінансової підтримки комунальному підприємству "Управління капітального будівництва" для виплати заробітної плати</t>
  </si>
  <si>
    <t>поховання померлих почесних громадян міста</t>
  </si>
  <si>
    <t>енергопостачання засобів регулювання дорожнього руху (в тому числі забезпечення сплати пені за несвоєчасну оплату спожитої електричної енергії для засобів регулювання дорожнім рухом)</t>
  </si>
  <si>
    <t>проведення незалежної оцінки об'єктів благоустрою</t>
  </si>
  <si>
    <t>куб.м.</t>
  </si>
  <si>
    <t>придбання квартир для призерів Олімпійських та Параолімпійських Ігор у Лондоні</t>
  </si>
  <si>
    <t xml:space="preserve">поточний ремонт нежитлового приміщення по вул. 14 Жовтня, 9А 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</si>
  <si>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</si>
  <si>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</si>
  <si>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</si>
  <si>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</si>
  <si>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>інвентаризація об'єктів благоустрою (міські пляжі)</t>
  </si>
  <si>
    <t>внески у статутні капітали комунальних  підприємств міста (придбання спеціальної техніки), в тому числі:</t>
  </si>
  <si>
    <t xml:space="preserve">Міське комунальне підприємство "Основаніє" </t>
  </si>
  <si>
    <t xml:space="preserve">Комунальне підприємство "Запоріжміськсвітло" </t>
  </si>
  <si>
    <t>Комунальне підриємство "Титан"</t>
  </si>
  <si>
    <t>Комунальне підприємство "Експлуатаційне лінійне управління автомобільних шляхів" (3 256,140 тис.грн. – видатки на поповнення статутного капіталу; 1 193,200 тис.грн. – видатки на які статутний капітал було збільшено відповідно до розпорядження міського голови від 19.03.2013 №82р «Про затвердження змін до третьої редакції статуту комунального підприємства "Експлуатаційне лінійне управління автомобільних шляхів")</t>
  </si>
  <si>
    <t>улаштування посадкових майданчиків на зупинках міського громадського транспорту</t>
  </si>
  <si>
    <t>незалежна експертна оцінка доріг</t>
  </si>
  <si>
    <t>паспортизація об'єктів благоустрою</t>
  </si>
  <si>
    <t>Інші кошти</t>
  </si>
  <si>
    <t>кошти підприємств</t>
  </si>
  <si>
    <t>Поповнення обігових коштів для забезпечення стабільної роботи підприємства</t>
  </si>
  <si>
    <t>дозволити Концерну «Міські теплові мережі» надати поворотну фінансову допомогу комунальному підприємству «Водоканал» у розмірі 8000000,00 (вісім мільйонів гривень 00 копійок) і укласти відповідний договір</t>
  </si>
  <si>
    <t>дозволити комунальному підприємству «Запорізьке міське інвестиційне агентство», на підставі рішення Запорізької міської ради від 24.12.2012 №79 «Про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Запоріжжя», надати безповоротну фінансову допомогу комунальному підприємству «Експлуатаційне лінійне управління автомобільних шляхів» у розмірі 600 000,00 (шістсот тисяч гривень 00 копійок) і укласти відповідний договір</t>
  </si>
  <si>
    <t>дозволити комунальному підприємству «Запорізьке міське інвестиційне агентство», на підставі рішення Запорізької міської ради від 24.12.2012 №79 «Про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Запоріжжя», надати безповоротну фінансову допомогу міському комунальному підприємству «Основаніє» у розмірі 800 000,00 (вісімсот тисяч гривень 00 копійок) і укласти відповідний договір</t>
  </si>
  <si>
    <t>дозволити комунальному підприємству «Запорізьке міське інвестиційне агентство», на підставі рішення Запорізької міської ради від 24.12.2012 №79 «Про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Запоріжжя», надати безповоротну фінансову допомогу комунальному підприємству «Експлуатаційне лінійне управління автомобільних шляхів» у розмірі 300 000,00 (триста тисяч гривень 00 копійок) і укласти відповідний договір</t>
  </si>
  <si>
    <t>Поповнення обігових коштів для закупівлі паливно-мастильних матеріалів</t>
  </si>
  <si>
    <t>Поповнення обігових коштів для  для придбання матеріалів з метою часткового вирішення проблеми з забезпечення безаварійного функціонування дорожньої мережі міста Запоріжжя</t>
  </si>
  <si>
    <t>Дозволити комунальному підприємству «Запорізьке міське інвестиційне агентство», на підставі рішення Запорізької міської ради від 24.12.2012 №79 «Про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Запоріжжя», надати поворотну фінансову допомогу комунальному підприємству «Експлуатаційне лінійне управління автомобільних шляхів» у розмірі 3 000 000,00 (три мільйони гривень 00 копійок) і укласти відповідний договір</t>
  </si>
  <si>
    <t xml:space="preserve">надання поворотної фінансової допомоги комунальному підприємству «Водоканал» </t>
  </si>
  <si>
    <t>надання безповоротної фінансової допомоги комунальному підприємству «Експлуатаційне лінійне управління автомобільних шляхів»</t>
  </si>
  <si>
    <t>надання безповоротної фінансової допомоги міському комунальному підприємству «Основаніє»</t>
  </si>
  <si>
    <t>надання поворотної фінансової допомоги комунальному підприємству «Експлуатаційне лінійне управління автомобільних шляхів»</t>
  </si>
  <si>
    <t>благоустрій майданчика у парку «Металургів»</t>
  </si>
  <si>
    <t>Капітальний ремонт нежитлової будівлі Ленінського відділу державної реєстрації цивільного стану по вул. Анрі Барбюса, 9-А в м. Запоріжжя</t>
  </si>
  <si>
    <t>капітальний ремонт електроживлячих стояків</t>
  </si>
  <si>
    <t>05.11.2014 №11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</si>
</sst>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" fillId="0" borderId="10" xfId="60" applyNumberFormat="1" applyFont="1" applyFill="1" applyBorder="1" applyAlignment="1">
      <alignment horizontal="center" vertical="top" wrapText="1"/>
    </xf>
    <xf numFmtId="188" fontId="3" fillId="0" borderId="10" xfId="6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201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88" fontId="3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89" fontId="3" fillId="0" borderId="0" xfId="0" applyNumberFormat="1" applyFont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18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0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188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97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59" customFormat="1" ht="20.25">
      <c r="C1" s="52"/>
      <c r="D1" s="52"/>
      <c r="E1" s="52"/>
      <c r="F1" s="111" t="s">
        <v>238</v>
      </c>
      <c r="G1" s="111"/>
      <c r="H1" s="111"/>
    </row>
    <row r="2" spans="3:8" s="59" customFormat="1" ht="20.25">
      <c r="C2" s="52"/>
      <c r="D2" s="52"/>
      <c r="E2" s="52"/>
      <c r="F2" s="111" t="s">
        <v>239</v>
      </c>
      <c r="G2" s="111"/>
      <c r="H2" s="111"/>
    </row>
    <row r="3" spans="3:8" s="59" customFormat="1" ht="20.25">
      <c r="C3" s="52"/>
      <c r="D3" s="52"/>
      <c r="E3" s="52"/>
      <c r="F3" s="145" t="s">
        <v>281</v>
      </c>
      <c r="G3" s="111"/>
      <c r="H3" s="111"/>
    </row>
    <row r="4" spans="3:8" s="25" customFormat="1" ht="18.75">
      <c r="C4" s="26"/>
      <c r="D4" s="26"/>
      <c r="E4" s="26"/>
      <c r="F4" s="26"/>
      <c r="G4" s="26"/>
      <c r="H4" s="26"/>
    </row>
    <row r="5" spans="3:8" s="25" customFormat="1" ht="20.25" customHeight="1">
      <c r="C5" s="26"/>
      <c r="D5" s="26"/>
      <c r="E5" s="26"/>
      <c r="F5" s="111" t="s">
        <v>7</v>
      </c>
      <c r="G5" s="111"/>
      <c r="H5" s="111"/>
    </row>
    <row r="6" spans="3:8" s="25" customFormat="1" ht="105.75" customHeight="1">
      <c r="C6" s="26"/>
      <c r="D6" s="26"/>
      <c r="E6" s="26"/>
      <c r="F6" s="111" t="s">
        <v>167</v>
      </c>
      <c r="G6" s="111"/>
      <c r="H6" s="111"/>
    </row>
    <row r="8" spans="1:8" s="25" customFormat="1" ht="20.25">
      <c r="A8" s="99" t="s">
        <v>6</v>
      </c>
      <c r="B8" s="99"/>
      <c r="C8" s="99"/>
      <c r="D8" s="99"/>
      <c r="E8" s="99"/>
      <c r="F8" s="99"/>
      <c r="G8" s="99"/>
      <c r="H8" s="99"/>
    </row>
    <row r="9" spans="1:8" s="25" customFormat="1" ht="20.25">
      <c r="A9" s="90" t="s">
        <v>168</v>
      </c>
      <c r="B9" s="90"/>
      <c r="C9" s="90"/>
      <c r="D9" s="90"/>
      <c r="E9" s="90"/>
      <c r="F9" s="90"/>
      <c r="G9" s="90"/>
      <c r="H9" s="90"/>
    </row>
    <row r="11" spans="1:8" s="4" customFormat="1" ht="12.75">
      <c r="A11" s="96" t="s">
        <v>0</v>
      </c>
      <c r="B11" s="96" t="s">
        <v>1</v>
      </c>
      <c r="C11" s="96" t="s">
        <v>2</v>
      </c>
      <c r="D11" s="96" t="s">
        <v>3</v>
      </c>
      <c r="E11" s="96" t="s">
        <v>106</v>
      </c>
      <c r="F11" s="96"/>
      <c r="G11" s="96"/>
      <c r="H11" s="96"/>
    </row>
    <row r="12" spans="1:8" s="4" customFormat="1" ht="12.75">
      <c r="A12" s="96"/>
      <c r="B12" s="96"/>
      <c r="C12" s="96"/>
      <c r="D12" s="96"/>
      <c r="E12" s="96" t="s">
        <v>4</v>
      </c>
      <c r="F12" s="96" t="s">
        <v>5</v>
      </c>
      <c r="G12" s="96"/>
      <c r="H12" s="96"/>
    </row>
    <row r="13" spans="1:8" s="4" customFormat="1" ht="12.75">
      <c r="A13" s="96"/>
      <c r="B13" s="96"/>
      <c r="C13" s="96"/>
      <c r="D13" s="96"/>
      <c r="E13" s="96"/>
      <c r="F13" s="3">
        <v>2014</v>
      </c>
      <c r="G13" s="3">
        <v>2015</v>
      </c>
      <c r="H13" s="3">
        <v>2016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112" t="s">
        <v>105</v>
      </c>
      <c r="B15" s="113"/>
      <c r="C15" s="113"/>
      <c r="D15" s="113"/>
      <c r="E15" s="113"/>
      <c r="F15" s="113"/>
      <c r="G15" s="113"/>
      <c r="H15" s="114"/>
    </row>
    <row r="16" spans="1:8" s="4" customFormat="1" ht="12.75">
      <c r="A16" s="115" t="s">
        <v>111</v>
      </c>
      <c r="B16" s="6"/>
      <c r="C16" s="105" t="s">
        <v>19</v>
      </c>
      <c r="D16" s="105" t="s">
        <v>20</v>
      </c>
      <c r="E16" s="7">
        <f aca="true" t="shared" si="0" ref="E16:E30">F16+G16+H16</f>
        <v>139536.6215</v>
      </c>
      <c r="F16" s="7">
        <f>SUM(F17:F31)</f>
        <v>92924.555</v>
      </c>
      <c r="G16" s="7">
        <f>SUM(G17:G31)</f>
        <v>22815.5</v>
      </c>
      <c r="H16" s="7">
        <f>SUM(H17:H31)</f>
        <v>23796.5665</v>
      </c>
    </row>
    <row r="17" spans="1:8" s="4" customFormat="1" ht="25.5">
      <c r="A17" s="116"/>
      <c r="B17" s="8" t="s">
        <v>143</v>
      </c>
      <c r="C17" s="106"/>
      <c r="D17" s="106"/>
      <c r="E17" s="9">
        <f t="shared" si="0"/>
        <v>17620.912763</v>
      </c>
      <c r="F17" s="9">
        <f>5410.394+1294.919-613.133</f>
        <v>6092.18</v>
      </c>
      <c r="G17" s="9">
        <v>5643.041</v>
      </c>
      <c r="H17" s="9">
        <f aca="true" t="shared" si="1" ref="H17:H27">G17*1.043</f>
        <v>5885.691763</v>
      </c>
    </row>
    <row r="18" spans="1:8" s="4" customFormat="1" ht="25.5">
      <c r="A18" s="116"/>
      <c r="B18" s="8" t="s">
        <v>142</v>
      </c>
      <c r="C18" s="106"/>
      <c r="D18" s="106"/>
      <c r="E18" s="9">
        <f t="shared" si="0"/>
        <v>15246.290219999999</v>
      </c>
      <c r="F18" s="9">
        <f>2376.357+1988.972+5090.523+150+576.781</f>
        <v>10182.632999999998</v>
      </c>
      <c r="G18" s="9">
        <v>2478.54</v>
      </c>
      <c r="H18" s="9">
        <f t="shared" si="1"/>
        <v>2585.1172199999996</v>
      </c>
    </row>
    <row r="19" spans="1:8" s="4" customFormat="1" ht="25.5">
      <c r="A19" s="116"/>
      <c r="B19" s="8" t="s">
        <v>144</v>
      </c>
      <c r="C19" s="106"/>
      <c r="D19" s="106"/>
      <c r="E19" s="9">
        <f t="shared" si="0"/>
        <v>7239.102811000001</v>
      </c>
      <c r="F19" s="9">
        <f>2271.886+225+30-150+21.171</f>
        <v>2398.057</v>
      </c>
      <c r="G19" s="9">
        <v>2369.577</v>
      </c>
      <c r="H19" s="9">
        <f t="shared" si="1"/>
        <v>2471.468811</v>
      </c>
    </row>
    <row r="20" spans="1:8" s="4" customFormat="1" ht="12.75">
      <c r="A20" s="116"/>
      <c r="B20" s="8" t="s">
        <v>145</v>
      </c>
      <c r="C20" s="106"/>
      <c r="D20" s="106"/>
      <c r="E20" s="9">
        <f t="shared" si="0"/>
        <v>493.1458749999987</v>
      </c>
      <c r="F20" s="9">
        <f>146.333+35+38412.988-38412.988</f>
        <v>181.33299999999872</v>
      </c>
      <c r="G20" s="9">
        <v>152.625</v>
      </c>
      <c r="H20" s="9">
        <f t="shared" si="1"/>
        <v>159.187875</v>
      </c>
    </row>
    <row r="21" spans="1:8" s="4" customFormat="1" ht="25.5">
      <c r="A21" s="116"/>
      <c r="B21" s="8" t="s">
        <v>280</v>
      </c>
      <c r="C21" s="106"/>
      <c r="D21" s="106"/>
      <c r="E21" s="9">
        <f t="shared" si="0"/>
        <v>38412.988</v>
      </c>
      <c r="F21" s="9">
        <v>38412.988</v>
      </c>
      <c r="G21" s="9"/>
      <c r="H21" s="9"/>
    </row>
    <row r="22" spans="1:8" s="4" customFormat="1" ht="12.75">
      <c r="A22" s="116"/>
      <c r="B22" s="8" t="s">
        <v>146</v>
      </c>
      <c r="C22" s="106"/>
      <c r="D22" s="106"/>
      <c r="E22" s="9">
        <f t="shared" si="0"/>
        <v>334.946</v>
      </c>
      <c r="F22" s="9">
        <v>334.946</v>
      </c>
      <c r="G22" s="9"/>
      <c r="H22" s="9"/>
    </row>
    <row r="23" spans="1:8" s="4" customFormat="1" ht="38.25">
      <c r="A23" s="116"/>
      <c r="B23" s="8" t="s">
        <v>147</v>
      </c>
      <c r="C23" s="106"/>
      <c r="D23" s="106"/>
      <c r="E23" s="9">
        <f t="shared" si="0"/>
        <v>24084.136454000003</v>
      </c>
      <c r="F23" s="9">
        <f>5759.135+5342.943+710.211</f>
        <v>11812.289</v>
      </c>
      <c r="G23" s="9">
        <v>6006.778</v>
      </c>
      <c r="H23" s="9">
        <f t="shared" si="1"/>
        <v>6265.0694539999995</v>
      </c>
    </row>
    <row r="24" spans="1:8" s="4" customFormat="1" ht="12.75">
      <c r="A24" s="116"/>
      <c r="B24" s="8" t="s">
        <v>148</v>
      </c>
      <c r="C24" s="106"/>
      <c r="D24" s="106"/>
      <c r="E24" s="9">
        <f t="shared" si="0"/>
        <v>3851.8760669999997</v>
      </c>
      <c r="F24" s="9">
        <f>1081.274+953.557-486.987</f>
        <v>1547.8439999999998</v>
      </c>
      <c r="G24" s="9">
        <v>1127.769</v>
      </c>
      <c r="H24" s="9">
        <f t="shared" si="1"/>
        <v>1176.2630669999999</v>
      </c>
    </row>
    <row r="25" spans="1:8" s="4" customFormat="1" ht="12.75">
      <c r="A25" s="116"/>
      <c r="B25" s="8" t="s">
        <v>149</v>
      </c>
      <c r="C25" s="106"/>
      <c r="D25" s="106"/>
      <c r="E25" s="9">
        <f t="shared" si="0"/>
        <v>3191.016112</v>
      </c>
      <c r="F25" s="9">
        <f>688+262+226+77.682+471.31</f>
        <v>1724.992</v>
      </c>
      <c r="G25" s="9">
        <v>717.584</v>
      </c>
      <c r="H25" s="9">
        <f t="shared" si="1"/>
        <v>748.4401119999999</v>
      </c>
    </row>
    <row r="26" spans="1:8" s="4" customFormat="1" ht="38.25">
      <c r="A26" s="116"/>
      <c r="B26" s="8" t="s">
        <v>150</v>
      </c>
      <c r="C26" s="106"/>
      <c r="D26" s="106"/>
      <c r="E26" s="9">
        <f t="shared" si="0"/>
        <v>6096.36997</v>
      </c>
      <c r="F26" s="9">
        <f>2500-508.83-137.682</f>
        <v>1853.488</v>
      </c>
      <c r="G26" s="9">
        <v>2076.79</v>
      </c>
      <c r="H26" s="9">
        <f t="shared" si="1"/>
        <v>2166.09197</v>
      </c>
    </row>
    <row r="27" spans="1:8" s="4" customFormat="1" ht="25.5">
      <c r="A27" s="116"/>
      <c r="B27" s="8" t="s">
        <v>159</v>
      </c>
      <c r="C27" s="106"/>
      <c r="D27" s="106"/>
      <c r="E27" s="9">
        <f t="shared" si="0"/>
        <v>3158.449892</v>
      </c>
      <c r="F27" s="9">
        <f>689.443-0.043+1000.043</f>
        <v>1689.443</v>
      </c>
      <c r="G27" s="9">
        <v>719.044</v>
      </c>
      <c r="H27" s="9">
        <f t="shared" si="1"/>
        <v>749.9628919999999</v>
      </c>
    </row>
    <row r="28" spans="1:8" s="4" customFormat="1" ht="12.75">
      <c r="A28" s="116"/>
      <c r="B28" s="8" t="s">
        <v>160</v>
      </c>
      <c r="C28" s="106"/>
      <c r="D28" s="106"/>
      <c r="E28" s="9">
        <f t="shared" si="0"/>
        <v>586.236731</v>
      </c>
      <c r="F28" s="9">
        <f>177.389+30.858</f>
        <v>208.247</v>
      </c>
      <c r="G28" s="9">
        <v>185.017</v>
      </c>
      <c r="H28" s="9">
        <f>G28*1.043</f>
        <v>192.97273099999998</v>
      </c>
    </row>
    <row r="29" spans="1:8" s="4" customFormat="1" ht="38.25">
      <c r="A29" s="116"/>
      <c r="B29" s="8" t="s">
        <v>151</v>
      </c>
      <c r="C29" s="106"/>
      <c r="D29" s="106"/>
      <c r="E29" s="9">
        <f t="shared" si="0"/>
        <v>546.4670639999999</v>
      </c>
      <c r="F29" s="9">
        <v>174.543</v>
      </c>
      <c r="G29" s="9">
        <v>182.048</v>
      </c>
      <c r="H29" s="9">
        <f>G29*1.043</f>
        <v>189.87606399999999</v>
      </c>
    </row>
    <row r="30" spans="1:8" s="4" customFormat="1" ht="25.5">
      <c r="A30" s="116"/>
      <c r="B30" s="8" t="s">
        <v>152</v>
      </c>
      <c r="C30" s="106"/>
      <c r="D30" s="106"/>
      <c r="E30" s="9">
        <f t="shared" si="0"/>
        <v>6685.588540999999</v>
      </c>
      <c r="F30" s="9">
        <f>1109+3153.477+60</f>
        <v>4322.477</v>
      </c>
      <c r="G30" s="9">
        <v>1156.687</v>
      </c>
      <c r="H30" s="9">
        <f>G30*1.043</f>
        <v>1206.4245409999999</v>
      </c>
    </row>
    <row r="31" spans="1:8" s="4" customFormat="1" ht="38.25">
      <c r="A31" s="116"/>
      <c r="B31" s="8" t="s">
        <v>173</v>
      </c>
      <c r="C31" s="106"/>
      <c r="D31" s="106"/>
      <c r="E31" s="9">
        <f>F31+G31+H31</f>
        <v>11989.095</v>
      </c>
      <c r="F31" s="9">
        <f>7953.187+3739.505+205+91.403</f>
        <v>11989.095</v>
      </c>
      <c r="G31" s="9"/>
      <c r="H31" s="9"/>
    </row>
    <row r="32" spans="1:8" s="4" customFormat="1" ht="12.75">
      <c r="A32" s="112" t="s">
        <v>107</v>
      </c>
      <c r="B32" s="113"/>
      <c r="C32" s="113"/>
      <c r="D32" s="113"/>
      <c r="E32" s="113"/>
      <c r="F32" s="113"/>
      <c r="G32" s="113"/>
      <c r="H32" s="114"/>
    </row>
    <row r="33" spans="1:8" s="4" customFormat="1" ht="12.75">
      <c r="A33" s="108" t="s">
        <v>112</v>
      </c>
      <c r="B33" s="6"/>
      <c r="C33" s="105" t="s">
        <v>19</v>
      </c>
      <c r="D33" s="105" t="s">
        <v>20</v>
      </c>
      <c r="E33" s="7">
        <f aca="true" t="shared" si="2" ref="E33:E46">F33+G33+H33</f>
        <v>11887.522467</v>
      </c>
      <c r="F33" s="7">
        <f>SUM(F34:F47)</f>
        <v>10870.989000000001</v>
      </c>
      <c r="G33" s="7">
        <f>SUM(G34:G47)</f>
        <v>497.569</v>
      </c>
      <c r="H33" s="7">
        <f>SUM(H34:H47)</f>
        <v>518.964467</v>
      </c>
    </row>
    <row r="34" spans="1:8" s="4" customFormat="1" ht="51">
      <c r="A34" s="110"/>
      <c r="B34" s="8" t="s">
        <v>153</v>
      </c>
      <c r="C34" s="106"/>
      <c r="D34" s="106"/>
      <c r="E34" s="9">
        <f t="shared" si="2"/>
        <v>6605.018999999999</v>
      </c>
      <c r="F34" s="9">
        <f>9178.337-210.924-50.774-458-1822-6.62-25</f>
        <v>6605.018999999999</v>
      </c>
      <c r="G34" s="9"/>
      <c r="H34" s="9"/>
    </row>
    <row r="35" spans="1:8" s="4" customFormat="1" ht="89.25">
      <c r="A35" s="110"/>
      <c r="B35" s="8" t="s">
        <v>154</v>
      </c>
      <c r="C35" s="106"/>
      <c r="D35" s="106"/>
      <c r="E35" s="9">
        <f t="shared" si="2"/>
        <v>1378.326467</v>
      </c>
      <c r="F35" s="9">
        <v>361.793</v>
      </c>
      <c r="G35" s="9">
        <v>497.569</v>
      </c>
      <c r="H35" s="9">
        <f>G35*1.043</f>
        <v>518.964467</v>
      </c>
    </row>
    <row r="36" spans="1:8" s="4" customFormat="1" ht="63.75">
      <c r="A36" s="110"/>
      <c r="B36" s="8" t="s">
        <v>242</v>
      </c>
      <c r="C36" s="106"/>
      <c r="D36" s="106"/>
      <c r="E36" s="9">
        <f t="shared" si="2"/>
        <v>3.933</v>
      </c>
      <c r="F36" s="9">
        <v>3.933</v>
      </c>
      <c r="G36" s="9"/>
      <c r="H36" s="9"/>
    </row>
    <row r="37" spans="1:8" s="4" customFormat="1" ht="38.25">
      <c r="A37" s="110"/>
      <c r="B37" s="8" t="s">
        <v>183</v>
      </c>
      <c r="C37" s="106"/>
      <c r="D37" s="106"/>
      <c r="E37" s="9">
        <f t="shared" si="2"/>
        <v>651.056</v>
      </c>
      <c r="F37" s="9">
        <v>651.056</v>
      </c>
      <c r="G37" s="9"/>
      <c r="H37" s="9"/>
    </row>
    <row r="38" spans="1:8" s="4" customFormat="1" ht="38.25">
      <c r="A38" s="110"/>
      <c r="B38" s="37" t="s">
        <v>251</v>
      </c>
      <c r="C38" s="106"/>
      <c r="D38" s="106"/>
      <c r="E38" s="9">
        <f t="shared" si="2"/>
        <v>360.329</v>
      </c>
      <c r="F38" s="9">
        <v>360.329</v>
      </c>
      <c r="G38" s="9"/>
      <c r="H38" s="9"/>
    </row>
    <row r="39" spans="1:8" s="4" customFormat="1" ht="38.25">
      <c r="A39" s="110"/>
      <c r="B39" s="37" t="s">
        <v>252</v>
      </c>
      <c r="C39" s="106"/>
      <c r="D39" s="106"/>
      <c r="E39" s="9">
        <f t="shared" si="2"/>
        <v>228.103</v>
      </c>
      <c r="F39" s="9">
        <v>228.103</v>
      </c>
      <c r="G39" s="9"/>
      <c r="H39" s="9"/>
    </row>
    <row r="40" spans="1:8" s="4" customFormat="1" ht="51">
      <c r="A40" s="110"/>
      <c r="B40" s="37" t="s">
        <v>253</v>
      </c>
      <c r="C40" s="106"/>
      <c r="D40" s="106"/>
      <c r="E40" s="9">
        <f t="shared" si="2"/>
        <v>445.805</v>
      </c>
      <c r="F40" s="9">
        <v>445.805</v>
      </c>
      <c r="G40" s="9"/>
      <c r="H40" s="9"/>
    </row>
    <row r="41" spans="1:8" s="4" customFormat="1" ht="38.25">
      <c r="A41" s="110"/>
      <c r="B41" s="37" t="s">
        <v>254</v>
      </c>
      <c r="C41" s="106"/>
      <c r="D41" s="106"/>
      <c r="E41" s="9">
        <f t="shared" si="2"/>
        <v>387.792</v>
      </c>
      <c r="F41" s="9">
        <v>387.792</v>
      </c>
      <c r="G41" s="9"/>
      <c r="H41" s="9"/>
    </row>
    <row r="42" spans="1:8" s="4" customFormat="1" ht="63.75">
      <c r="A42" s="110"/>
      <c r="B42" s="37" t="s">
        <v>279</v>
      </c>
      <c r="C42" s="106"/>
      <c r="D42" s="106"/>
      <c r="E42" s="9">
        <f t="shared" si="2"/>
        <v>131.708</v>
      </c>
      <c r="F42" s="9">
        <v>131.708</v>
      </c>
      <c r="G42" s="9"/>
      <c r="H42" s="9"/>
    </row>
    <row r="43" spans="1:8" s="4" customFormat="1" ht="102">
      <c r="A43" s="110"/>
      <c r="B43" s="8" t="s">
        <v>174</v>
      </c>
      <c r="C43" s="106"/>
      <c r="D43" s="106"/>
      <c r="E43" s="9">
        <f t="shared" si="2"/>
        <v>115.263</v>
      </c>
      <c r="F43" s="9">
        <v>115.263</v>
      </c>
      <c r="G43" s="9"/>
      <c r="H43" s="9"/>
    </row>
    <row r="44" spans="1:8" s="4" customFormat="1" ht="63.75">
      <c r="A44" s="110"/>
      <c r="B44" s="8" t="s">
        <v>176</v>
      </c>
      <c r="C44" s="106"/>
      <c r="D44" s="106"/>
      <c r="E44" s="9">
        <f t="shared" si="2"/>
        <v>25.7</v>
      </c>
      <c r="F44" s="9">
        <v>25.7</v>
      </c>
      <c r="G44" s="9"/>
      <c r="H44" s="9"/>
    </row>
    <row r="45" spans="1:8" s="4" customFormat="1" ht="102">
      <c r="A45" s="110"/>
      <c r="B45" s="8" t="s">
        <v>175</v>
      </c>
      <c r="C45" s="106"/>
      <c r="D45" s="106"/>
      <c r="E45" s="9">
        <f t="shared" si="2"/>
        <v>821.672</v>
      </c>
      <c r="F45" s="9">
        <v>821.672</v>
      </c>
      <c r="G45" s="9"/>
      <c r="H45" s="9"/>
    </row>
    <row r="46" spans="1:8" s="4" customFormat="1" ht="51">
      <c r="A46" s="110"/>
      <c r="B46" s="8" t="s">
        <v>201</v>
      </c>
      <c r="C46" s="106"/>
      <c r="D46" s="106"/>
      <c r="E46" s="9">
        <f t="shared" si="2"/>
        <v>96.10000000000001</v>
      </c>
      <c r="F46" s="9">
        <f>96.099+0.001</f>
        <v>96.10000000000001</v>
      </c>
      <c r="G46" s="9"/>
      <c r="H46" s="9"/>
    </row>
    <row r="47" spans="1:8" s="4" customFormat="1" ht="63.75">
      <c r="A47" s="110"/>
      <c r="B47" s="8" t="s">
        <v>184</v>
      </c>
      <c r="C47" s="106"/>
      <c r="D47" s="106"/>
      <c r="E47" s="9">
        <f>F47+G47+H47</f>
        <v>636.716</v>
      </c>
      <c r="F47" s="9">
        <v>636.716</v>
      </c>
      <c r="G47" s="9"/>
      <c r="H47" s="9"/>
    </row>
    <row r="48" spans="1:8" s="4" customFormat="1" ht="12.75">
      <c r="A48" s="117" t="s">
        <v>112</v>
      </c>
      <c r="B48" s="8"/>
      <c r="C48" s="105" t="s">
        <v>44</v>
      </c>
      <c r="D48" s="105" t="s">
        <v>20</v>
      </c>
      <c r="E48" s="7">
        <f>F48+G48+H48</f>
        <v>9.926</v>
      </c>
      <c r="F48" s="7">
        <f>F49</f>
        <v>9.926</v>
      </c>
      <c r="G48" s="7">
        <f>G49</f>
        <v>0</v>
      </c>
      <c r="H48" s="7">
        <f>H49</f>
        <v>0</v>
      </c>
    </row>
    <row r="49" spans="1:8" s="4" customFormat="1" ht="38.25">
      <c r="A49" s="117"/>
      <c r="B49" s="8" t="s">
        <v>250</v>
      </c>
      <c r="C49" s="107"/>
      <c r="D49" s="107"/>
      <c r="E49" s="9">
        <f>F49+G49+H49</f>
        <v>9.926</v>
      </c>
      <c r="F49" s="9">
        <v>9.926</v>
      </c>
      <c r="G49" s="9"/>
      <c r="H49" s="9"/>
    </row>
    <row r="50" spans="1:8" s="4" customFormat="1" ht="12.75">
      <c r="A50" s="112" t="s">
        <v>177</v>
      </c>
      <c r="B50" s="120"/>
      <c r="C50" s="120"/>
      <c r="D50" s="120"/>
      <c r="E50" s="120"/>
      <c r="F50" s="120"/>
      <c r="G50" s="120"/>
      <c r="H50" s="121"/>
    </row>
    <row r="51" spans="1:8" s="4" customFormat="1" ht="12.75">
      <c r="A51" s="115" t="s">
        <v>178</v>
      </c>
      <c r="B51" s="74"/>
      <c r="C51" s="105" t="s">
        <v>19</v>
      </c>
      <c r="D51" s="105" t="s">
        <v>20</v>
      </c>
      <c r="E51" s="7">
        <f>E52</f>
        <v>449.3</v>
      </c>
      <c r="F51" s="7">
        <f>F52</f>
        <v>449.3</v>
      </c>
      <c r="G51" s="7">
        <f>G52</f>
        <v>0</v>
      </c>
      <c r="H51" s="7">
        <f>H52</f>
        <v>0</v>
      </c>
    </row>
    <row r="52" spans="1:8" s="4" customFormat="1" ht="63.75">
      <c r="A52" s="97"/>
      <c r="B52" s="8" t="s">
        <v>179</v>
      </c>
      <c r="C52" s="118"/>
      <c r="D52" s="118"/>
      <c r="E52" s="9">
        <f>F52+G52+H52</f>
        <v>449.3</v>
      </c>
      <c r="F52" s="9">
        <v>449.3</v>
      </c>
      <c r="G52" s="9"/>
      <c r="H52" s="9"/>
    </row>
    <row r="53" spans="1:8" s="4" customFormat="1" ht="12.75">
      <c r="A53" s="112" t="s">
        <v>108</v>
      </c>
      <c r="B53" s="113"/>
      <c r="C53" s="113"/>
      <c r="D53" s="113"/>
      <c r="E53" s="113"/>
      <c r="F53" s="113"/>
      <c r="G53" s="113"/>
      <c r="H53" s="114"/>
    </row>
    <row r="54" spans="1:8" s="4" customFormat="1" ht="12.75" customHeight="1">
      <c r="A54" s="102" t="s">
        <v>113</v>
      </c>
      <c r="B54" s="6"/>
      <c r="C54" s="105" t="s">
        <v>19</v>
      </c>
      <c r="D54" s="105" t="s">
        <v>20</v>
      </c>
      <c r="E54" s="7">
        <f aca="true" t="shared" si="3" ref="E54:E72">F54+G54+H54</f>
        <v>161133.402</v>
      </c>
      <c r="F54" s="7">
        <f>SUM(F55:F63)-F59-F60-F61-F62</f>
        <v>44416.39300000001</v>
      </c>
      <c r="G54" s="7">
        <f>SUM(G55:G72)</f>
        <v>77717.00899999999</v>
      </c>
      <c r="H54" s="7">
        <f>SUM(H55:H72)</f>
        <v>39000</v>
      </c>
    </row>
    <row r="55" spans="1:8" s="4" customFormat="1" ht="25.5" customHeight="1">
      <c r="A55" s="103"/>
      <c r="B55" s="8" t="s">
        <v>197</v>
      </c>
      <c r="C55" s="106"/>
      <c r="D55" s="106"/>
      <c r="E55" s="9">
        <f t="shared" si="3"/>
        <v>16636.323</v>
      </c>
      <c r="F55" s="9">
        <v>7745.842</v>
      </c>
      <c r="G55" s="9">
        <v>8890.481</v>
      </c>
      <c r="H55" s="9"/>
    </row>
    <row r="56" spans="1:10" s="4" customFormat="1" ht="25.5" customHeight="1">
      <c r="A56" s="103"/>
      <c r="B56" s="8" t="s">
        <v>198</v>
      </c>
      <c r="C56" s="106"/>
      <c r="D56" s="106"/>
      <c r="E56" s="9">
        <f t="shared" si="3"/>
        <v>98785.353</v>
      </c>
      <c r="F56" s="9">
        <v>14225.573</v>
      </c>
      <c r="G56" s="9">
        <v>45559.78</v>
      </c>
      <c r="H56" s="9">
        <v>39000</v>
      </c>
      <c r="I56" s="4" t="s">
        <v>202</v>
      </c>
      <c r="J56" s="75">
        <v>10</v>
      </c>
    </row>
    <row r="57" spans="1:10" s="4" customFormat="1" ht="38.25">
      <c r="A57" s="103"/>
      <c r="B57" s="8" t="s">
        <v>185</v>
      </c>
      <c r="C57" s="106"/>
      <c r="D57" s="106"/>
      <c r="E57" s="9">
        <f t="shared" si="3"/>
        <v>8082.025000000001</v>
      </c>
      <c r="F57" s="9">
        <f>8099.256-17.235+0.004</f>
        <v>8082.025000000001</v>
      </c>
      <c r="G57" s="9"/>
      <c r="H57" s="9"/>
      <c r="I57" s="4" t="s">
        <v>202</v>
      </c>
      <c r="J57" s="4">
        <v>17.235</v>
      </c>
    </row>
    <row r="58" spans="1:8" s="4" customFormat="1" ht="51">
      <c r="A58" s="103"/>
      <c r="B58" s="8" t="s">
        <v>256</v>
      </c>
      <c r="C58" s="106"/>
      <c r="D58" s="106"/>
      <c r="E58" s="9">
        <f t="shared" si="3"/>
        <v>10213.9</v>
      </c>
      <c r="F58" s="9">
        <f>10394.32+285-506.62+41.2</f>
        <v>10213.9</v>
      </c>
      <c r="G58" s="9"/>
      <c r="H58" s="9"/>
    </row>
    <row r="59" spans="1:8" s="76" customFormat="1" ht="204">
      <c r="A59" s="103"/>
      <c r="B59" s="21" t="s">
        <v>260</v>
      </c>
      <c r="C59" s="106"/>
      <c r="D59" s="106"/>
      <c r="E59" s="22">
        <f t="shared" si="3"/>
        <v>4449.34</v>
      </c>
      <c r="F59" s="22">
        <v>4449.34</v>
      </c>
      <c r="G59" s="22"/>
      <c r="H59" s="22"/>
    </row>
    <row r="60" spans="1:8" s="76" customFormat="1" ht="25.5">
      <c r="A60" s="103"/>
      <c r="B60" s="21" t="s">
        <v>257</v>
      </c>
      <c r="C60" s="106"/>
      <c r="D60" s="106"/>
      <c r="E60" s="22">
        <f t="shared" si="3"/>
        <v>4640.86</v>
      </c>
      <c r="F60" s="22">
        <v>4640.86</v>
      </c>
      <c r="G60" s="22"/>
      <c r="H60" s="22"/>
    </row>
    <row r="61" spans="1:8" s="76" customFormat="1" ht="25.5">
      <c r="A61" s="103"/>
      <c r="B61" s="21" t="s">
        <v>258</v>
      </c>
      <c r="C61" s="106"/>
      <c r="D61" s="106"/>
      <c r="E61" s="22">
        <f t="shared" si="3"/>
        <v>797.5</v>
      </c>
      <c r="F61" s="22">
        <v>797.5</v>
      </c>
      <c r="G61" s="22"/>
      <c r="H61" s="22"/>
    </row>
    <row r="62" spans="1:8" s="76" customFormat="1" ht="25.5">
      <c r="A62" s="103"/>
      <c r="B62" s="21" t="s">
        <v>259</v>
      </c>
      <c r="C62" s="106"/>
      <c r="D62" s="106"/>
      <c r="E62" s="22">
        <f t="shared" si="3"/>
        <v>326.2</v>
      </c>
      <c r="F62" s="22">
        <f>285+41.2</f>
        <v>326.2</v>
      </c>
      <c r="G62" s="22"/>
      <c r="H62" s="22"/>
    </row>
    <row r="63" spans="1:8" s="4" customFormat="1" ht="51">
      <c r="A63" s="103"/>
      <c r="B63" s="8" t="s">
        <v>186</v>
      </c>
      <c r="C63" s="107"/>
      <c r="D63" s="107"/>
      <c r="E63" s="9">
        <f t="shared" si="3"/>
        <v>4149.053</v>
      </c>
      <c r="F63" s="9">
        <f>6469.853-822-1498.8</f>
        <v>4149.053</v>
      </c>
      <c r="G63" s="9"/>
      <c r="H63" s="9"/>
    </row>
    <row r="64" spans="1:8" s="4" customFormat="1" ht="12.75">
      <c r="A64" s="117" t="s">
        <v>113</v>
      </c>
      <c r="B64" s="8"/>
      <c r="C64" s="93" t="s">
        <v>109</v>
      </c>
      <c r="D64" s="93" t="s">
        <v>20</v>
      </c>
      <c r="E64" s="7">
        <f>F64+G64+H64</f>
        <v>18366.592</v>
      </c>
      <c r="F64" s="7">
        <f>SUM(F65:F68)</f>
        <v>6733.218</v>
      </c>
      <c r="G64" s="7">
        <f>SUM(G65:G68)</f>
        <v>11633.374</v>
      </c>
      <c r="H64" s="7">
        <f>SUM(H65:H68)</f>
        <v>0</v>
      </c>
    </row>
    <row r="65" spans="1:8" s="4" customFormat="1" ht="38.25" customHeight="1">
      <c r="A65" s="117"/>
      <c r="B65" s="8" t="s">
        <v>155</v>
      </c>
      <c r="C65" s="94"/>
      <c r="D65" s="94"/>
      <c r="E65" s="9">
        <f t="shared" si="3"/>
        <v>16082.011999999999</v>
      </c>
      <c r="F65" s="9">
        <v>4448.638</v>
      </c>
      <c r="G65" s="9">
        <v>11633.374</v>
      </c>
      <c r="H65" s="9"/>
    </row>
    <row r="66" spans="1:8" s="4" customFormat="1" ht="38.25">
      <c r="A66" s="117"/>
      <c r="B66" s="8" t="s">
        <v>185</v>
      </c>
      <c r="C66" s="95"/>
      <c r="D66" s="95"/>
      <c r="E66" s="9">
        <f t="shared" si="3"/>
        <v>248.118</v>
      </c>
      <c r="F66" s="9">
        <v>248.118</v>
      </c>
      <c r="G66" s="9"/>
      <c r="H66" s="9"/>
    </row>
    <row r="67" spans="1:8" s="4" customFormat="1" ht="12.75" customHeight="1">
      <c r="A67" s="102" t="s">
        <v>113</v>
      </c>
      <c r="B67" s="8"/>
      <c r="C67" s="93" t="s">
        <v>110</v>
      </c>
      <c r="D67" s="93" t="s">
        <v>20</v>
      </c>
      <c r="E67" s="7">
        <f>F67+G67+H67</f>
        <v>1028.731</v>
      </c>
      <c r="F67" s="7">
        <f>SUM(F68:F69)</f>
        <v>1028.731</v>
      </c>
      <c r="G67" s="7">
        <f>SUM(G68:G69)</f>
        <v>0</v>
      </c>
      <c r="H67" s="7">
        <f>SUM(H68:H69)</f>
        <v>0</v>
      </c>
    </row>
    <row r="68" spans="1:8" s="4" customFormat="1" ht="25.5" customHeight="1">
      <c r="A68" s="103"/>
      <c r="B68" s="8" t="s">
        <v>156</v>
      </c>
      <c r="C68" s="94"/>
      <c r="D68" s="94"/>
      <c r="E68" s="9">
        <f t="shared" si="3"/>
        <v>1007.731</v>
      </c>
      <c r="F68" s="9">
        <v>1007.731</v>
      </c>
      <c r="G68" s="9"/>
      <c r="H68" s="9"/>
    </row>
    <row r="69" spans="1:8" s="4" customFormat="1" ht="38.25">
      <c r="A69" s="104"/>
      <c r="B69" s="8" t="s">
        <v>185</v>
      </c>
      <c r="C69" s="95"/>
      <c r="D69" s="95"/>
      <c r="E69" s="9">
        <f t="shared" si="3"/>
        <v>21</v>
      </c>
      <c r="F69" s="9">
        <v>21</v>
      </c>
      <c r="G69" s="9"/>
      <c r="H69" s="9"/>
    </row>
    <row r="70" spans="1:8" s="4" customFormat="1" ht="12.75" customHeight="1">
      <c r="A70" s="102" t="s">
        <v>113</v>
      </c>
      <c r="B70" s="8"/>
      <c r="C70" s="93" t="s">
        <v>46</v>
      </c>
      <c r="D70" s="93" t="s">
        <v>20</v>
      </c>
      <c r="E70" s="7">
        <f>F70+G70+H70</f>
        <v>3.758</v>
      </c>
      <c r="F70" s="7">
        <f>SUM(F71:F72)</f>
        <v>3.758</v>
      </c>
      <c r="G70" s="7">
        <f>SUM(G71:G72)</f>
        <v>0</v>
      </c>
      <c r="H70" s="7">
        <f>SUM(H71:H72)</f>
        <v>0</v>
      </c>
    </row>
    <row r="71" spans="1:8" s="4" customFormat="1" ht="25.5" customHeight="1">
      <c r="A71" s="103"/>
      <c r="B71" s="8" t="s">
        <v>156</v>
      </c>
      <c r="C71" s="94"/>
      <c r="D71" s="94"/>
      <c r="E71" s="9">
        <f t="shared" si="3"/>
        <v>0.758</v>
      </c>
      <c r="F71" s="9">
        <v>0.758</v>
      </c>
      <c r="G71" s="9"/>
      <c r="H71" s="9"/>
    </row>
    <row r="72" spans="1:8" s="4" customFormat="1" ht="38.25">
      <c r="A72" s="104"/>
      <c r="B72" s="8" t="s">
        <v>185</v>
      </c>
      <c r="C72" s="95"/>
      <c r="D72" s="95"/>
      <c r="E72" s="9">
        <f t="shared" si="3"/>
        <v>3</v>
      </c>
      <c r="F72" s="9">
        <v>3</v>
      </c>
      <c r="G72" s="9"/>
      <c r="H72" s="9"/>
    </row>
    <row r="73" spans="1:8" s="4" customFormat="1" ht="12.75">
      <c r="A73" s="112" t="s">
        <v>219</v>
      </c>
      <c r="B73" s="113"/>
      <c r="C73" s="113"/>
      <c r="D73" s="113"/>
      <c r="E73" s="113"/>
      <c r="F73" s="113"/>
      <c r="G73" s="113"/>
      <c r="H73" s="114"/>
    </row>
    <row r="74" spans="1:8" s="4" customFormat="1" ht="12.75">
      <c r="A74" s="102" t="s">
        <v>220</v>
      </c>
      <c r="B74" s="8"/>
      <c r="C74" s="119" t="s">
        <v>19</v>
      </c>
      <c r="D74" s="119" t="s">
        <v>20</v>
      </c>
      <c r="E74" s="7">
        <f>F74+G74+H74</f>
        <v>1529.9389999999999</v>
      </c>
      <c r="F74" s="89">
        <f>SUM(F75:F75)</f>
        <v>1529.9389999999999</v>
      </c>
      <c r="G74" s="89">
        <f>SUM(G75:G75)</f>
        <v>0</v>
      </c>
      <c r="H74" s="89">
        <f>SUM(H75:H75)</f>
        <v>0</v>
      </c>
    </row>
    <row r="75" spans="1:8" s="4" customFormat="1" ht="38.25">
      <c r="A75" s="103"/>
      <c r="B75" s="8" t="s">
        <v>249</v>
      </c>
      <c r="C75" s="92"/>
      <c r="D75" s="92"/>
      <c r="E75" s="9">
        <f>F75+G75+H75</f>
        <v>1529.9389999999999</v>
      </c>
      <c r="F75" s="9">
        <f>1292.78+237.159</f>
        <v>1529.9389999999999</v>
      </c>
      <c r="G75" s="89"/>
      <c r="H75" s="89"/>
    </row>
    <row r="76" spans="1:8" s="2" customFormat="1" ht="12.75">
      <c r="A76" s="98" t="s">
        <v>127</v>
      </c>
      <c r="B76" s="98"/>
      <c r="C76" s="98"/>
      <c r="D76" s="98"/>
      <c r="E76" s="98"/>
      <c r="F76" s="98"/>
      <c r="G76" s="98"/>
      <c r="H76" s="98"/>
    </row>
    <row r="77" spans="1:8" s="2" customFormat="1" ht="12.75">
      <c r="A77" s="100" t="s">
        <v>70</v>
      </c>
      <c r="B77" s="6"/>
      <c r="C77" s="101" t="s">
        <v>19</v>
      </c>
      <c r="D77" s="101" t="s">
        <v>20</v>
      </c>
      <c r="E77" s="7">
        <f aca="true" t="shared" si="4" ref="E77:E92">F77+G77+H77</f>
        <v>185281.18761999998</v>
      </c>
      <c r="F77" s="7">
        <f>SUM(F78:F92)-F79-F80-F81-F91-F92</f>
        <v>47820.86499999999</v>
      </c>
      <c r="G77" s="7">
        <f>SUM(G78:G92)-G79-G80-G81-G91-G92</f>
        <v>56568.034000000014</v>
      </c>
      <c r="H77" s="7">
        <f>SUM(H78:H92)-H79-H80-H81-H91-H92</f>
        <v>80892.28861999996</v>
      </c>
    </row>
    <row r="78" spans="1:8" ht="12.75" customHeight="1">
      <c r="A78" s="100"/>
      <c r="B78" s="8" t="s">
        <v>66</v>
      </c>
      <c r="C78" s="101"/>
      <c r="D78" s="101"/>
      <c r="E78" s="9">
        <f t="shared" si="4"/>
        <v>121485.98428</v>
      </c>
      <c r="F78" s="9">
        <f>23425.242+9260.96+0.04+2600-574.959-784.822-19.704-97.518-10.272-6.887-2779+746.639+10.272+1123.28+1979.6-1122-2700</f>
        <v>31050.871</v>
      </c>
      <c r="G78" s="9">
        <v>37216.096</v>
      </c>
      <c r="H78" s="9">
        <f>G78*1.43</f>
        <v>53219.01727999999</v>
      </c>
    </row>
    <row r="79" spans="1:8" ht="89.25">
      <c r="A79" s="100"/>
      <c r="B79" s="21" t="s">
        <v>126</v>
      </c>
      <c r="C79" s="101"/>
      <c r="D79" s="101"/>
      <c r="E79" s="22">
        <f t="shared" si="4"/>
        <v>30974.306783</v>
      </c>
      <c r="F79" s="22">
        <f>9260.96+0.04+1979.6</f>
        <v>11240.6</v>
      </c>
      <c r="G79" s="22">
        <v>9659.181</v>
      </c>
      <c r="H79" s="22">
        <f>G79*1.043</f>
        <v>10074.525783</v>
      </c>
    </row>
    <row r="80" spans="1:8" s="23" customFormat="1" ht="42.75" customHeight="1">
      <c r="A80" s="100"/>
      <c r="B80" s="21" t="s">
        <v>125</v>
      </c>
      <c r="C80" s="101"/>
      <c r="D80" s="101"/>
      <c r="E80" s="22">
        <f t="shared" si="4"/>
        <v>8354.556400000001</v>
      </c>
      <c r="F80" s="22">
        <f>2600-784.822-19.704-97.518-10.272-6.887+10.272+1123.28</f>
        <v>2814.349</v>
      </c>
      <c r="G80" s="22">
        <v>2711.8</v>
      </c>
      <c r="H80" s="22">
        <f>G80*1.043</f>
        <v>2828.4074</v>
      </c>
    </row>
    <row r="81" spans="1:8" s="23" customFormat="1" ht="102">
      <c r="A81" s="100"/>
      <c r="B81" s="21" t="s">
        <v>221</v>
      </c>
      <c r="C81" s="101"/>
      <c r="D81" s="101"/>
      <c r="E81" s="22">
        <f t="shared" si="4"/>
        <v>746.639</v>
      </c>
      <c r="F81" s="22">
        <v>746.639</v>
      </c>
      <c r="G81" s="22"/>
      <c r="H81" s="22"/>
    </row>
    <row r="82" spans="1:8" ht="25.5">
      <c r="A82" s="100"/>
      <c r="B82" s="10" t="s">
        <v>67</v>
      </c>
      <c r="C82" s="101"/>
      <c r="D82" s="101"/>
      <c r="E82" s="9">
        <f t="shared" si="4"/>
        <v>35085.846999999994</v>
      </c>
      <c r="F82" s="9">
        <f>8500-1921.403-769.7-259.7</f>
        <v>5549.197</v>
      </c>
      <c r="G82" s="9">
        <v>12155</v>
      </c>
      <c r="H82" s="9">
        <f aca="true" t="shared" si="5" ref="H82:H88">G82*1.43</f>
        <v>17381.649999999998</v>
      </c>
    </row>
    <row r="83" spans="1:8" ht="12.75">
      <c r="A83" s="100"/>
      <c r="B83" s="10" t="s">
        <v>68</v>
      </c>
      <c r="C83" s="101"/>
      <c r="D83" s="101"/>
      <c r="E83" s="9">
        <f t="shared" si="4"/>
        <v>5575.593</v>
      </c>
      <c r="F83" s="9">
        <f>1300-66.777-175</f>
        <v>1058.223</v>
      </c>
      <c r="G83" s="9">
        <v>1859</v>
      </c>
      <c r="H83" s="9">
        <f t="shared" si="5"/>
        <v>2658.37</v>
      </c>
    </row>
    <row r="84" spans="1:8" ht="25.5">
      <c r="A84" s="100"/>
      <c r="B84" s="10" t="s">
        <v>27</v>
      </c>
      <c r="C84" s="101"/>
      <c r="D84" s="101"/>
      <c r="E84" s="9">
        <f t="shared" si="4"/>
        <v>3060.8315999999995</v>
      </c>
      <c r="F84" s="9">
        <v>684</v>
      </c>
      <c r="G84" s="9">
        <v>978.12</v>
      </c>
      <c r="H84" s="9">
        <f t="shared" si="5"/>
        <v>1398.7115999999999</v>
      </c>
    </row>
    <row r="85" spans="1:8" ht="12.75">
      <c r="A85" s="100"/>
      <c r="B85" s="10" t="s">
        <v>69</v>
      </c>
      <c r="C85" s="101"/>
      <c r="D85" s="101"/>
      <c r="E85" s="9">
        <f t="shared" si="4"/>
        <v>1912.56838</v>
      </c>
      <c r="F85" s="9">
        <f>407.496+47.725-68.2-56.3</f>
        <v>330.721</v>
      </c>
      <c r="G85" s="9">
        <v>650.966</v>
      </c>
      <c r="H85" s="9">
        <f t="shared" si="5"/>
        <v>930.8813799999999</v>
      </c>
    </row>
    <row r="86" spans="1:8" ht="12.75">
      <c r="A86" s="100"/>
      <c r="B86" s="10" t="s">
        <v>28</v>
      </c>
      <c r="C86" s="101"/>
      <c r="D86" s="101"/>
      <c r="E86" s="9">
        <f t="shared" si="4"/>
        <v>2565.98967</v>
      </c>
      <c r="F86" s="9">
        <f>626.202-82.479-153.723</f>
        <v>389.99999999999994</v>
      </c>
      <c r="G86" s="9">
        <v>895.469</v>
      </c>
      <c r="H86" s="9">
        <f t="shared" si="5"/>
        <v>1280.52067</v>
      </c>
    </row>
    <row r="87" spans="1:8" ht="38.25">
      <c r="A87" s="100"/>
      <c r="B87" s="10" t="s">
        <v>180</v>
      </c>
      <c r="C87" s="101"/>
      <c r="D87" s="101"/>
      <c r="E87" s="9">
        <f t="shared" si="4"/>
        <v>768.15769</v>
      </c>
      <c r="F87" s="9">
        <f>42.401+65+60-24.599-1.765-10-20-4.58-20+50+50</f>
        <v>186.45700000000005</v>
      </c>
      <c r="G87" s="9">
        <v>239.383</v>
      </c>
      <c r="H87" s="9">
        <f t="shared" si="5"/>
        <v>342.31769</v>
      </c>
    </row>
    <row r="88" spans="1:8" ht="25.5">
      <c r="A88" s="100"/>
      <c r="B88" s="10" t="s">
        <v>85</v>
      </c>
      <c r="C88" s="101"/>
      <c r="D88" s="101"/>
      <c r="E88" s="9">
        <f>F88+G88+H88</f>
        <v>7503.7339999999995</v>
      </c>
      <c r="F88" s="9">
        <f>1800-199.063-352.023</f>
        <v>1248.9139999999998</v>
      </c>
      <c r="G88" s="9">
        <v>2574</v>
      </c>
      <c r="H88" s="9">
        <f t="shared" si="5"/>
        <v>3680.8199999999997</v>
      </c>
    </row>
    <row r="89" spans="1:8" ht="25.5">
      <c r="A89" s="100"/>
      <c r="B89" s="10" t="s">
        <v>255</v>
      </c>
      <c r="C89" s="101"/>
      <c r="D89" s="101"/>
      <c r="E89" s="9">
        <f>F89+G89+H89</f>
        <v>50.774</v>
      </c>
      <c r="F89" s="9">
        <v>50.774</v>
      </c>
      <c r="G89" s="9"/>
      <c r="H89" s="9"/>
    </row>
    <row r="90" spans="1:8" ht="25.5">
      <c r="A90" s="100"/>
      <c r="B90" s="8" t="s">
        <v>181</v>
      </c>
      <c r="C90" s="101"/>
      <c r="D90" s="101"/>
      <c r="E90" s="9">
        <f>F90+G90+H90</f>
        <v>7271.7080000000005</v>
      </c>
      <c r="F90" s="9">
        <f>4371.665+784.822+2115.221</f>
        <v>7271.7080000000005</v>
      </c>
      <c r="G90" s="9"/>
      <c r="H90" s="9"/>
    </row>
    <row r="91" spans="1:8" ht="38.25">
      <c r="A91" s="100"/>
      <c r="B91" s="21" t="s">
        <v>125</v>
      </c>
      <c r="C91" s="101"/>
      <c r="D91" s="101"/>
      <c r="E91" s="22">
        <f>F91+G91+H91</f>
        <v>784.822</v>
      </c>
      <c r="F91" s="22">
        <v>784.822</v>
      </c>
      <c r="G91" s="9"/>
      <c r="H91" s="9"/>
    </row>
    <row r="92" spans="1:8" s="23" customFormat="1" ht="102">
      <c r="A92" s="100"/>
      <c r="B92" s="21" t="s">
        <v>221</v>
      </c>
      <c r="C92" s="101"/>
      <c r="D92" s="101"/>
      <c r="E92" s="22">
        <f t="shared" si="4"/>
        <v>2115.221</v>
      </c>
      <c r="F92" s="22">
        <v>2115.221</v>
      </c>
      <c r="G92" s="22"/>
      <c r="H92" s="22"/>
    </row>
    <row r="93" spans="1:8" ht="12.75" customHeight="1">
      <c r="A93" s="102" t="s">
        <v>71</v>
      </c>
      <c r="B93" s="10"/>
      <c r="C93" s="105" t="s">
        <v>19</v>
      </c>
      <c r="D93" s="105" t="s">
        <v>20</v>
      </c>
      <c r="E93" s="7">
        <f aca="true" t="shared" si="6" ref="E93:E141">F93+G93+H93</f>
        <v>31998.06587</v>
      </c>
      <c r="F93" s="7">
        <f>SUM(F94:F99)</f>
        <v>7150.564999999999</v>
      </c>
      <c r="G93" s="7">
        <f>SUM(G94:G99)</f>
        <v>10225.309</v>
      </c>
      <c r="H93" s="7">
        <f>SUM(H94:H99)</f>
        <v>14622.19187</v>
      </c>
    </row>
    <row r="94" spans="1:8" ht="12.75">
      <c r="A94" s="103"/>
      <c r="B94" s="10" t="s">
        <v>182</v>
      </c>
      <c r="C94" s="106"/>
      <c r="D94" s="106"/>
      <c r="E94" s="9">
        <f t="shared" si="6"/>
        <v>25485.946</v>
      </c>
      <c r="F94" s="9">
        <f>5700-20.984</f>
        <v>5679.016</v>
      </c>
      <c r="G94" s="9">
        <v>8151</v>
      </c>
      <c r="H94" s="9">
        <f>G94*1.43</f>
        <v>11655.93</v>
      </c>
    </row>
    <row r="95" spans="1:8" ht="89.25">
      <c r="A95" s="103"/>
      <c r="B95" s="8" t="s">
        <v>246</v>
      </c>
      <c r="C95" s="106"/>
      <c r="D95" s="106"/>
      <c r="E95" s="9">
        <f t="shared" si="6"/>
        <v>3112.678</v>
      </c>
      <c r="F95" s="9">
        <f>700-19.752</f>
        <v>680.248</v>
      </c>
      <c r="G95" s="9">
        <v>1001</v>
      </c>
      <c r="H95" s="9">
        <f>G95*1.43</f>
        <v>1431.4299999999998</v>
      </c>
    </row>
    <row r="96" spans="1:8" ht="12.75">
      <c r="A96" s="103"/>
      <c r="B96" s="10" t="s">
        <v>72</v>
      </c>
      <c r="C96" s="106"/>
      <c r="D96" s="106"/>
      <c r="E96" s="9">
        <f t="shared" si="6"/>
        <v>141.25963</v>
      </c>
      <c r="F96" s="9">
        <v>31.567</v>
      </c>
      <c r="G96" s="9">
        <v>45.141</v>
      </c>
      <c r="H96" s="9">
        <f>G96*1.43</f>
        <v>64.55162999999999</v>
      </c>
    </row>
    <row r="97" spans="1:8" ht="12.75">
      <c r="A97" s="103"/>
      <c r="B97" s="10" t="s">
        <v>73</v>
      </c>
      <c r="C97" s="106"/>
      <c r="D97" s="106"/>
      <c r="E97" s="9">
        <f t="shared" si="6"/>
        <v>378.18822</v>
      </c>
      <c r="F97" s="9">
        <v>84.513</v>
      </c>
      <c r="G97" s="9">
        <v>120.854</v>
      </c>
      <c r="H97" s="9">
        <f>G97*1.43</f>
        <v>172.82121999999998</v>
      </c>
    </row>
    <row r="98" spans="1:8" ht="12.75">
      <c r="A98" s="103"/>
      <c r="B98" s="10" t="s">
        <v>74</v>
      </c>
      <c r="C98" s="106"/>
      <c r="D98" s="106"/>
      <c r="E98" s="9">
        <f t="shared" si="6"/>
        <v>2839.2580199999998</v>
      </c>
      <c r="F98" s="9">
        <v>634.485</v>
      </c>
      <c r="G98" s="9">
        <v>907.314</v>
      </c>
      <c r="H98" s="9">
        <f>G98*1.43</f>
        <v>1297.4590199999998</v>
      </c>
    </row>
    <row r="99" spans="1:8" ht="25.5">
      <c r="A99" s="104"/>
      <c r="B99" s="8" t="s">
        <v>181</v>
      </c>
      <c r="C99" s="107"/>
      <c r="D99" s="107"/>
      <c r="E99" s="9">
        <f>F99+G99+H99</f>
        <v>40.736</v>
      </c>
      <c r="F99" s="9">
        <v>40.736</v>
      </c>
      <c r="G99" s="22"/>
      <c r="H99" s="22"/>
    </row>
    <row r="100" spans="1:8" ht="12.75">
      <c r="A100" s="100" t="s">
        <v>75</v>
      </c>
      <c r="B100" s="10"/>
      <c r="C100" s="101" t="s">
        <v>19</v>
      </c>
      <c r="D100" s="105" t="s">
        <v>20</v>
      </c>
      <c r="E100" s="7">
        <f t="shared" si="6"/>
        <v>311.31453</v>
      </c>
      <c r="F100" s="7">
        <f>SUM(F101:F104)</f>
        <v>99.43499999999999</v>
      </c>
      <c r="G100" s="7">
        <f>SUM(G101:G104)</f>
        <v>103.71000000000001</v>
      </c>
      <c r="H100" s="7">
        <f>SUM(H101:H104)</f>
        <v>108.16953</v>
      </c>
    </row>
    <row r="101" spans="1:8" ht="25.5">
      <c r="A101" s="100"/>
      <c r="B101" s="10" t="s">
        <v>76</v>
      </c>
      <c r="C101" s="101"/>
      <c r="D101" s="106"/>
      <c r="E101" s="9">
        <f t="shared" si="6"/>
        <v>22.087394</v>
      </c>
      <c r="F101" s="9">
        <v>7.055</v>
      </c>
      <c r="G101" s="9">
        <v>7.358</v>
      </c>
      <c r="H101" s="9">
        <f>G101*1.043</f>
        <v>7.6743939999999995</v>
      </c>
    </row>
    <row r="102" spans="1:8" ht="25.5">
      <c r="A102" s="100"/>
      <c r="B102" s="10" t="s">
        <v>77</v>
      </c>
      <c r="C102" s="101"/>
      <c r="D102" s="106"/>
      <c r="E102" s="9">
        <f t="shared" si="6"/>
        <v>68.96896799999999</v>
      </c>
      <c r="F102" s="9">
        <v>22.029</v>
      </c>
      <c r="G102" s="9">
        <v>22.976</v>
      </c>
      <c r="H102" s="9">
        <f>G102*1.043</f>
        <v>23.963967999999998</v>
      </c>
    </row>
    <row r="103" spans="1:8" ht="25.5">
      <c r="A103" s="100"/>
      <c r="B103" s="10" t="s">
        <v>78</v>
      </c>
      <c r="C103" s="101"/>
      <c r="D103" s="106"/>
      <c r="E103" s="9">
        <f t="shared" si="6"/>
        <v>187.42483399999998</v>
      </c>
      <c r="F103" s="9">
        <v>59.864</v>
      </c>
      <c r="G103" s="9">
        <v>62.438</v>
      </c>
      <c r="H103" s="9">
        <f>G103*1.043</f>
        <v>65.122834</v>
      </c>
    </row>
    <row r="104" spans="1:8" ht="38.25">
      <c r="A104" s="100"/>
      <c r="B104" s="10" t="s">
        <v>79</v>
      </c>
      <c r="C104" s="101"/>
      <c r="D104" s="107"/>
      <c r="E104" s="9">
        <f t="shared" si="6"/>
        <v>32.833334</v>
      </c>
      <c r="F104" s="9">
        <v>10.487</v>
      </c>
      <c r="G104" s="9">
        <v>10.938</v>
      </c>
      <c r="H104" s="9">
        <f>G104*1.043</f>
        <v>11.408334</v>
      </c>
    </row>
    <row r="105" spans="1:8" ht="12.75" customHeight="1">
      <c r="A105" s="102" t="s">
        <v>80</v>
      </c>
      <c r="B105" s="10"/>
      <c r="C105" s="105" t="s">
        <v>19</v>
      </c>
      <c r="D105" s="105" t="s">
        <v>20</v>
      </c>
      <c r="E105" s="7">
        <f t="shared" si="6"/>
        <v>127600.19089099998</v>
      </c>
      <c r="F105" s="7">
        <f>SUM(F106:F119)-F118-F119</f>
        <v>36310.498999999996</v>
      </c>
      <c r="G105" s="7">
        <f>SUM(G106:G119)-G118-G119</f>
        <v>44684.13699999999</v>
      </c>
      <c r="H105" s="7">
        <f>SUM(H106:H119)-H118-H119</f>
        <v>46605.554891</v>
      </c>
    </row>
    <row r="106" spans="1:8" ht="12.75">
      <c r="A106" s="103"/>
      <c r="B106" s="10" t="s">
        <v>188</v>
      </c>
      <c r="C106" s="106"/>
      <c r="D106" s="106"/>
      <c r="E106" s="9">
        <f t="shared" si="6"/>
        <v>41173.817</v>
      </c>
      <c r="F106" s="9">
        <f>15000-166.015-622.903-5000</f>
        <v>9211.082</v>
      </c>
      <c r="G106" s="9">
        <v>15645</v>
      </c>
      <c r="H106" s="9">
        <f aca="true" t="shared" si="7" ref="H106:H115">G106*1.043</f>
        <v>16317.734999999999</v>
      </c>
    </row>
    <row r="107" spans="1:8" ht="25.5">
      <c r="A107" s="103"/>
      <c r="B107" s="10" t="s">
        <v>200</v>
      </c>
      <c r="C107" s="106"/>
      <c r="D107" s="106"/>
      <c r="E107" s="9">
        <f t="shared" si="6"/>
        <v>15037.917999999998</v>
      </c>
      <c r="F107" s="9">
        <f>5000-516.432-99.895</f>
        <v>4383.673</v>
      </c>
      <c r="G107" s="9">
        <v>5215</v>
      </c>
      <c r="H107" s="9">
        <f t="shared" si="7"/>
        <v>5439.245</v>
      </c>
    </row>
    <row r="108" spans="1:8" ht="12.75">
      <c r="A108" s="103"/>
      <c r="B108" s="10" t="s">
        <v>23</v>
      </c>
      <c r="C108" s="106"/>
      <c r="D108" s="106"/>
      <c r="E108" s="9">
        <f t="shared" si="6"/>
        <v>4696.273499999999</v>
      </c>
      <c r="F108" s="9">
        <v>1500</v>
      </c>
      <c r="G108" s="9">
        <v>1564.5</v>
      </c>
      <c r="H108" s="9">
        <f t="shared" si="7"/>
        <v>1631.7734999999998</v>
      </c>
    </row>
    <row r="109" spans="1:8" ht="25.5">
      <c r="A109" s="103"/>
      <c r="B109" s="10" t="s">
        <v>81</v>
      </c>
      <c r="C109" s="106"/>
      <c r="D109" s="106"/>
      <c r="E109" s="9">
        <f t="shared" si="6"/>
        <v>6378.523034</v>
      </c>
      <c r="F109" s="9">
        <f>1700+528.033-597.111</f>
        <v>1630.922</v>
      </c>
      <c r="G109" s="9">
        <v>2323.838</v>
      </c>
      <c r="H109" s="9">
        <f t="shared" si="7"/>
        <v>2423.763034</v>
      </c>
    </row>
    <row r="110" spans="1:8" ht="38.25">
      <c r="A110" s="103"/>
      <c r="B110" s="10" t="s">
        <v>86</v>
      </c>
      <c r="C110" s="106"/>
      <c r="D110" s="106"/>
      <c r="E110" s="9">
        <f>F110+G110+H110</f>
        <v>179.234536</v>
      </c>
      <c r="F110" s="9">
        <f>65.342-25.342</f>
        <v>40</v>
      </c>
      <c r="G110" s="9">
        <v>68.152</v>
      </c>
      <c r="H110" s="9">
        <f t="shared" si="7"/>
        <v>71.08253599999999</v>
      </c>
    </row>
    <row r="111" spans="1:8" ht="25.5">
      <c r="A111" s="103"/>
      <c r="B111" s="10" t="s">
        <v>48</v>
      </c>
      <c r="C111" s="106"/>
      <c r="D111" s="106"/>
      <c r="E111" s="9">
        <f>F111+G111+H111</f>
        <v>46097.270708</v>
      </c>
      <c r="F111" s="9">
        <f>16016+385.875-2177.181-1432.42-58.923-1079-55-452</f>
        <v>11147.350999999999</v>
      </c>
      <c r="G111" s="9">
        <v>17107.156</v>
      </c>
      <c r="H111" s="9">
        <f t="shared" si="7"/>
        <v>17842.763708</v>
      </c>
    </row>
    <row r="112" spans="1:8" ht="38.25">
      <c r="A112" s="103"/>
      <c r="B112" s="10" t="s">
        <v>82</v>
      </c>
      <c r="C112" s="106"/>
      <c r="D112" s="106"/>
      <c r="E112" s="9">
        <f t="shared" si="6"/>
        <v>140.68556199999998</v>
      </c>
      <c r="F112" s="9">
        <f>47.684-8.605</f>
        <v>39.07899999999999</v>
      </c>
      <c r="G112" s="9">
        <v>49.734</v>
      </c>
      <c r="H112" s="9">
        <f t="shared" si="7"/>
        <v>51.872561999999995</v>
      </c>
    </row>
    <row r="113" spans="1:8" ht="25.5">
      <c r="A113" s="103"/>
      <c r="B113" s="10" t="s">
        <v>83</v>
      </c>
      <c r="C113" s="106"/>
      <c r="D113" s="106"/>
      <c r="E113" s="9">
        <f t="shared" si="6"/>
        <v>4493.307499999999</v>
      </c>
      <c r="F113" s="9">
        <f>1500-48.969-56-47.997-50</f>
        <v>1297.0339999999999</v>
      </c>
      <c r="G113" s="9">
        <v>1564.5</v>
      </c>
      <c r="H113" s="9">
        <f t="shared" si="7"/>
        <v>1631.7734999999998</v>
      </c>
    </row>
    <row r="114" spans="1:8" ht="25.5">
      <c r="A114" s="103"/>
      <c r="B114" s="10" t="s">
        <v>84</v>
      </c>
      <c r="C114" s="106"/>
      <c r="D114" s="106"/>
      <c r="E114" s="9">
        <f t="shared" si="6"/>
        <v>254.273051</v>
      </c>
      <c r="F114" s="9">
        <f>99-55.681</f>
        <v>43.319</v>
      </c>
      <c r="G114" s="9">
        <v>103.257</v>
      </c>
      <c r="H114" s="9">
        <f t="shared" si="7"/>
        <v>107.697051</v>
      </c>
    </row>
    <row r="115" spans="1:8" ht="25.5">
      <c r="A115" s="103"/>
      <c r="B115" s="8" t="s">
        <v>63</v>
      </c>
      <c r="C115" s="106"/>
      <c r="D115" s="106"/>
      <c r="E115" s="9">
        <f t="shared" si="6"/>
        <v>3341.773</v>
      </c>
      <c r="F115" s="9">
        <f>1000-222.839-92.644+315.483+210.924</f>
        <v>1210.924</v>
      </c>
      <c r="G115" s="9">
        <v>1043</v>
      </c>
      <c r="H115" s="9">
        <f t="shared" si="7"/>
        <v>1087.849</v>
      </c>
    </row>
    <row r="116" spans="1:8" ht="25.5">
      <c r="A116" s="103"/>
      <c r="B116" s="8" t="s">
        <v>278</v>
      </c>
      <c r="C116" s="106"/>
      <c r="D116" s="106"/>
      <c r="E116" s="9">
        <f t="shared" si="6"/>
        <v>6.201</v>
      </c>
      <c r="F116" s="9">
        <v>6.201</v>
      </c>
      <c r="G116" s="9"/>
      <c r="H116" s="9"/>
    </row>
    <row r="117" spans="1:8" ht="25.5">
      <c r="A117" s="103"/>
      <c r="B117" s="8" t="s">
        <v>181</v>
      </c>
      <c r="C117" s="106"/>
      <c r="D117" s="106"/>
      <c r="E117" s="9">
        <f t="shared" si="6"/>
        <v>5800.914000000001</v>
      </c>
      <c r="F117" s="9">
        <f>4692.54+124.109+984.265</f>
        <v>5800.914000000001</v>
      </c>
      <c r="G117" s="9"/>
      <c r="H117" s="9"/>
    </row>
    <row r="118" spans="1:8" ht="38.25">
      <c r="A118" s="103"/>
      <c r="B118" s="21" t="s">
        <v>125</v>
      </c>
      <c r="C118" s="106"/>
      <c r="D118" s="106"/>
      <c r="E118" s="22">
        <f t="shared" si="6"/>
        <v>124.109</v>
      </c>
      <c r="F118" s="22">
        <v>124.109</v>
      </c>
      <c r="G118" s="9"/>
      <c r="H118" s="9"/>
    </row>
    <row r="119" spans="1:8" ht="102">
      <c r="A119" s="103"/>
      <c r="B119" s="21" t="s">
        <v>222</v>
      </c>
      <c r="C119" s="107"/>
      <c r="D119" s="107"/>
      <c r="E119" s="22">
        <f t="shared" si="6"/>
        <v>984.265</v>
      </c>
      <c r="F119" s="22">
        <v>984.265</v>
      </c>
      <c r="G119" s="9"/>
      <c r="H119" s="9"/>
    </row>
    <row r="120" spans="1:8" ht="12.75" customHeight="1">
      <c r="A120" s="102" t="s">
        <v>87</v>
      </c>
      <c r="B120" s="8"/>
      <c r="C120" s="105" t="s">
        <v>19</v>
      </c>
      <c r="D120" s="105" t="s">
        <v>20</v>
      </c>
      <c r="E120" s="7">
        <f t="shared" si="6"/>
        <v>84450.27968</v>
      </c>
      <c r="F120" s="7">
        <f>SUM(F121:F134)-F122-F123-F125-F126-F128-F133-F134</f>
        <v>42516.15200000001</v>
      </c>
      <c r="G120" s="7">
        <f>SUM(G121:G134)-G122-G123-G125-G126-G128-G133-G134</f>
        <v>20525.76</v>
      </c>
      <c r="H120" s="7">
        <f>SUM(H121:H134)-H122-H123-H125-H126-H128-H133-H134</f>
        <v>21408.367679999996</v>
      </c>
    </row>
    <row r="121" spans="1:8" ht="25.5">
      <c r="A121" s="103"/>
      <c r="B121" s="10" t="s">
        <v>64</v>
      </c>
      <c r="C121" s="106"/>
      <c r="D121" s="106"/>
      <c r="E121" s="9">
        <f t="shared" si="6"/>
        <v>64410.723679999996</v>
      </c>
      <c r="F121" s="9">
        <f>19679.54-9679.54+1690+3290.8+7495.796</f>
        <v>22476.595999999998</v>
      </c>
      <c r="G121" s="9">
        <v>20525.76</v>
      </c>
      <c r="H121" s="9">
        <f>G121*1.043</f>
        <v>21408.367679999996</v>
      </c>
    </row>
    <row r="122" spans="1:8" ht="89.25">
      <c r="A122" s="103"/>
      <c r="B122" s="21" t="s">
        <v>126</v>
      </c>
      <c r="C122" s="106"/>
      <c r="D122" s="106"/>
      <c r="E122" s="22">
        <f t="shared" si="6"/>
        <v>55224.92767999999</v>
      </c>
      <c r="F122" s="22">
        <f>19679.54-9679.54+3290.8</f>
        <v>13290.8</v>
      </c>
      <c r="G122" s="22">
        <v>20525.76</v>
      </c>
      <c r="H122" s="22">
        <f>G122*1.043</f>
        <v>21408.367679999996</v>
      </c>
    </row>
    <row r="123" spans="1:8" ht="102">
      <c r="A123" s="103"/>
      <c r="B123" s="21" t="s">
        <v>221</v>
      </c>
      <c r="C123" s="106"/>
      <c r="D123" s="106"/>
      <c r="E123" s="22">
        <f>F123+G123+H123</f>
        <v>7495.796</v>
      </c>
      <c r="F123" s="22">
        <v>7495.796</v>
      </c>
      <c r="G123" s="22"/>
      <c r="H123" s="22"/>
    </row>
    <row r="124" spans="1:8" ht="25.5">
      <c r="A124" s="103"/>
      <c r="B124" s="8" t="s">
        <v>217</v>
      </c>
      <c r="C124" s="106"/>
      <c r="D124" s="106"/>
      <c r="E124" s="9">
        <f t="shared" si="6"/>
        <v>15693.637</v>
      </c>
      <c r="F124" s="9">
        <f>9679.5+12455.933+1054-7495.796</f>
        <v>15693.637</v>
      </c>
      <c r="G124" s="9"/>
      <c r="H124" s="9"/>
    </row>
    <row r="125" spans="1:8" ht="89.25">
      <c r="A125" s="103"/>
      <c r="B125" s="21" t="s">
        <v>126</v>
      </c>
      <c r="C125" s="106"/>
      <c r="D125" s="106"/>
      <c r="E125" s="22">
        <f t="shared" si="6"/>
        <v>10733.5</v>
      </c>
      <c r="F125" s="22">
        <f>9679.5+1054</f>
        <v>10733.5</v>
      </c>
      <c r="G125" s="22"/>
      <c r="H125" s="22"/>
    </row>
    <row r="126" spans="1:8" ht="102">
      <c r="A126" s="103"/>
      <c r="B126" s="21" t="s">
        <v>221</v>
      </c>
      <c r="C126" s="106"/>
      <c r="D126" s="106"/>
      <c r="E126" s="22">
        <f>F126+G126+H126</f>
        <v>4960.137000000001</v>
      </c>
      <c r="F126" s="22">
        <f>12455.933-7495.796</f>
        <v>4960.137000000001</v>
      </c>
      <c r="G126" s="22"/>
      <c r="H126" s="22"/>
    </row>
    <row r="127" spans="1:8" ht="25.5">
      <c r="A127" s="103"/>
      <c r="B127" s="8" t="s">
        <v>223</v>
      </c>
      <c r="C127" s="106"/>
      <c r="D127" s="106"/>
      <c r="E127" s="9">
        <f t="shared" si="6"/>
        <v>681.795</v>
      </c>
      <c r="F127" s="9">
        <v>681.795</v>
      </c>
      <c r="G127" s="9"/>
      <c r="H127" s="9"/>
    </row>
    <row r="128" spans="1:8" ht="102">
      <c r="A128" s="103"/>
      <c r="B128" s="21" t="s">
        <v>221</v>
      </c>
      <c r="C128" s="106"/>
      <c r="D128" s="106"/>
      <c r="E128" s="22">
        <f t="shared" si="6"/>
        <v>681.795</v>
      </c>
      <c r="F128" s="22">
        <v>681.795</v>
      </c>
      <c r="G128" s="22"/>
      <c r="H128" s="22"/>
    </row>
    <row r="129" spans="1:8" ht="12.75">
      <c r="A129" s="103"/>
      <c r="B129" s="10" t="s">
        <v>224</v>
      </c>
      <c r="C129" s="106"/>
      <c r="D129" s="106"/>
      <c r="E129" s="9">
        <f t="shared" si="6"/>
        <v>432.409</v>
      </c>
      <c r="F129" s="9">
        <v>432.409</v>
      </c>
      <c r="G129" s="9"/>
      <c r="H129" s="9"/>
    </row>
    <row r="130" spans="1:8" ht="12.75">
      <c r="A130" s="103"/>
      <c r="B130" s="8" t="s">
        <v>216</v>
      </c>
      <c r="C130" s="106"/>
      <c r="D130" s="106"/>
      <c r="E130" s="9">
        <f t="shared" si="6"/>
        <v>774</v>
      </c>
      <c r="F130" s="9">
        <v>774</v>
      </c>
      <c r="G130" s="9"/>
      <c r="H130" s="9"/>
    </row>
    <row r="131" spans="1:8" ht="38.25">
      <c r="A131" s="103"/>
      <c r="B131" s="8" t="s">
        <v>225</v>
      </c>
      <c r="C131" s="106"/>
      <c r="D131" s="106"/>
      <c r="E131" s="9">
        <f t="shared" si="6"/>
        <v>285.63</v>
      </c>
      <c r="F131" s="9">
        <v>285.63</v>
      </c>
      <c r="G131" s="9"/>
      <c r="H131" s="9"/>
    </row>
    <row r="132" spans="1:8" ht="25.5">
      <c r="A132" s="103"/>
      <c r="B132" s="8" t="s">
        <v>181</v>
      </c>
      <c r="C132" s="106"/>
      <c r="D132" s="106"/>
      <c r="E132" s="9">
        <f t="shared" si="6"/>
        <v>2172.085</v>
      </c>
      <c r="F132" s="9">
        <f>154.282+488.469+10.272+1519.062</f>
        <v>2172.085</v>
      </c>
      <c r="G132" s="22"/>
      <c r="H132" s="22"/>
    </row>
    <row r="133" spans="1:8" ht="38.25">
      <c r="A133" s="103"/>
      <c r="B133" s="21" t="s">
        <v>125</v>
      </c>
      <c r="C133" s="106"/>
      <c r="D133" s="106"/>
      <c r="E133" s="22">
        <f t="shared" si="6"/>
        <v>10.272</v>
      </c>
      <c r="F133" s="22">
        <v>10.272</v>
      </c>
      <c r="G133" s="22"/>
      <c r="H133" s="22"/>
    </row>
    <row r="134" spans="1:8" ht="102">
      <c r="A134" s="103"/>
      <c r="B134" s="55" t="s">
        <v>221</v>
      </c>
      <c r="C134" s="106"/>
      <c r="D134" s="106"/>
      <c r="E134" s="56">
        <f t="shared" si="6"/>
        <v>1519.062</v>
      </c>
      <c r="F134" s="56">
        <f>1519.062</f>
        <v>1519.062</v>
      </c>
      <c r="G134" s="56"/>
      <c r="H134" s="56"/>
    </row>
    <row r="135" spans="1:8" ht="12.75">
      <c r="A135" s="102" t="s">
        <v>70</v>
      </c>
      <c r="B135" s="8"/>
      <c r="C135" s="105" t="s">
        <v>30</v>
      </c>
      <c r="D135" s="105" t="s">
        <v>20</v>
      </c>
      <c r="E135" s="7">
        <f t="shared" si="6"/>
        <v>328.213162368</v>
      </c>
      <c r="F135" s="7">
        <f>SUM(F136:F137)</f>
        <v>104.832</v>
      </c>
      <c r="G135" s="7">
        <f>SUM(G136:G137)</f>
        <v>109.33977599999999</v>
      </c>
      <c r="H135" s="7">
        <f>SUM(H136:H137)</f>
        <v>114.04138636799999</v>
      </c>
    </row>
    <row r="136" spans="1:8" ht="25.5">
      <c r="A136" s="103"/>
      <c r="B136" s="10" t="s">
        <v>48</v>
      </c>
      <c r="C136" s="106"/>
      <c r="D136" s="106"/>
      <c r="E136" s="9">
        <f t="shared" si="6"/>
        <v>309.954051</v>
      </c>
      <c r="F136" s="9">
        <v>99</v>
      </c>
      <c r="G136" s="9">
        <v>103.25699999999999</v>
      </c>
      <c r="H136" s="9">
        <v>107.69705099999999</v>
      </c>
    </row>
    <row r="137" spans="1:8" ht="25.5">
      <c r="A137" s="104"/>
      <c r="B137" s="10" t="s">
        <v>164</v>
      </c>
      <c r="C137" s="107"/>
      <c r="D137" s="107"/>
      <c r="E137" s="9">
        <f t="shared" si="6"/>
        <v>18.259111368</v>
      </c>
      <c r="F137" s="9">
        <v>5.832</v>
      </c>
      <c r="G137" s="9">
        <v>6.082775999999999</v>
      </c>
      <c r="H137" s="9">
        <v>6.3443353679999985</v>
      </c>
    </row>
    <row r="138" spans="1:8" ht="12.75">
      <c r="A138" s="102" t="s">
        <v>163</v>
      </c>
      <c r="B138" s="10"/>
      <c r="C138" s="101" t="s">
        <v>30</v>
      </c>
      <c r="D138" s="101" t="s">
        <v>20</v>
      </c>
      <c r="E138" s="7">
        <f t="shared" si="6"/>
        <v>182.864</v>
      </c>
      <c r="F138" s="7">
        <f>SUM(F139:F139)</f>
        <v>87.805</v>
      </c>
      <c r="G138" s="7">
        <f>SUM(G139:G139)</f>
        <v>46.529</v>
      </c>
      <c r="H138" s="7">
        <f>SUM(H139:H139)</f>
        <v>48.53</v>
      </c>
    </row>
    <row r="139" spans="1:8" ht="25.5">
      <c r="A139" s="104"/>
      <c r="B139" s="10" t="s">
        <v>166</v>
      </c>
      <c r="C139" s="101"/>
      <c r="D139" s="101"/>
      <c r="E139" s="9">
        <f t="shared" si="6"/>
        <v>182.864</v>
      </c>
      <c r="F139" s="9">
        <f>44.611+43.194</f>
        <v>87.805</v>
      </c>
      <c r="G139" s="9">
        <v>46.529</v>
      </c>
      <c r="H139" s="9">
        <v>48.53</v>
      </c>
    </row>
    <row r="140" spans="1:8" ht="12.75" customHeight="1">
      <c r="A140" s="102" t="s">
        <v>80</v>
      </c>
      <c r="B140" s="8"/>
      <c r="C140" s="105" t="s">
        <v>30</v>
      </c>
      <c r="D140" s="105" t="s">
        <v>20</v>
      </c>
      <c r="E140" s="7">
        <f t="shared" si="6"/>
        <v>315.565043181</v>
      </c>
      <c r="F140" s="7">
        <f>SUM(F141:F143)</f>
        <v>154.752</v>
      </c>
      <c r="G140" s="7">
        <f>SUM(G141:G143)</f>
        <v>78.714167</v>
      </c>
      <c r="H140" s="7">
        <f>SUM(H141:H143)</f>
        <v>82.098876181</v>
      </c>
    </row>
    <row r="141" spans="1:8" ht="25.5">
      <c r="A141" s="103"/>
      <c r="B141" s="10" t="s">
        <v>26</v>
      </c>
      <c r="C141" s="106"/>
      <c r="D141" s="106"/>
      <c r="E141" s="9">
        <f t="shared" si="6"/>
        <v>99.10682158599998</v>
      </c>
      <c r="F141" s="9">
        <f>83.453-16.978</f>
        <v>66.475</v>
      </c>
      <c r="G141" s="9">
        <v>15.972501999999999</v>
      </c>
      <c r="H141" s="9">
        <v>16.659319586</v>
      </c>
    </row>
    <row r="142" spans="1:8" ht="25.5">
      <c r="A142" s="103"/>
      <c r="B142" s="10" t="s">
        <v>32</v>
      </c>
      <c r="C142" s="106"/>
      <c r="D142" s="106"/>
      <c r="E142" s="9">
        <f aca="true" t="shared" si="8" ref="E142:E148">F142+G142+H142</f>
        <v>199.480221595</v>
      </c>
      <c r="F142" s="9">
        <v>71.299</v>
      </c>
      <c r="G142" s="9">
        <v>62.741665</v>
      </c>
      <c r="H142" s="9">
        <v>65.439556595</v>
      </c>
    </row>
    <row r="143" spans="1:8" ht="51">
      <c r="A143" s="104"/>
      <c r="B143" s="10" t="s">
        <v>261</v>
      </c>
      <c r="C143" s="107"/>
      <c r="D143" s="107"/>
      <c r="E143" s="9">
        <f t="shared" si="8"/>
        <v>16.978</v>
      </c>
      <c r="F143" s="9">
        <v>16.978</v>
      </c>
      <c r="G143" s="9"/>
      <c r="H143" s="9"/>
    </row>
    <row r="144" spans="1:8" ht="12.75">
      <c r="A144" s="100" t="s">
        <v>89</v>
      </c>
      <c r="B144" s="10"/>
      <c r="C144" s="101" t="s">
        <v>30</v>
      </c>
      <c r="D144" s="101" t="s">
        <v>20</v>
      </c>
      <c r="E144" s="7">
        <f t="shared" si="8"/>
        <v>343.08156426899995</v>
      </c>
      <c r="F144" s="7">
        <f>SUM(F145:F146)</f>
        <v>109.581</v>
      </c>
      <c r="G144" s="7">
        <f>SUM(G145:G146)</f>
        <v>114.29298299999999</v>
      </c>
      <c r="H144" s="7">
        <f>SUM(H145:H146)</f>
        <v>119.20758126899997</v>
      </c>
    </row>
    <row r="145" spans="1:8" ht="25.5">
      <c r="A145" s="100"/>
      <c r="B145" s="10" t="s">
        <v>33</v>
      </c>
      <c r="C145" s="101"/>
      <c r="D145" s="101"/>
      <c r="E145" s="9">
        <f t="shared" si="8"/>
        <v>33.434336471</v>
      </c>
      <c r="F145" s="9">
        <v>10.679</v>
      </c>
      <c r="G145" s="9">
        <v>11.138197</v>
      </c>
      <c r="H145" s="9">
        <v>11.617139471</v>
      </c>
    </row>
    <row r="146" spans="1:8" ht="12.75">
      <c r="A146" s="100"/>
      <c r="B146" s="10" t="s">
        <v>34</v>
      </c>
      <c r="C146" s="101"/>
      <c r="D146" s="101"/>
      <c r="E146" s="9">
        <f t="shared" si="8"/>
        <v>309.64722779799996</v>
      </c>
      <c r="F146" s="9">
        <v>98.902</v>
      </c>
      <c r="G146" s="9">
        <v>103.15478599999999</v>
      </c>
      <c r="H146" s="9">
        <v>107.59044179799997</v>
      </c>
    </row>
    <row r="147" spans="1:8" ht="12.75">
      <c r="A147" s="100" t="s">
        <v>88</v>
      </c>
      <c r="B147" s="10"/>
      <c r="C147" s="101" t="s">
        <v>30</v>
      </c>
      <c r="D147" s="101" t="s">
        <v>20</v>
      </c>
      <c r="E147" s="7">
        <f t="shared" si="8"/>
        <v>109.273540742</v>
      </c>
      <c r="F147" s="7">
        <f>SUM(F148)</f>
        <v>59.075</v>
      </c>
      <c r="G147" s="7">
        <f>SUM(G148)</f>
        <v>24.570994</v>
      </c>
      <c r="H147" s="7">
        <f>SUM(H148)</f>
        <v>25.627546741999996</v>
      </c>
    </row>
    <row r="148" spans="1:8" ht="38.25" customHeight="1">
      <c r="A148" s="100"/>
      <c r="B148" s="10" t="s">
        <v>35</v>
      </c>
      <c r="C148" s="101"/>
      <c r="D148" s="101"/>
      <c r="E148" s="9">
        <f t="shared" si="8"/>
        <v>109.273540742</v>
      </c>
      <c r="F148" s="9">
        <v>59.075</v>
      </c>
      <c r="G148" s="9">
        <v>24.570994</v>
      </c>
      <c r="H148" s="9">
        <v>25.627546741999996</v>
      </c>
    </row>
    <row r="149" spans="1:8" ht="12.75">
      <c r="A149" s="108" t="s">
        <v>192</v>
      </c>
      <c r="B149" s="10"/>
      <c r="C149" s="101" t="s">
        <v>30</v>
      </c>
      <c r="D149" s="6"/>
      <c r="E149" s="7">
        <f>E150</f>
        <v>116.304</v>
      </c>
      <c r="F149" s="7">
        <f>F150</f>
        <v>37.148</v>
      </c>
      <c r="G149" s="7">
        <f>G150</f>
        <v>38.745</v>
      </c>
      <c r="H149" s="7">
        <f>H150</f>
        <v>40.411</v>
      </c>
    </row>
    <row r="150" spans="1:8" ht="25.5">
      <c r="A150" s="109"/>
      <c r="B150" s="8" t="s">
        <v>191</v>
      </c>
      <c r="C150" s="101"/>
      <c r="D150" s="6" t="s">
        <v>20</v>
      </c>
      <c r="E150" s="9">
        <f>F150+G150+H150</f>
        <v>116.304</v>
      </c>
      <c r="F150" s="9">
        <v>37.148</v>
      </c>
      <c r="G150" s="9">
        <v>38.745</v>
      </c>
      <c r="H150" s="9">
        <v>40.411</v>
      </c>
    </row>
    <row r="151" spans="1:8" ht="12.75">
      <c r="A151" s="108" t="s">
        <v>138</v>
      </c>
      <c r="B151" s="10"/>
      <c r="C151" s="101" t="s">
        <v>30</v>
      </c>
      <c r="D151" s="6"/>
      <c r="E151" s="7">
        <f>E152</f>
        <v>181.109</v>
      </c>
      <c r="F151" s="7">
        <f>F152</f>
        <v>181.109</v>
      </c>
      <c r="G151" s="7">
        <f>G152</f>
        <v>0</v>
      </c>
      <c r="H151" s="7">
        <f>H152</f>
        <v>0</v>
      </c>
    </row>
    <row r="152" spans="1:8" ht="25.5">
      <c r="A152" s="109"/>
      <c r="B152" s="8" t="s">
        <v>181</v>
      </c>
      <c r="C152" s="101"/>
      <c r="D152" s="6" t="s">
        <v>20</v>
      </c>
      <c r="E152" s="9">
        <f aca="true" t="shared" si="9" ref="E152:E164">F152+G152+H152</f>
        <v>181.109</v>
      </c>
      <c r="F152" s="9">
        <f>114.801+66.308</f>
        <v>181.109</v>
      </c>
      <c r="G152" s="9"/>
      <c r="H152" s="9"/>
    </row>
    <row r="153" spans="1:8" ht="12.75">
      <c r="A153" s="100" t="s">
        <v>70</v>
      </c>
      <c r="B153" s="10"/>
      <c r="C153" s="101" t="s">
        <v>36</v>
      </c>
      <c r="D153" s="101" t="s">
        <v>20</v>
      </c>
      <c r="E153" s="7">
        <f t="shared" si="9"/>
        <v>220.25590899999997</v>
      </c>
      <c r="F153" s="7">
        <f>SUM(F154:F155)</f>
        <v>198.88</v>
      </c>
      <c r="G153" s="7">
        <f>SUM(G154:G155)</f>
        <v>10.463</v>
      </c>
      <c r="H153" s="7">
        <f>SUM(H154:H155)</f>
        <v>10.912908999999999</v>
      </c>
    </row>
    <row r="154" spans="1:8" ht="25.5">
      <c r="A154" s="100"/>
      <c r="B154" s="10" t="s">
        <v>37</v>
      </c>
      <c r="C154" s="101"/>
      <c r="D154" s="101"/>
      <c r="E154" s="9">
        <f t="shared" si="9"/>
        <v>101.55590899999999</v>
      </c>
      <c r="F154" s="9">
        <f>81.61-1.43</f>
        <v>80.17999999999999</v>
      </c>
      <c r="G154" s="9">
        <v>10.463</v>
      </c>
      <c r="H154" s="9">
        <f>G154*1.043</f>
        <v>10.912908999999999</v>
      </c>
    </row>
    <row r="155" spans="1:8" ht="25.5">
      <c r="A155" s="100"/>
      <c r="B155" s="10" t="s">
        <v>48</v>
      </c>
      <c r="C155" s="101"/>
      <c r="D155" s="101"/>
      <c r="E155" s="9">
        <f t="shared" si="9"/>
        <v>118.7</v>
      </c>
      <c r="F155" s="9">
        <f>195-76.3</f>
        <v>118.7</v>
      </c>
      <c r="G155" s="9"/>
      <c r="H155" s="9"/>
    </row>
    <row r="156" spans="1:8" ht="12.75">
      <c r="A156" s="102" t="s">
        <v>80</v>
      </c>
      <c r="B156" s="8"/>
      <c r="C156" s="105" t="s">
        <v>36</v>
      </c>
      <c r="D156" s="105" t="s">
        <v>20</v>
      </c>
      <c r="E156" s="7">
        <f t="shared" si="9"/>
        <v>373.94499999999994</v>
      </c>
      <c r="F156" s="7">
        <f>SUM(F157:F164)-F158-F160-F164</f>
        <v>373.94499999999994</v>
      </c>
      <c r="G156" s="7">
        <f>SUM(G157:G164)-G158-G160-G164</f>
        <v>0</v>
      </c>
      <c r="H156" s="7">
        <f>SUM(H157:H164)-H158-H160-H164</f>
        <v>0</v>
      </c>
    </row>
    <row r="157" spans="1:8" ht="25.5">
      <c r="A157" s="103"/>
      <c r="B157" s="10" t="s">
        <v>26</v>
      </c>
      <c r="C157" s="106"/>
      <c r="D157" s="106"/>
      <c r="E157" s="9">
        <f t="shared" si="9"/>
        <v>99.914</v>
      </c>
      <c r="F157" s="9">
        <v>99.914</v>
      </c>
      <c r="G157" s="9"/>
      <c r="H157" s="9"/>
    </row>
    <row r="158" spans="1:8" ht="38.25">
      <c r="A158" s="103"/>
      <c r="B158" s="21" t="s">
        <v>195</v>
      </c>
      <c r="C158" s="106"/>
      <c r="D158" s="106"/>
      <c r="E158" s="22">
        <f t="shared" si="9"/>
        <v>37.588</v>
      </c>
      <c r="F158" s="22">
        <v>37.588</v>
      </c>
      <c r="G158" s="9"/>
      <c r="H158" s="9"/>
    </row>
    <row r="159" spans="1:8" ht="25.5">
      <c r="A159" s="103"/>
      <c r="B159" s="10" t="s">
        <v>227</v>
      </c>
      <c r="C159" s="106"/>
      <c r="D159" s="106"/>
      <c r="E159" s="9">
        <f t="shared" si="9"/>
        <v>14.479</v>
      </c>
      <c r="F159" s="9">
        <f>57.445+21.115-64.081</f>
        <v>14.479</v>
      </c>
      <c r="G159" s="9"/>
      <c r="H159" s="9"/>
    </row>
    <row r="160" spans="1:8" ht="38.25">
      <c r="A160" s="103"/>
      <c r="B160" s="21" t="s">
        <v>195</v>
      </c>
      <c r="C160" s="106"/>
      <c r="D160" s="106"/>
      <c r="E160" s="22">
        <f t="shared" si="9"/>
        <v>14.479</v>
      </c>
      <c r="F160" s="22">
        <v>14.479</v>
      </c>
      <c r="G160" s="22"/>
      <c r="H160" s="22"/>
    </row>
    <row r="161" spans="1:8" ht="38.25">
      <c r="A161" s="103"/>
      <c r="B161" s="10" t="s">
        <v>228</v>
      </c>
      <c r="C161" s="106"/>
      <c r="D161" s="106"/>
      <c r="E161" s="9">
        <f t="shared" si="9"/>
        <v>76.86</v>
      </c>
      <c r="F161" s="9">
        <f>25.2+51.66</f>
        <v>76.86</v>
      </c>
      <c r="G161" s="9"/>
      <c r="H161" s="9"/>
    </row>
    <row r="162" spans="1:8" ht="25.5">
      <c r="A162" s="103"/>
      <c r="B162" s="10" t="s">
        <v>39</v>
      </c>
      <c r="C162" s="106"/>
      <c r="D162" s="106"/>
      <c r="E162" s="9">
        <f t="shared" si="9"/>
        <v>102.58599999999998</v>
      </c>
      <c r="F162" s="9">
        <f>99.82+4.955-2.189</f>
        <v>102.58599999999998</v>
      </c>
      <c r="G162" s="9"/>
      <c r="H162" s="9"/>
    </row>
    <row r="163" spans="1:8" ht="25.5">
      <c r="A163" s="103"/>
      <c r="B163" s="10" t="s">
        <v>229</v>
      </c>
      <c r="C163" s="106"/>
      <c r="D163" s="106"/>
      <c r="E163" s="9">
        <f t="shared" si="9"/>
        <v>80.106</v>
      </c>
      <c r="F163" s="9">
        <v>80.106</v>
      </c>
      <c r="G163" s="9"/>
      <c r="H163" s="9"/>
    </row>
    <row r="164" spans="1:8" ht="38.25">
      <c r="A164" s="104"/>
      <c r="B164" s="21" t="s">
        <v>195</v>
      </c>
      <c r="C164" s="107"/>
      <c r="D164" s="107"/>
      <c r="E164" s="22">
        <f t="shared" si="9"/>
        <v>80.106</v>
      </c>
      <c r="F164" s="22">
        <v>80.106</v>
      </c>
      <c r="G164" s="22"/>
      <c r="H164" s="22"/>
    </row>
    <row r="165" spans="1:8" ht="12.75">
      <c r="A165" s="100" t="s">
        <v>89</v>
      </c>
      <c r="B165" s="8"/>
      <c r="C165" s="101" t="s">
        <v>36</v>
      </c>
      <c r="D165" s="101" t="s">
        <v>20</v>
      </c>
      <c r="E165" s="7">
        <f aca="true" t="shared" si="10" ref="E165:E171">F165+G165+H165</f>
        <v>303.77647</v>
      </c>
      <c r="F165" s="7">
        <f>SUM(F166:F168)</f>
        <v>203.077</v>
      </c>
      <c r="G165" s="7">
        <f>SUM(G166:G168)</f>
        <v>49.29</v>
      </c>
      <c r="H165" s="7">
        <f>SUM(H166:H168)</f>
        <v>51.40947</v>
      </c>
    </row>
    <row r="166" spans="1:8" ht="25.5">
      <c r="A166" s="100"/>
      <c r="B166" s="10" t="s">
        <v>33</v>
      </c>
      <c r="C166" s="101"/>
      <c r="D166" s="101"/>
      <c r="E166" s="9">
        <f t="shared" si="10"/>
        <v>19.974114</v>
      </c>
      <c r="F166" s="9">
        <v>13.032</v>
      </c>
      <c r="G166" s="9">
        <v>3.398</v>
      </c>
      <c r="H166" s="9">
        <f>G166*1.043</f>
        <v>3.544114</v>
      </c>
    </row>
    <row r="167" spans="1:8" ht="12.75">
      <c r="A167" s="100"/>
      <c r="B167" s="10" t="s">
        <v>139</v>
      </c>
      <c r="C167" s="101"/>
      <c r="D167" s="101"/>
      <c r="E167" s="9">
        <f t="shared" si="10"/>
        <v>152.744238</v>
      </c>
      <c r="F167" s="9">
        <v>99.9</v>
      </c>
      <c r="G167" s="9">
        <v>25.866</v>
      </c>
      <c r="H167" s="9">
        <f>G167*1.043</f>
        <v>26.978237999999997</v>
      </c>
    </row>
    <row r="168" spans="1:8" ht="25.5">
      <c r="A168" s="100"/>
      <c r="B168" s="10" t="s">
        <v>140</v>
      </c>
      <c r="C168" s="101"/>
      <c r="D168" s="101"/>
      <c r="E168" s="9">
        <f t="shared" si="10"/>
        <v>131.05811799999998</v>
      </c>
      <c r="F168" s="9">
        <v>90.145</v>
      </c>
      <c r="G168" s="9">
        <v>20.026</v>
      </c>
      <c r="H168" s="9">
        <f>G168*1.043</f>
        <v>20.887117999999997</v>
      </c>
    </row>
    <row r="169" spans="1:8" ht="12.75">
      <c r="A169" s="102" t="s">
        <v>88</v>
      </c>
      <c r="B169" s="10"/>
      <c r="C169" s="105" t="s">
        <v>36</v>
      </c>
      <c r="D169" s="105" t="s">
        <v>20</v>
      </c>
      <c r="E169" s="7">
        <f t="shared" si="10"/>
        <v>66.27</v>
      </c>
      <c r="F169" s="7">
        <f>SUM(F170:F171)</f>
        <v>66.27</v>
      </c>
      <c r="G169" s="7">
        <f>SUM(G170:G171)</f>
        <v>0</v>
      </c>
      <c r="H169" s="7">
        <f>SUM(H170:H171)</f>
        <v>0</v>
      </c>
    </row>
    <row r="170" spans="1:8" ht="25.5">
      <c r="A170" s="103"/>
      <c r="B170" s="10" t="s">
        <v>247</v>
      </c>
      <c r="C170" s="106"/>
      <c r="D170" s="106"/>
      <c r="E170" s="9">
        <f t="shared" si="10"/>
        <v>20.046</v>
      </c>
      <c r="F170" s="9">
        <v>20.046</v>
      </c>
      <c r="G170" s="9"/>
      <c r="H170" s="9"/>
    </row>
    <row r="171" spans="1:8" ht="25.5">
      <c r="A171" s="104"/>
      <c r="B171" s="10" t="s">
        <v>263</v>
      </c>
      <c r="C171" s="107"/>
      <c r="D171" s="107"/>
      <c r="E171" s="9">
        <f t="shared" si="10"/>
        <v>46.224</v>
      </c>
      <c r="F171" s="9">
        <v>46.224</v>
      </c>
      <c r="G171" s="9"/>
      <c r="H171" s="9"/>
    </row>
    <row r="172" spans="1:8" ht="12.75">
      <c r="A172" s="108" t="s">
        <v>130</v>
      </c>
      <c r="B172" s="10"/>
      <c r="C172" s="105" t="s">
        <v>36</v>
      </c>
      <c r="D172" s="105" t="s">
        <v>20</v>
      </c>
      <c r="E172" s="7">
        <f>E173</f>
        <v>719.3100000000001</v>
      </c>
      <c r="F172" s="7">
        <f>SUM(F173)</f>
        <v>719.3100000000001</v>
      </c>
      <c r="G172" s="7">
        <f>SUM(G173)</f>
        <v>0</v>
      </c>
      <c r="H172" s="7">
        <f>SUM(H173)</f>
        <v>0</v>
      </c>
    </row>
    <row r="173" spans="1:8" ht="42" customHeight="1">
      <c r="A173" s="109"/>
      <c r="B173" s="8" t="s">
        <v>181</v>
      </c>
      <c r="C173" s="107"/>
      <c r="D173" s="107"/>
      <c r="E173" s="9">
        <f aca="true" t="shared" si="11" ref="E173:E190">F173+G173+H173</f>
        <v>719.3100000000001</v>
      </c>
      <c r="F173" s="9">
        <f>652.71+66.6</f>
        <v>719.3100000000001</v>
      </c>
      <c r="G173" s="9"/>
      <c r="H173" s="9"/>
    </row>
    <row r="174" spans="1:8" ht="12.75">
      <c r="A174" s="102" t="s">
        <v>70</v>
      </c>
      <c r="B174" s="10"/>
      <c r="C174" s="105" t="s">
        <v>40</v>
      </c>
      <c r="D174" s="105" t="s">
        <v>20</v>
      </c>
      <c r="E174" s="7">
        <f t="shared" si="11"/>
        <v>219.34260799999998</v>
      </c>
      <c r="F174" s="7">
        <f>SUM(F175:F179)-F176</f>
        <v>164.90099999999998</v>
      </c>
      <c r="G174" s="7">
        <f>SUM(G175:G179)-G176</f>
        <v>26.648</v>
      </c>
      <c r="H174" s="7">
        <f>SUM(H175:H179)-H176</f>
        <v>27.793608</v>
      </c>
    </row>
    <row r="175" spans="1:8" ht="25.5">
      <c r="A175" s="103"/>
      <c r="B175" s="10" t="s">
        <v>37</v>
      </c>
      <c r="C175" s="106"/>
      <c r="D175" s="106"/>
      <c r="E175" s="9">
        <f t="shared" si="11"/>
        <v>94.172</v>
      </c>
      <c r="F175" s="9">
        <v>61.092</v>
      </c>
      <c r="G175" s="9">
        <v>16.192</v>
      </c>
      <c r="H175" s="9">
        <v>16.888</v>
      </c>
    </row>
    <row r="176" spans="1:8" ht="38.25">
      <c r="A176" s="103"/>
      <c r="B176" s="21" t="s">
        <v>195</v>
      </c>
      <c r="C176" s="106"/>
      <c r="D176" s="106"/>
      <c r="E176" s="22">
        <f t="shared" si="11"/>
        <v>2.098</v>
      </c>
      <c r="F176" s="22">
        <v>0.67</v>
      </c>
      <c r="G176" s="22">
        <v>0.699</v>
      </c>
      <c r="H176" s="22">
        <v>0.729</v>
      </c>
    </row>
    <row r="177" spans="1:8" ht="25.5">
      <c r="A177" s="103"/>
      <c r="B177" s="10" t="s">
        <v>48</v>
      </c>
      <c r="C177" s="106"/>
      <c r="D177" s="106"/>
      <c r="E177" s="9">
        <f t="shared" si="11"/>
        <v>93.784</v>
      </c>
      <c r="F177" s="9">
        <v>93.784</v>
      </c>
      <c r="G177" s="9">
        <v>0</v>
      </c>
      <c r="H177" s="9">
        <f>G177*1.043</f>
        <v>0</v>
      </c>
    </row>
    <row r="178" spans="1:8" ht="25.5">
      <c r="A178" s="103"/>
      <c r="B178" s="10" t="s">
        <v>128</v>
      </c>
      <c r="C178" s="106"/>
      <c r="D178" s="106"/>
      <c r="E178" s="9">
        <f t="shared" si="11"/>
        <v>13.150383</v>
      </c>
      <c r="F178" s="9">
        <v>4.2</v>
      </c>
      <c r="G178" s="9">
        <v>4.381</v>
      </c>
      <c r="H178" s="9">
        <f>G178*1.043</f>
        <v>4.569383</v>
      </c>
    </row>
    <row r="179" spans="1:8" ht="25.5">
      <c r="A179" s="104"/>
      <c r="B179" s="10" t="s">
        <v>164</v>
      </c>
      <c r="C179" s="107"/>
      <c r="D179" s="107"/>
      <c r="E179" s="9">
        <f t="shared" si="11"/>
        <v>18.236225</v>
      </c>
      <c r="F179" s="9">
        <v>5.825</v>
      </c>
      <c r="G179" s="9">
        <v>6.075</v>
      </c>
      <c r="H179" s="9">
        <f aca="true" t="shared" si="12" ref="H179:H190">G179*1.043</f>
        <v>6.336225</v>
      </c>
    </row>
    <row r="180" spans="1:8" ht="12.75">
      <c r="A180" s="100" t="s">
        <v>71</v>
      </c>
      <c r="B180" s="10"/>
      <c r="C180" s="101" t="s">
        <v>40</v>
      </c>
      <c r="D180" s="101" t="s">
        <v>20</v>
      </c>
      <c r="E180" s="7">
        <f t="shared" si="11"/>
        <v>13.98838</v>
      </c>
      <c r="F180" s="7">
        <f>SUM(F181)</f>
        <v>4.468</v>
      </c>
      <c r="G180" s="7">
        <f>SUM(G181)</f>
        <v>4.66</v>
      </c>
      <c r="H180" s="7">
        <f>SUM(H181)</f>
        <v>4.86038</v>
      </c>
    </row>
    <row r="181" spans="1:8" ht="26.25" customHeight="1">
      <c r="A181" s="100"/>
      <c r="B181" s="10" t="s">
        <v>129</v>
      </c>
      <c r="C181" s="101"/>
      <c r="D181" s="101"/>
      <c r="E181" s="9">
        <f t="shared" si="11"/>
        <v>13.98838</v>
      </c>
      <c r="F181" s="9">
        <v>4.468</v>
      </c>
      <c r="G181" s="9">
        <v>4.66</v>
      </c>
      <c r="H181" s="9">
        <f t="shared" si="12"/>
        <v>4.86038</v>
      </c>
    </row>
    <row r="182" spans="1:8" ht="12.75">
      <c r="A182" s="102" t="s">
        <v>163</v>
      </c>
      <c r="B182" s="10"/>
      <c r="C182" s="101" t="s">
        <v>40</v>
      </c>
      <c r="D182" s="101" t="s">
        <v>20</v>
      </c>
      <c r="E182" s="7">
        <f t="shared" si="11"/>
        <v>166.67568799999998</v>
      </c>
      <c r="F182" s="7">
        <f>SUM(F183)</f>
        <v>80.83699999999999</v>
      </c>
      <c r="G182" s="7">
        <f>SUM(G183)</f>
        <v>42.016</v>
      </c>
      <c r="H182" s="7">
        <f>SUM(H183)</f>
        <v>43.82268799999999</v>
      </c>
    </row>
    <row r="183" spans="1:8" ht="25.5">
      <c r="A183" s="104"/>
      <c r="B183" s="10" t="s">
        <v>165</v>
      </c>
      <c r="C183" s="101"/>
      <c r="D183" s="101"/>
      <c r="E183" s="9">
        <f t="shared" si="11"/>
        <v>166.67568799999998</v>
      </c>
      <c r="F183" s="9">
        <f>42.97+37.867</f>
        <v>80.83699999999999</v>
      </c>
      <c r="G183" s="9">
        <v>42.016</v>
      </c>
      <c r="H183" s="9">
        <f t="shared" si="12"/>
        <v>43.82268799999999</v>
      </c>
    </row>
    <row r="184" spans="1:8" ht="12.75">
      <c r="A184" s="100" t="s">
        <v>80</v>
      </c>
      <c r="B184" s="10"/>
      <c r="C184" s="101" t="s">
        <v>40</v>
      </c>
      <c r="D184" s="101" t="s">
        <v>20</v>
      </c>
      <c r="E184" s="7">
        <f t="shared" si="11"/>
        <v>160.738279</v>
      </c>
      <c r="F184" s="7">
        <f>SUM(F185:F187)</f>
        <v>146.329</v>
      </c>
      <c r="G184" s="7">
        <f>SUM(G185:G187)</f>
        <v>7.053</v>
      </c>
      <c r="H184" s="7">
        <f>SUM(H185:H187)</f>
        <v>7.356279</v>
      </c>
    </row>
    <row r="185" spans="1:8" ht="38.25">
      <c r="A185" s="100"/>
      <c r="B185" s="10" t="s">
        <v>199</v>
      </c>
      <c r="C185" s="101"/>
      <c r="D185" s="101"/>
      <c r="E185" s="9">
        <f t="shared" si="11"/>
        <v>64.16627899999999</v>
      </c>
      <c r="F185" s="9">
        <v>49.757</v>
      </c>
      <c r="G185" s="9">
        <v>7.053</v>
      </c>
      <c r="H185" s="9">
        <f t="shared" si="12"/>
        <v>7.356279</v>
      </c>
    </row>
    <row r="186" spans="1:8" ht="25.5">
      <c r="A186" s="100"/>
      <c r="B186" s="10" t="s">
        <v>229</v>
      </c>
      <c r="C186" s="101"/>
      <c r="D186" s="101"/>
      <c r="E186" s="9">
        <f t="shared" si="11"/>
        <v>40.572</v>
      </c>
      <c r="F186" s="9">
        <v>40.572</v>
      </c>
      <c r="G186" s="9"/>
      <c r="H186" s="9"/>
    </row>
    <row r="187" spans="1:8" ht="38.25">
      <c r="A187" s="100"/>
      <c r="B187" s="10" t="s">
        <v>230</v>
      </c>
      <c r="C187" s="101"/>
      <c r="D187" s="101"/>
      <c r="E187" s="9">
        <f>F187+G187+H187</f>
        <v>56</v>
      </c>
      <c r="F187" s="9">
        <v>56</v>
      </c>
      <c r="G187" s="9"/>
      <c r="H187" s="9"/>
    </row>
    <row r="188" spans="1:8" ht="12.75">
      <c r="A188" s="100" t="s">
        <v>89</v>
      </c>
      <c r="B188" s="10"/>
      <c r="C188" s="101" t="s">
        <v>40</v>
      </c>
      <c r="D188" s="101" t="s">
        <v>20</v>
      </c>
      <c r="E188" s="7">
        <f t="shared" si="11"/>
        <v>318.625196303</v>
      </c>
      <c r="F188" s="7">
        <f>SUM(F189:F190)</f>
        <v>106.697</v>
      </c>
      <c r="G188" s="7">
        <f>SUM(G189:G190)</f>
        <v>103.733821</v>
      </c>
      <c r="H188" s="7">
        <f>SUM(H189:H190)</f>
        <v>108.19437530299999</v>
      </c>
    </row>
    <row r="189" spans="1:8" ht="25.5">
      <c r="A189" s="100"/>
      <c r="B189" s="10" t="s">
        <v>33</v>
      </c>
      <c r="C189" s="101"/>
      <c r="D189" s="101"/>
      <c r="E189" s="9">
        <f t="shared" si="11"/>
        <v>12.907184</v>
      </c>
      <c r="F189" s="9">
        <v>9.05</v>
      </c>
      <c r="G189" s="9">
        <v>1.888</v>
      </c>
      <c r="H189" s="9">
        <f t="shared" si="12"/>
        <v>1.9691839999999998</v>
      </c>
    </row>
    <row r="190" spans="1:8" ht="12.75">
      <c r="A190" s="100"/>
      <c r="B190" s="10" t="s">
        <v>34</v>
      </c>
      <c r="C190" s="101"/>
      <c r="D190" s="101"/>
      <c r="E190" s="9">
        <f t="shared" si="11"/>
        <v>305.71801230299997</v>
      </c>
      <c r="F190" s="9">
        <v>97.647</v>
      </c>
      <c r="G190" s="9">
        <f>F190*1.043</f>
        <v>101.845821</v>
      </c>
      <c r="H190" s="9">
        <f t="shared" si="12"/>
        <v>106.22519130299999</v>
      </c>
    </row>
    <row r="191" spans="1:8" ht="12.75">
      <c r="A191" s="100" t="s">
        <v>88</v>
      </c>
      <c r="B191" s="10"/>
      <c r="C191" s="101" t="s">
        <v>40</v>
      </c>
      <c r="D191" s="101" t="s">
        <v>20</v>
      </c>
      <c r="E191" s="7">
        <f aca="true" t="shared" si="13" ref="E191:E198">F191+G191+H191</f>
        <v>15.304</v>
      </c>
      <c r="F191" s="7">
        <f>SUM(F192:F193)</f>
        <v>15.304</v>
      </c>
      <c r="G191" s="7">
        <f>SUM(G193:G194)</f>
        <v>0</v>
      </c>
      <c r="H191" s="7">
        <f>SUM(H193:H194)</f>
        <v>0</v>
      </c>
    </row>
    <row r="192" spans="1:8" ht="12.75">
      <c r="A192" s="100"/>
      <c r="B192" s="10" t="s">
        <v>231</v>
      </c>
      <c r="C192" s="101"/>
      <c r="D192" s="101"/>
      <c r="E192" s="9">
        <f>F192+G192+H192</f>
        <v>14.598</v>
      </c>
      <c r="F192" s="9">
        <v>14.598</v>
      </c>
      <c r="G192" s="7"/>
      <c r="H192" s="7"/>
    </row>
    <row r="193" spans="1:8" ht="38.25" customHeight="1">
      <c r="A193" s="100"/>
      <c r="B193" s="10" t="s">
        <v>247</v>
      </c>
      <c r="C193" s="101"/>
      <c r="D193" s="101"/>
      <c r="E193" s="9">
        <f t="shared" si="13"/>
        <v>0.706</v>
      </c>
      <c r="F193" s="9">
        <v>0.706</v>
      </c>
      <c r="G193" s="9"/>
      <c r="H193" s="9"/>
    </row>
    <row r="194" spans="1:8" ht="12.75" customHeight="1">
      <c r="A194" s="108" t="s">
        <v>87</v>
      </c>
      <c r="B194" s="10"/>
      <c r="C194" s="101" t="s">
        <v>40</v>
      </c>
      <c r="D194" s="101" t="s">
        <v>20</v>
      </c>
      <c r="E194" s="7">
        <f t="shared" si="13"/>
        <v>46.8</v>
      </c>
      <c r="F194" s="7">
        <f>SUM(F195)</f>
        <v>46.8</v>
      </c>
      <c r="G194" s="7">
        <f>SUM(G195)</f>
        <v>0</v>
      </c>
      <c r="H194" s="7">
        <f>SUM(H195)</f>
        <v>0</v>
      </c>
    </row>
    <row r="195" spans="1:8" ht="39" customHeight="1">
      <c r="A195" s="109"/>
      <c r="B195" s="8" t="s">
        <v>193</v>
      </c>
      <c r="C195" s="101"/>
      <c r="D195" s="101"/>
      <c r="E195" s="9">
        <f t="shared" si="13"/>
        <v>46.8</v>
      </c>
      <c r="F195" s="9">
        <v>46.8</v>
      </c>
      <c r="G195" s="9"/>
      <c r="H195" s="9"/>
    </row>
    <row r="196" spans="1:8" ht="12.75">
      <c r="A196" s="108" t="s">
        <v>130</v>
      </c>
      <c r="B196" s="10"/>
      <c r="C196" s="101" t="s">
        <v>40</v>
      </c>
      <c r="D196" s="101" t="s">
        <v>20</v>
      </c>
      <c r="E196" s="7">
        <f t="shared" si="13"/>
        <v>417.214</v>
      </c>
      <c r="F196" s="7">
        <f>SUM(F197)</f>
        <v>417.214</v>
      </c>
      <c r="G196" s="7">
        <f>SUM(G197)</f>
        <v>0</v>
      </c>
      <c r="H196" s="7">
        <f>SUM(H197)</f>
        <v>0</v>
      </c>
    </row>
    <row r="197" spans="1:8" ht="25.5">
      <c r="A197" s="110"/>
      <c r="B197" s="8" t="s">
        <v>181</v>
      </c>
      <c r="C197" s="101"/>
      <c r="D197" s="101"/>
      <c r="E197" s="9">
        <f t="shared" si="13"/>
        <v>417.214</v>
      </c>
      <c r="F197" s="9">
        <f>400.528+16.686</f>
        <v>417.214</v>
      </c>
      <c r="G197" s="9"/>
      <c r="H197" s="9"/>
    </row>
    <row r="198" spans="1:8" ht="38.25">
      <c r="A198" s="109"/>
      <c r="B198" s="21" t="s">
        <v>195</v>
      </c>
      <c r="C198" s="101"/>
      <c r="D198" s="101"/>
      <c r="E198" s="22">
        <f t="shared" si="13"/>
        <v>9.33</v>
      </c>
      <c r="F198" s="22">
        <v>9.33</v>
      </c>
      <c r="G198" s="22"/>
      <c r="H198" s="22"/>
    </row>
    <row r="199" spans="1:8" ht="12.75">
      <c r="A199" s="102" t="s">
        <v>70</v>
      </c>
      <c r="B199" s="10"/>
      <c r="C199" s="105" t="s">
        <v>41</v>
      </c>
      <c r="D199" s="105" t="s">
        <v>20</v>
      </c>
      <c r="E199" s="7">
        <f aca="true" t="shared" si="14" ref="E199:E260">F199+G199+H199</f>
        <v>473.171975</v>
      </c>
      <c r="F199" s="7">
        <f>SUM(F200:F202)</f>
        <v>135.413</v>
      </c>
      <c r="G199" s="7">
        <f>SUM(G200:G202)</f>
        <v>165.325</v>
      </c>
      <c r="H199" s="7">
        <f>SUM(H200:H202)</f>
        <v>172.43397499999998</v>
      </c>
    </row>
    <row r="200" spans="1:8" ht="25.5">
      <c r="A200" s="103"/>
      <c r="B200" s="8" t="s">
        <v>37</v>
      </c>
      <c r="C200" s="106"/>
      <c r="D200" s="106"/>
      <c r="E200" s="9">
        <f t="shared" si="14"/>
        <v>141.61577499999999</v>
      </c>
      <c r="F200" s="9">
        <f>99.011-63.478</f>
        <v>35.532999999999994</v>
      </c>
      <c r="G200" s="9">
        <v>51.925</v>
      </c>
      <c r="H200" s="9">
        <f>G200*1.043</f>
        <v>54.157774999999994</v>
      </c>
    </row>
    <row r="201" spans="1:8" ht="51">
      <c r="A201" s="103"/>
      <c r="B201" s="10" t="s">
        <v>161</v>
      </c>
      <c r="C201" s="106"/>
      <c r="D201" s="106"/>
      <c r="E201" s="9">
        <f t="shared" si="14"/>
        <v>260.40838099999996</v>
      </c>
      <c r="F201" s="9">
        <f>98+27.216-47.586-22.68</f>
        <v>54.95000000000001</v>
      </c>
      <c r="G201" s="9">
        <v>100.567</v>
      </c>
      <c r="H201" s="9">
        <f>G201*1.043</f>
        <v>104.89138099999998</v>
      </c>
    </row>
    <row r="202" spans="1:8" ht="12.75">
      <c r="A202" s="103"/>
      <c r="B202" s="10" t="s">
        <v>38</v>
      </c>
      <c r="C202" s="106"/>
      <c r="D202" s="106"/>
      <c r="E202" s="9">
        <f t="shared" si="14"/>
        <v>71.147819</v>
      </c>
      <c r="F202" s="9">
        <f>74.25-29.32</f>
        <v>44.93</v>
      </c>
      <c r="G202" s="9">
        <v>12.833</v>
      </c>
      <c r="H202" s="9">
        <f>G202*1.043</f>
        <v>13.384818999999998</v>
      </c>
    </row>
    <row r="203" spans="1:8" ht="12.75">
      <c r="A203" s="100" t="s">
        <v>80</v>
      </c>
      <c r="B203" s="8"/>
      <c r="C203" s="101" t="s">
        <v>41</v>
      </c>
      <c r="D203" s="101" t="s">
        <v>20</v>
      </c>
      <c r="E203" s="7">
        <f t="shared" si="14"/>
        <v>414.353366</v>
      </c>
      <c r="F203" s="7">
        <f>SUM(F204:F206)</f>
        <v>291.851</v>
      </c>
      <c r="G203" s="7">
        <f>SUM(G204:G206)</f>
        <v>59.961999999999996</v>
      </c>
      <c r="H203" s="7">
        <f>SUM(H204:H206)</f>
        <v>62.540366</v>
      </c>
    </row>
    <row r="204" spans="1:8" ht="38.25">
      <c r="A204" s="100"/>
      <c r="B204" s="10" t="s">
        <v>47</v>
      </c>
      <c r="C204" s="101"/>
      <c r="D204" s="101"/>
      <c r="E204" s="9">
        <f t="shared" si="14"/>
        <v>118.333557</v>
      </c>
      <c r="F204" s="9">
        <f>30.87+68.67</f>
        <v>99.54</v>
      </c>
      <c r="G204" s="9">
        <v>9.199</v>
      </c>
      <c r="H204" s="9">
        <f>G204*1.043</f>
        <v>9.594557</v>
      </c>
    </row>
    <row r="205" spans="1:8" ht="25.5">
      <c r="A205" s="100"/>
      <c r="B205" s="10" t="s">
        <v>196</v>
      </c>
      <c r="C205" s="101"/>
      <c r="D205" s="101"/>
      <c r="E205" s="9">
        <f t="shared" si="14"/>
        <v>98.01</v>
      </c>
      <c r="F205" s="9">
        <v>98.01</v>
      </c>
      <c r="G205" s="9">
        <v>0</v>
      </c>
      <c r="H205" s="9">
        <f>G205*1.043</f>
        <v>0</v>
      </c>
    </row>
    <row r="206" spans="1:8" ht="25.5">
      <c r="A206" s="100"/>
      <c r="B206" s="10" t="s">
        <v>39</v>
      </c>
      <c r="C206" s="101"/>
      <c r="D206" s="101"/>
      <c r="E206" s="9">
        <f t="shared" si="14"/>
        <v>198.009809</v>
      </c>
      <c r="F206" s="9">
        <f>68.833+25.468</f>
        <v>94.301</v>
      </c>
      <c r="G206" s="9">
        <v>50.763</v>
      </c>
      <c r="H206" s="9">
        <f>G206*1.043</f>
        <v>52.945809</v>
      </c>
    </row>
    <row r="207" spans="1:8" ht="12.75">
      <c r="A207" s="100" t="s">
        <v>89</v>
      </c>
      <c r="B207" s="8"/>
      <c r="C207" s="101" t="s">
        <v>41</v>
      </c>
      <c r="D207" s="101" t="s">
        <v>20</v>
      </c>
      <c r="E207" s="7">
        <f t="shared" si="14"/>
        <v>583.677995</v>
      </c>
      <c r="F207" s="7">
        <f>SUM(F208:F210)</f>
        <v>241.547</v>
      </c>
      <c r="G207" s="7">
        <f>SUM(G208:G210)</f>
        <v>167.465</v>
      </c>
      <c r="H207" s="7">
        <f>SUM(H208:H210)</f>
        <v>174.66599499999998</v>
      </c>
    </row>
    <row r="208" spans="1:8" ht="25.5">
      <c r="A208" s="100"/>
      <c r="B208" s="10" t="s">
        <v>33</v>
      </c>
      <c r="C208" s="101"/>
      <c r="D208" s="101"/>
      <c r="E208" s="9">
        <f t="shared" si="14"/>
        <v>196.522358</v>
      </c>
      <c r="F208" s="9">
        <f>54.3+42.716</f>
        <v>97.01599999999999</v>
      </c>
      <c r="G208" s="9">
        <v>48.706</v>
      </c>
      <c r="H208" s="9">
        <f>G208*1.043</f>
        <v>50.800358</v>
      </c>
    </row>
    <row r="209" spans="1:8" ht="25.5">
      <c r="A209" s="100"/>
      <c r="B209" s="10" t="s">
        <v>140</v>
      </c>
      <c r="C209" s="101"/>
      <c r="D209" s="101"/>
      <c r="E209" s="9">
        <f t="shared" si="14"/>
        <v>164.785528</v>
      </c>
      <c r="F209" s="9">
        <v>52.633</v>
      </c>
      <c r="G209" s="9">
        <v>54.896</v>
      </c>
      <c r="H209" s="9">
        <f>G209*1.043</f>
        <v>57.256527999999996</v>
      </c>
    </row>
    <row r="210" spans="1:8" ht="38.25">
      <c r="A210" s="100"/>
      <c r="B210" s="10" t="s">
        <v>141</v>
      </c>
      <c r="C210" s="101"/>
      <c r="D210" s="101"/>
      <c r="E210" s="9">
        <f t="shared" si="14"/>
        <v>222.37010899999999</v>
      </c>
      <c r="F210" s="9">
        <v>91.898</v>
      </c>
      <c r="G210" s="9">
        <v>63.863</v>
      </c>
      <c r="H210" s="9">
        <f>G210*1.043</f>
        <v>66.60910899999999</v>
      </c>
    </row>
    <row r="211" spans="1:8" ht="12.75">
      <c r="A211" s="102" t="s">
        <v>88</v>
      </c>
      <c r="B211" s="10"/>
      <c r="C211" s="101" t="s">
        <v>41</v>
      </c>
      <c r="D211" s="101" t="s">
        <v>20</v>
      </c>
      <c r="E211" s="7">
        <f>F211+G211+H211</f>
        <v>99.84299999999999</v>
      </c>
      <c r="F211" s="7">
        <f>SUM(F212)</f>
        <v>99.84299999999999</v>
      </c>
      <c r="G211" s="9"/>
      <c r="H211" s="9"/>
    </row>
    <row r="212" spans="1:8" ht="39.75" customHeight="1">
      <c r="A212" s="104"/>
      <c r="B212" s="10" t="s">
        <v>232</v>
      </c>
      <c r="C212" s="101"/>
      <c r="D212" s="101"/>
      <c r="E212" s="9">
        <f>F212+G212+H212</f>
        <v>99.84299999999999</v>
      </c>
      <c r="F212" s="9">
        <f>73.633+26.21</f>
        <v>99.84299999999999</v>
      </c>
      <c r="G212" s="9"/>
      <c r="H212" s="9"/>
    </row>
    <row r="213" spans="1:8" ht="12.75">
      <c r="A213" s="108" t="s">
        <v>130</v>
      </c>
      <c r="B213" s="10"/>
      <c r="C213" s="101" t="s">
        <v>41</v>
      </c>
      <c r="D213" s="101" t="s">
        <v>20</v>
      </c>
      <c r="E213" s="7">
        <f>F213+G213+H213</f>
        <v>424.153</v>
      </c>
      <c r="F213" s="7">
        <f>SUM(F214)</f>
        <v>424.153</v>
      </c>
      <c r="G213" s="9"/>
      <c r="H213" s="9"/>
    </row>
    <row r="214" spans="1:8" ht="39.75" customHeight="1">
      <c r="A214" s="109"/>
      <c r="B214" s="8" t="s">
        <v>181</v>
      </c>
      <c r="C214" s="101"/>
      <c r="D214" s="101"/>
      <c r="E214" s="9">
        <f>F214+G214+H214</f>
        <v>424.153</v>
      </c>
      <c r="F214" s="9">
        <f>392.095+32.058</f>
        <v>424.153</v>
      </c>
      <c r="G214" s="9"/>
      <c r="H214" s="9"/>
    </row>
    <row r="215" spans="1:8" ht="12.75">
      <c r="A215" s="102" t="s">
        <v>70</v>
      </c>
      <c r="B215" s="8"/>
      <c r="C215" s="105" t="s">
        <v>42</v>
      </c>
      <c r="D215" s="105" t="s">
        <v>20</v>
      </c>
      <c r="E215" s="7">
        <f t="shared" si="14"/>
        <v>241.269564</v>
      </c>
      <c r="F215" s="7">
        <f>SUM(F216:F217)</f>
        <v>138</v>
      </c>
      <c r="G215" s="7">
        <f>SUM(G216:G217)</f>
        <v>50.548</v>
      </c>
      <c r="H215" s="7">
        <f>SUM(H216:H217)</f>
        <v>52.721564</v>
      </c>
    </row>
    <row r="216" spans="1:8" ht="25.5">
      <c r="A216" s="103"/>
      <c r="B216" s="10" t="s">
        <v>37</v>
      </c>
      <c r="C216" s="106"/>
      <c r="D216" s="106"/>
      <c r="E216" s="9">
        <f t="shared" si="14"/>
        <v>39</v>
      </c>
      <c r="F216" s="9">
        <v>39</v>
      </c>
      <c r="G216" s="7"/>
      <c r="H216" s="7"/>
    </row>
    <row r="217" spans="1:8" ht="12.75">
      <c r="A217" s="103"/>
      <c r="B217" s="10" t="s">
        <v>38</v>
      </c>
      <c r="C217" s="106"/>
      <c r="D217" s="106"/>
      <c r="E217" s="9">
        <f t="shared" si="14"/>
        <v>202.269564</v>
      </c>
      <c r="F217" s="9">
        <v>99</v>
      </c>
      <c r="G217" s="9">
        <v>50.548</v>
      </c>
      <c r="H217" s="9">
        <f>G217*1.043</f>
        <v>52.721564</v>
      </c>
    </row>
    <row r="218" spans="1:8" ht="12.75">
      <c r="A218" s="102" t="s">
        <v>80</v>
      </c>
      <c r="B218" s="10"/>
      <c r="C218" s="105" t="s">
        <v>42</v>
      </c>
      <c r="D218" s="105" t="s">
        <v>20</v>
      </c>
      <c r="E218" s="7">
        <f t="shared" si="14"/>
        <v>175</v>
      </c>
      <c r="F218" s="7">
        <f>SUM(F219:F221)</f>
        <v>175</v>
      </c>
      <c r="G218" s="7">
        <f>SUM(G219:G221)</f>
        <v>0</v>
      </c>
      <c r="H218" s="7">
        <f>SUM(H219:H221)</f>
        <v>0</v>
      </c>
    </row>
    <row r="219" spans="1:8" ht="25.5">
      <c r="A219" s="103"/>
      <c r="B219" s="10" t="s">
        <v>31</v>
      </c>
      <c r="C219" s="106"/>
      <c r="D219" s="106"/>
      <c r="E219" s="9">
        <f t="shared" si="14"/>
        <v>45</v>
      </c>
      <c r="F219" s="9">
        <v>45</v>
      </c>
      <c r="G219" s="9"/>
      <c r="H219" s="9"/>
    </row>
    <row r="220" spans="1:8" ht="25.5">
      <c r="A220" s="103"/>
      <c r="B220" s="10" t="s">
        <v>32</v>
      </c>
      <c r="C220" s="106"/>
      <c r="D220" s="106"/>
      <c r="E220" s="9">
        <f t="shared" si="14"/>
        <v>35</v>
      </c>
      <c r="F220" s="9">
        <v>35</v>
      </c>
      <c r="G220" s="9"/>
      <c r="H220" s="9"/>
    </row>
    <row r="221" spans="1:8" ht="25.5">
      <c r="A221" s="103"/>
      <c r="B221" s="10" t="s">
        <v>233</v>
      </c>
      <c r="C221" s="106"/>
      <c r="D221" s="106"/>
      <c r="E221" s="9">
        <f t="shared" si="14"/>
        <v>95</v>
      </c>
      <c r="F221" s="9">
        <v>95</v>
      </c>
      <c r="G221" s="9"/>
      <c r="H221" s="9"/>
    </row>
    <row r="222" spans="1:8" ht="12.75">
      <c r="A222" s="100" t="s">
        <v>89</v>
      </c>
      <c r="B222" s="10"/>
      <c r="C222" s="101" t="s">
        <v>42</v>
      </c>
      <c r="D222" s="101" t="s">
        <v>20</v>
      </c>
      <c r="E222" s="7">
        <f t="shared" si="14"/>
        <v>253.505185</v>
      </c>
      <c r="F222" s="7">
        <f>SUM(F223:F224)</f>
        <v>115</v>
      </c>
      <c r="G222" s="7">
        <f>SUM(G223:G224)</f>
        <v>67.795</v>
      </c>
      <c r="H222" s="7">
        <f>SUM(H223:H224)</f>
        <v>70.710185</v>
      </c>
    </row>
    <row r="223" spans="1:8" ht="25.5">
      <c r="A223" s="100"/>
      <c r="B223" s="10" t="s">
        <v>33</v>
      </c>
      <c r="C223" s="101"/>
      <c r="D223" s="101"/>
      <c r="E223" s="9">
        <f t="shared" si="14"/>
        <v>115.888205</v>
      </c>
      <c r="F223" s="9">
        <v>20</v>
      </c>
      <c r="G223" s="9">
        <v>46.935</v>
      </c>
      <c r="H223" s="9">
        <f>G223*1.043</f>
        <v>48.953205</v>
      </c>
    </row>
    <row r="224" spans="1:8" ht="12.75">
      <c r="A224" s="100"/>
      <c r="B224" s="10" t="s">
        <v>34</v>
      </c>
      <c r="C224" s="101"/>
      <c r="D224" s="101"/>
      <c r="E224" s="9">
        <f t="shared" si="14"/>
        <v>137.61698</v>
      </c>
      <c r="F224" s="9">
        <v>95</v>
      </c>
      <c r="G224" s="9">
        <v>20.86</v>
      </c>
      <c r="H224" s="9">
        <f>G224*1.043</f>
        <v>21.75698</v>
      </c>
    </row>
    <row r="225" spans="1:8" ht="12.75">
      <c r="A225" s="100" t="s">
        <v>88</v>
      </c>
      <c r="B225" s="10"/>
      <c r="C225" s="101" t="s">
        <v>42</v>
      </c>
      <c r="D225" s="101" t="s">
        <v>20</v>
      </c>
      <c r="E225" s="7">
        <f t="shared" si="14"/>
        <v>184.23396</v>
      </c>
      <c r="F225" s="7">
        <f>SUM(F226)</f>
        <v>99</v>
      </c>
      <c r="G225" s="7">
        <f>SUM(G226)</f>
        <v>41.72</v>
      </c>
      <c r="H225" s="7">
        <f>SUM(H226)</f>
        <v>43.51396</v>
      </c>
    </row>
    <row r="226" spans="1:8" ht="39.75" customHeight="1">
      <c r="A226" s="100"/>
      <c r="B226" s="10" t="s">
        <v>43</v>
      </c>
      <c r="C226" s="101"/>
      <c r="D226" s="101"/>
      <c r="E226" s="9">
        <f t="shared" si="14"/>
        <v>184.23396</v>
      </c>
      <c r="F226" s="9">
        <v>99</v>
      </c>
      <c r="G226" s="9">
        <v>41.72</v>
      </c>
      <c r="H226" s="9">
        <f>G226*1.043</f>
        <v>43.51396</v>
      </c>
    </row>
    <row r="227" spans="1:8" ht="12.75">
      <c r="A227" s="108" t="s">
        <v>87</v>
      </c>
      <c r="B227" s="10"/>
      <c r="C227" s="101" t="s">
        <v>42</v>
      </c>
      <c r="D227" s="101" t="s">
        <v>20</v>
      </c>
      <c r="E227" s="7">
        <f t="shared" si="14"/>
        <v>216.253806</v>
      </c>
      <c r="F227" s="7">
        <f>SUM(F228)</f>
        <v>69.072</v>
      </c>
      <c r="G227" s="7">
        <f>SUM(G228)</f>
        <v>72.042</v>
      </c>
      <c r="H227" s="7">
        <f>SUM(H228)</f>
        <v>75.139806</v>
      </c>
    </row>
    <row r="228" spans="1:8" ht="39" customHeight="1">
      <c r="A228" s="109"/>
      <c r="B228" s="8" t="s">
        <v>193</v>
      </c>
      <c r="C228" s="101"/>
      <c r="D228" s="101"/>
      <c r="E228" s="9">
        <f t="shared" si="14"/>
        <v>216.253806</v>
      </c>
      <c r="F228" s="9">
        <v>69.072</v>
      </c>
      <c r="G228" s="9">
        <v>72.042</v>
      </c>
      <c r="H228" s="9">
        <f>G228*1.043</f>
        <v>75.139806</v>
      </c>
    </row>
    <row r="229" spans="1:8" ht="12.75">
      <c r="A229" s="108" t="s">
        <v>130</v>
      </c>
      <c r="B229" s="10"/>
      <c r="C229" s="101" t="s">
        <v>42</v>
      </c>
      <c r="D229" s="101" t="s">
        <v>20</v>
      </c>
      <c r="E229" s="7">
        <f t="shared" si="14"/>
        <v>406.328</v>
      </c>
      <c r="F229" s="7">
        <f>SUM(F230)</f>
        <v>406.328</v>
      </c>
      <c r="G229" s="9"/>
      <c r="H229" s="9"/>
    </row>
    <row r="230" spans="1:8" ht="25.5">
      <c r="A230" s="109"/>
      <c r="B230" s="8" t="s">
        <v>181</v>
      </c>
      <c r="C230" s="101"/>
      <c r="D230" s="101"/>
      <c r="E230" s="9">
        <f t="shared" si="14"/>
        <v>406.328</v>
      </c>
      <c r="F230" s="9">
        <f>373.536+32.792</f>
        <v>406.328</v>
      </c>
      <c r="G230" s="9"/>
      <c r="H230" s="9"/>
    </row>
    <row r="231" spans="1:8" ht="12.75">
      <c r="A231" s="102" t="s">
        <v>70</v>
      </c>
      <c r="B231" s="10"/>
      <c r="C231" s="105" t="s">
        <v>44</v>
      </c>
      <c r="D231" s="105" t="s">
        <v>20</v>
      </c>
      <c r="E231" s="7">
        <f t="shared" si="14"/>
        <v>348.542638</v>
      </c>
      <c r="F231" s="7">
        <f>SUM(F232:F233)</f>
        <v>149.011</v>
      </c>
      <c r="G231" s="7">
        <f>SUM(G232:G233)</f>
        <v>97.666</v>
      </c>
      <c r="H231" s="7">
        <f>SUM(H232:H233)</f>
        <v>101.865638</v>
      </c>
    </row>
    <row r="232" spans="1:8" ht="25.5">
      <c r="A232" s="103"/>
      <c r="B232" s="10" t="s">
        <v>37</v>
      </c>
      <c r="C232" s="106"/>
      <c r="D232" s="106"/>
      <c r="E232" s="9">
        <f t="shared" si="14"/>
        <v>122.148248</v>
      </c>
      <c r="F232" s="9">
        <v>60.989</v>
      </c>
      <c r="G232" s="9">
        <v>29.936</v>
      </c>
      <c r="H232" s="9">
        <f>G232*1.043</f>
        <v>31.223247999999998</v>
      </c>
    </row>
    <row r="233" spans="1:8" ht="25.5">
      <c r="A233" s="103"/>
      <c r="B233" s="10" t="s">
        <v>48</v>
      </c>
      <c r="C233" s="106"/>
      <c r="D233" s="106"/>
      <c r="E233" s="9">
        <f>F233+G233+H233</f>
        <v>226.39439000000002</v>
      </c>
      <c r="F233" s="9">
        <v>88.022</v>
      </c>
      <c r="G233" s="9">
        <v>67.73</v>
      </c>
      <c r="H233" s="9">
        <f>G233*1.043</f>
        <v>70.64239</v>
      </c>
    </row>
    <row r="234" spans="1:8" ht="12.75">
      <c r="A234" s="100" t="s">
        <v>80</v>
      </c>
      <c r="B234" s="8"/>
      <c r="C234" s="101" t="s">
        <v>44</v>
      </c>
      <c r="D234" s="101" t="s">
        <v>20</v>
      </c>
      <c r="E234" s="7">
        <f t="shared" si="14"/>
        <v>467.31416075199996</v>
      </c>
      <c r="F234" s="7">
        <f>SUM(F235:F238)</f>
        <v>211.51</v>
      </c>
      <c r="G234" s="7">
        <f>SUM(G235:G238)</f>
        <v>125.21006399999999</v>
      </c>
      <c r="H234" s="7">
        <f>SUM(H235:H238)</f>
        <v>130.59409675199998</v>
      </c>
    </row>
    <row r="235" spans="1:8" ht="25.5">
      <c r="A235" s="100"/>
      <c r="B235" s="10" t="s">
        <v>45</v>
      </c>
      <c r="C235" s="101"/>
      <c r="D235" s="101"/>
      <c r="E235" s="9">
        <f t="shared" si="14"/>
        <v>238.17620682599997</v>
      </c>
      <c r="F235" s="9">
        <v>76.074</v>
      </c>
      <c r="G235" s="9">
        <f>F235*1.043</f>
        <v>79.345182</v>
      </c>
      <c r="H235" s="9">
        <f>G235*1.043</f>
        <v>82.75702482599999</v>
      </c>
    </row>
    <row r="236" spans="1:8" ht="25.5">
      <c r="A236" s="100"/>
      <c r="B236" s="57" t="s">
        <v>194</v>
      </c>
      <c r="C236" s="101"/>
      <c r="D236" s="101"/>
      <c r="E236" s="9">
        <f t="shared" si="14"/>
        <v>7.05</v>
      </c>
      <c r="F236" s="9">
        <v>7.05</v>
      </c>
      <c r="G236" s="9"/>
      <c r="H236" s="9"/>
    </row>
    <row r="237" spans="1:8" ht="12.75">
      <c r="A237" s="100"/>
      <c r="B237" s="57" t="s">
        <v>234</v>
      </c>
      <c r="C237" s="101"/>
      <c r="D237" s="101"/>
      <c r="E237" s="9">
        <f t="shared" si="14"/>
        <v>84.412</v>
      </c>
      <c r="F237" s="9">
        <v>84.412</v>
      </c>
      <c r="G237" s="9"/>
      <c r="H237" s="9"/>
    </row>
    <row r="238" spans="1:8" ht="25.5">
      <c r="A238" s="100"/>
      <c r="B238" s="10" t="s">
        <v>32</v>
      </c>
      <c r="C238" s="101"/>
      <c r="D238" s="101"/>
      <c r="E238" s="9">
        <f t="shared" si="14"/>
        <v>137.67595392599998</v>
      </c>
      <c r="F238" s="9">
        <v>43.974</v>
      </c>
      <c r="G238" s="9">
        <f aca="true" t="shared" si="15" ref="G238:H242">F238*1.043</f>
        <v>45.864881999999994</v>
      </c>
      <c r="H238" s="9">
        <f t="shared" si="15"/>
        <v>47.83707192599999</v>
      </c>
    </row>
    <row r="239" spans="1:8" ht="38.25">
      <c r="A239" s="100"/>
      <c r="B239" s="21" t="s">
        <v>195</v>
      </c>
      <c r="C239" s="101"/>
      <c r="D239" s="101"/>
      <c r="E239" s="22">
        <f t="shared" si="14"/>
        <v>16.111348954</v>
      </c>
      <c r="F239" s="22">
        <v>5.146</v>
      </c>
      <c r="G239" s="22">
        <f t="shared" si="15"/>
        <v>5.367278</v>
      </c>
      <c r="H239" s="22">
        <f t="shared" si="15"/>
        <v>5.598070954</v>
      </c>
    </row>
    <row r="240" spans="1:8" ht="12.75">
      <c r="A240" s="100" t="s">
        <v>89</v>
      </c>
      <c r="B240" s="8"/>
      <c r="C240" s="101" t="s">
        <v>44</v>
      </c>
      <c r="D240" s="101" t="s">
        <v>20</v>
      </c>
      <c r="E240" s="7">
        <f t="shared" si="14"/>
        <v>176.031836</v>
      </c>
      <c r="F240" s="7">
        <f>SUM(F241:F242)</f>
        <v>71.324</v>
      </c>
      <c r="G240" s="7">
        <f>SUM(G241:G242)</f>
        <v>51.252</v>
      </c>
      <c r="H240" s="7">
        <f>SUM(H241:H242)</f>
        <v>53.455836</v>
      </c>
    </row>
    <row r="241" spans="1:8" ht="25.5">
      <c r="A241" s="100"/>
      <c r="B241" s="10" t="s">
        <v>33</v>
      </c>
      <c r="C241" s="101"/>
      <c r="D241" s="101"/>
      <c r="E241" s="9">
        <f t="shared" si="14"/>
        <v>28.333877</v>
      </c>
      <c r="F241" s="9">
        <v>9.05</v>
      </c>
      <c r="G241" s="9">
        <v>9.439</v>
      </c>
      <c r="H241" s="9">
        <f t="shared" si="15"/>
        <v>9.844876999999999</v>
      </c>
    </row>
    <row r="242" spans="1:8" ht="12.75">
      <c r="A242" s="100"/>
      <c r="B242" s="10" t="s">
        <v>34</v>
      </c>
      <c r="C242" s="101"/>
      <c r="D242" s="101"/>
      <c r="E242" s="9">
        <f t="shared" si="14"/>
        <v>147.697959</v>
      </c>
      <c r="F242" s="9">
        <v>62.274</v>
      </c>
      <c r="G242" s="9">
        <v>41.813</v>
      </c>
      <c r="H242" s="9">
        <f t="shared" si="15"/>
        <v>43.610959</v>
      </c>
    </row>
    <row r="243" spans="1:8" ht="12.75">
      <c r="A243" s="102" t="s">
        <v>192</v>
      </c>
      <c r="B243" s="10"/>
      <c r="C243" s="101" t="s">
        <v>44</v>
      </c>
      <c r="D243" s="101" t="s">
        <v>20</v>
      </c>
      <c r="E243" s="7">
        <f t="shared" si="14"/>
        <v>6.3</v>
      </c>
      <c r="F243" s="7">
        <f>SUM(F244)</f>
        <v>6.3</v>
      </c>
      <c r="G243" s="7">
        <f>SUM(G244)</f>
        <v>0</v>
      </c>
      <c r="H243" s="7">
        <f>SUM(H244)</f>
        <v>0</v>
      </c>
    </row>
    <row r="244" spans="1:8" ht="25.5">
      <c r="A244" s="104"/>
      <c r="B244" s="8" t="s">
        <v>235</v>
      </c>
      <c r="C244" s="101"/>
      <c r="D244" s="101"/>
      <c r="E244" s="9">
        <f t="shared" si="14"/>
        <v>6.3</v>
      </c>
      <c r="F244" s="38">
        <v>6.3</v>
      </c>
      <c r="G244" s="9"/>
      <c r="H244" s="9"/>
    </row>
    <row r="245" spans="1:8" ht="12.75">
      <c r="A245" s="108" t="s">
        <v>130</v>
      </c>
      <c r="B245" s="10"/>
      <c r="C245" s="101" t="s">
        <v>44</v>
      </c>
      <c r="D245" s="101" t="s">
        <v>20</v>
      </c>
      <c r="E245" s="7">
        <f t="shared" si="14"/>
        <v>256.513</v>
      </c>
      <c r="F245" s="7">
        <f>SUM(F246)</f>
        <v>256.513</v>
      </c>
      <c r="G245" s="7">
        <f>SUM(G246)</f>
        <v>0</v>
      </c>
      <c r="H245" s="7">
        <f>SUM(H246)</f>
        <v>0</v>
      </c>
    </row>
    <row r="246" spans="1:8" ht="25.5">
      <c r="A246" s="109"/>
      <c r="B246" s="8" t="s">
        <v>181</v>
      </c>
      <c r="C246" s="101"/>
      <c r="D246" s="101"/>
      <c r="E246" s="9">
        <f t="shared" si="14"/>
        <v>256.513</v>
      </c>
      <c r="F246" s="3">
        <f>256.513</f>
        <v>256.513</v>
      </c>
      <c r="G246" s="9"/>
      <c r="H246" s="9"/>
    </row>
    <row r="247" spans="1:8" ht="12.75">
      <c r="A247" s="102" t="s">
        <v>70</v>
      </c>
      <c r="B247" s="10"/>
      <c r="C247" s="105" t="s">
        <v>46</v>
      </c>
      <c r="D247" s="105" t="s">
        <v>20</v>
      </c>
      <c r="E247" s="7">
        <f t="shared" si="14"/>
        <v>501.1945486679999</v>
      </c>
      <c r="F247" s="7">
        <f>SUM(F248:F249)</f>
        <v>259.275</v>
      </c>
      <c r="G247" s="7">
        <f>SUM(G248:G248)</f>
        <v>118.41387599999999</v>
      </c>
      <c r="H247" s="7">
        <f>SUM(H248:H248)</f>
        <v>123.50567266799997</v>
      </c>
    </row>
    <row r="248" spans="1:8" ht="25.5">
      <c r="A248" s="103"/>
      <c r="B248" s="10" t="s">
        <v>48</v>
      </c>
      <c r="C248" s="106"/>
      <c r="D248" s="106"/>
      <c r="E248" s="9">
        <f t="shared" si="14"/>
        <v>441.494548668</v>
      </c>
      <c r="F248" s="9">
        <v>199.575</v>
      </c>
      <c r="G248" s="9">
        <v>118.41387599999999</v>
      </c>
      <c r="H248" s="9">
        <v>123.50567266799997</v>
      </c>
    </row>
    <row r="249" spans="1:8" ht="25.5">
      <c r="A249" s="104"/>
      <c r="B249" s="10" t="s">
        <v>236</v>
      </c>
      <c r="C249" s="107"/>
      <c r="D249" s="107"/>
      <c r="E249" s="9">
        <f t="shared" si="14"/>
        <v>59.7</v>
      </c>
      <c r="F249" s="9">
        <v>59.7</v>
      </c>
      <c r="G249" s="9"/>
      <c r="H249" s="9"/>
    </row>
    <row r="250" spans="1:8" ht="12.75">
      <c r="A250" s="102" t="s">
        <v>80</v>
      </c>
      <c r="B250" s="10"/>
      <c r="C250" s="105" t="s">
        <v>46</v>
      </c>
      <c r="D250" s="105" t="s">
        <v>20</v>
      </c>
      <c r="E250" s="7">
        <f t="shared" si="14"/>
        <v>270.075821148</v>
      </c>
      <c r="F250" s="7">
        <f>SUM(F251:F254)</f>
        <v>199.647</v>
      </c>
      <c r="G250" s="7">
        <f>SUM(G251:G254)</f>
        <v>34.473236</v>
      </c>
      <c r="H250" s="7">
        <f>SUM(H251:H254)</f>
        <v>35.955585148</v>
      </c>
    </row>
    <row r="251" spans="1:8" ht="25.5">
      <c r="A251" s="103"/>
      <c r="B251" s="10" t="s">
        <v>45</v>
      </c>
      <c r="C251" s="106"/>
      <c r="D251" s="106"/>
      <c r="E251" s="9">
        <f t="shared" si="14"/>
        <v>84.64099999999999</v>
      </c>
      <c r="F251" s="9">
        <f>46.336+38.305</f>
        <v>84.64099999999999</v>
      </c>
      <c r="G251" s="9"/>
      <c r="H251" s="9"/>
    </row>
    <row r="252" spans="1:8" ht="38.25">
      <c r="A252" s="103"/>
      <c r="B252" s="10" t="s">
        <v>47</v>
      </c>
      <c r="C252" s="106"/>
      <c r="D252" s="106"/>
      <c r="E252" s="9">
        <f t="shared" si="14"/>
        <v>55.74626253</v>
      </c>
      <c r="F252" s="9">
        <v>30.24</v>
      </c>
      <c r="G252" s="9">
        <v>12.48471</v>
      </c>
      <c r="H252" s="9">
        <v>13.02155253</v>
      </c>
    </row>
    <row r="253" spans="1:8" ht="25.5">
      <c r="A253" s="103"/>
      <c r="B253" s="10" t="s">
        <v>31</v>
      </c>
      <c r="C253" s="106"/>
      <c r="D253" s="106"/>
      <c r="E253" s="9">
        <f t="shared" si="14"/>
        <v>55.858400296</v>
      </c>
      <c r="F253" s="9">
        <v>38.59</v>
      </c>
      <c r="G253" s="9">
        <v>8.452471999999998</v>
      </c>
      <c r="H253" s="9">
        <v>8.815928295999997</v>
      </c>
    </row>
    <row r="254" spans="1:8" ht="25.5">
      <c r="A254" s="103"/>
      <c r="B254" s="10" t="s">
        <v>32</v>
      </c>
      <c r="C254" s="106"/>
      <c r="D254" s="106"/>
      <c r="E254" s="9">
        <f t="shared" si="14"/>
        <v>73.830158322</v>
      </c>
      <c r="F254" s="9">
        <f>46.176+0.6-0.6</f>
        <v>46.176</v>
      </c>
      <c r="G254" s="9">
        <v>13.536053999999998</v>
      </c>
      <c r="H254" s="9">
        <v>14.118104321999997</v>
      </c>
    </row>
    <row r="255" spans="1:8" ht="12.75">
      <c r="A255" s="100" t="s">
        <v>89</v>
      </c>
      <c r="B255" s="8"/>
      <c r="C255" s="101" t="s">
        <v>46</v>
      </c>
      <c r="D255" s="101" t="s">
        <v>20</v>
      </c>
      <c r="E255" s="7">
        <f t="shared" si="14"/>
        <v>326.353438062</v>
      </c>
      <c r="F255" s="7">
        <f>SUM(F256:F258)</f>
        <v>104.238</v>
      </c>
      <c r="G255" s="7">
        <f>SUM(G256:G258)</f>
        <v>108.72023399999999</v>
      </c>
      <c r="H255" s="7">
        <f>SUM(H256:H258)</f>
        <v>113.39520406199998</v>
      </c>
    </row>
    <row r="256" spans="1:8" ht="25.5">
      <c r="A256" s="100"/>
      <c r="B256" s="10" t="s">
        <v>49</v>
      </c>
      <c r="C256" s="101"/>
      <c r="D256" s="101"/>
      <c r="E256" s="9">
        <f t="shared" si="14"/>
        <v>6.349361772</v>
      </c>
      <c r="F256" s="9">
        <v>2.028</v>
      </c>
      <c r="G256" s="9">
        <v>2.115204</v>
      </c>
      <c r="H256" s="9">
        <v>2.2061577719999996</v>
      </c>
    </row>
    <row r="257" spans="1:8" ht="25.5">
      <c r="A257" s="100"/>
      <c r="B257" s="10" t="s">
        <v>33</v>
      </c>
      <c r="C257" s="101"/>
      <c r="D257" s="101"/>
      <c r="E257" s="9">
        <f t="shared" si="14"/>
        <v>53.268264886</v>
      </c>
      <c r="F257" s="9">
        <v>17.014</v>
      </c>
      <c r="G257" s="9">
        <v>17.745601999999998</v>
      </c>
      <c r="H257" s="9">
        <v>18.508662885999996</v>
      </c>
    </row>
    <row r="258" spans="1:8" ht="12.75">
      <c r="A258" s="100"/>
      <c r="B258" s="10" t="s">
        <v>34</v>
      </c>
      <c r="C258" s="101"/>
      <c r="D258" s="101"/>
      <c r="E258" s="9">
        <f t="shared" si="14"/>
        <v>266.735811404</v>
      </c>
      <c r="F258" s="9">
        <v>85.196</v>
      </c>
      <c r="G258" s="9">
        <v>88.859428</v>
      </c>
      <c r="H258" s="9">
        <v>92.68038340399998</v>
      </c>
    </row>
    <row r="259" spans="1:8" ht="12.75">
      <c r="A259" s="100" t="s">
        <v>75</v>
      </c>
      <c r="B259" s="8"/>
      <c r="C259" s="101" t="s">
        <v>46</v>
      </c>
      <c r="D259" s="101" t="s">
        <v>20</v>
      </c>
      <c r="E259" s="7">
        <f t="shared" si="14"/>
        <v>1.567525925</v>
      </c>
      <c r="F259" s="7">
        <f>SUM(F260)</f>
        <v>0.875</v>
      </c>
      <c r="G259" s="7">
        <f>SUM(G260)</f>
        <v>0.33897499999999997</v>
      </c>
      <c r="H259" s="7">
        <f>SUM(H260)</f>
        <v>0.35355092499999996</v>
      </c>
    </row>
    <row r="260" spans="1:8" ht="38.25">
      <c r="A260" s="100"/>
      <c r="B260" s="8" t="s">
        <v>50</v>
      </c>
      <c r="C260" s="101"/>
      <c r="D260" s="101"/>
      <c r="E260" s="9">
        <f t="shared" si="14"/>
        <v>1.567525925</v>
      </c>
      <c r="F260" s="9">
        <f>0.875-0.6+0.6</f>
        <v>0.875</v>
      </c>
      <c r="G260" s="9">
        <v>0.33897499999999997</v>
      </c>
      <c r="H260" s="9">
        <v>0.35355092499999996</v>
      </c>
    </row>
    <row r="261" spans="1:8" ht="20.25" customHeight="1">
      <c r="A261" s="100" t="s">
        <v>88</v>
      </c>
      <c r="B261" s="8"/>
      <c r="C261" s="101" t="s">
        <v>46</v>
      </c>
      <c r="D261" s="101" t="s">
        <v>20</v>
      </c>
      <c r="E261" s="7">
        <f>F261+G261+H261</f>
        <v>85.964</v>
      </c>
      <c r="F261" s="7">
        <f>SUM(F262:F263)</f>
        <v>85.964</v>
      </c>
      <c r="G261" s="7">
        <f>SUM(G262:G263)</f>
        <v>0</v>
      </c>
      <c r="H261" s="7">
        <f>SUM(H262:H263)</f>
        <v>0</v>
      </c>
    </row>
    <row r="262" spans="1:8" ht="15.75" customHeight="1">
      <c r="A262" s="100"/>
      <c r="B262" s="10" t="s">
        <v>237</v>
      </c>
      <c r="C262" s="101"/>
      <c r="D262" s="101"/>
      <c r="E262" s="9">
        <f>F262+G262+H262</f>
        <v>70.564</v>
      </c>
      <c r="F262" s="9">
        <f>43.489+27.075</f>
        <v>70.564</v>
      </c>
      <c r="G262" s="7"/>
      <c r="H262" s="7"/>
    </row>
    <row r="263" spans="1:8" ht="15" customHeight="1">
      <c r="A263" s="100"/>
      <c r="B263" s="10" t="s">
        <v>262</v>
      </c>
      <c r="C263" s="101"/>
      <c r="D263" s="101"/>
      <c r="E263" s="9">
        <f>F263+G263+H263</f>
        <v>15.4</v>
      </c>
      <c r="F263" s="9">
        <v>15.4</v>
      </c>
      <c r="G263" s="7"/>
      <c r="H263" s="7"/>
    </row>
    <row r="264" spans="1:8" ht="12.75">
      <c r="A264" s="108" t="s">
        <v>130</v>
      </c>
      <c r="B264" s="10"/>
      <c r="C264" s="101" t="s">
        <v>46</v>
      </c>
      <c r="D264" s="101" t="s">
        <v>20</v>
      </c>
      <c r="E264" s="7">
        <f>F264+G264+H264</f>
        <v>431.985</v>
      </c>
      <c r="F264" s="7">
        <f>SUM(F265)</f>
        <v>431.985</v>
      </c>
      <c r="G264" s="7">
        <f>SUM(G265)</f>
        <v>0</v>
      </c>
      <c r="H264" s="7">
        <f>SUM(H265)</f>
        <v>0</v>
      </c>
    </row>
    <row r="265" spans="1:8" ht="25.5">
      <c r="A265" s="109"/>
      <c r="B265" s="8" t="s">
        <v>181</v>
      </c>
      <c r="C265" s="101"/>
      <c r="D265" s="101"/>
      <c r="E265" s="9">
        <f>F265+G265+H265</f>
        <v>431.985</v>
      </c>
      <c r="F265" s="9">
        <v>431.985</v>
      </c>
      <c r="G265" s="9"/>
      <c r="H265" s="9"/>
    </row>
    <row r="266" spans="1:8" ht="12.75">
      <c r="A266" s="98" t="s">
        <v>93</v>
      </c>
      <c r="B266" s="98"/>
      <c r="C266" s="98"/>
      <c r="D266" s="98"/>
      <c r="E266" s="98"/>
      <c r="F266" s="98"/>
      <c r="G266" s="98"/>
      <c r="H266" s="98"/>
    </row>
    <row r="267" spans="1:8" ht="12.75" customHeight="1">
      <c r="A267" s="108" t="s">
        <v>94</v>
      </c>
      <c r="B267" s="5"/>
      <c r="C267" s="105" t="s">
        <v>19</v>
      </c>
      <c r="D267" s="105" t="s">
        <v>20</v>
      </c>
      <c r="E267" s="7">
        <f>F267+G267+H267</f>
        <v>816.1056249999999</v>
      </c>
      <c r="F267" s="7">
        <f>F268+F269</f>
        <v>260.66499999999996</v>
      </c>
      <c r="G267" s="7">
        <f>G268+G269</f>
        <v>271.875</v>
      </c>
      <c r="H267" s="7">
        <f>H268+H269</f>
        <v>283.56562499999995</v>
      </c>
    </row>
    <row r="268" spans="1:8" ht="67.5" customHeight="1">
      <c r="A268" s="110"/>
      <c r="B268" s="8" t="s">
        <v>95</v>
      </c>
      <c r="C268" s="106"/>
      <c r="D268" s="106"/>
      <c r="E268" s="9">
        <f>F268+G268+H268</f>
        <v>668.1646249999999</v>
      </c>
      <c r="F268" s="9">
        <f>260.666-147.941-0.001</f>
        <v>112.72399999999999</v>
      </c>
      <c r="G268" s="9">
        <v>271.875</v>
      </c>
      <c r="H268" s="9">
        <f>G268*1.043</f>
        <v>283.56562499999995</v>
      </c>
    </row>
    <row r="269" spans="1:8" ht="25.5">
      <c r="A269" s="109"/>
      <c r="B269" s="8" t="s">
        <v>181</v>
      </c>
      <c r="C269" s="107"/>
      <c r="D269" s="107"/>
      <c r="E269" s="9">
        <f>F269+G269+H269</f>
        <v>147.941</v>
      </c>
      <c r="F269" s="9">
        <v>147.941</v>
      </c>
      <c r="G269" s="9"/>
      <c r="H269" s="9"/>
    </row>
    <row r="270" spans="1:8" ht="12.75" customHeight="1">
      <c r="A270" s="112" t="s">
        <v>96</v>
      </c>
      <c r="B270" s="113"/>
      <c r="C270" s="113"/>
      <c r="D270" s="113"/>
      <c r="E270" s="113"/>
      <c r="F270" s="113"/>
      <c r="G270" s="113"/>
      <c r="H270" s="114"/>
    </row>
    <row r="271" spans="1:8" ht="12.75" customHeight="1">
      <c r="A271" s="102" t="s">
        <v>97</v>
      </c>
      <c r="B271" s="5"/>
      <c r="C271" s="105" t="s">
        <v>19</v>
      </c>
      <c r="D271" s="105" t="s">
        <v>20</v>
      </c>
      <c r="E271" s="7">
        <f>F271+G271+H271</f>
        <v>27102.655000000002</v>
      </c>
      <c r="F271" s="7">
        <f>SUM(F272:F274)</f>
        <v>27102.655000000002</v>
      </c>
      <c r="G271" s="7">
        <f>SUM(G272:G274)</f>
        <v>0</v>
      </c>
      <c r="H271" s="7">
        <f>SUM(H272:H274)</f>
        <v>0</v>
      </c>
    </row>
    <row r="272" spans="1:8" ht="51">
      <c r="A272" s="103"/>
      <c r="B272" s="8" t="s">
        <v>131</v>
      </c>
      <c r="C272" s="106"/>
      <c r="D272" s="106"/>
      <c r="E272" s="9">
        <f>F272+G272+H272</f>
        <v>20.417999999999992</v>
      </c>
      <c r="F272" s="9">
        <f>65.761-45.343</f>
        <v>20.417999999999992</v>
      </c>
      <c r="G272" s="9"/>
      <c r="H272" s="9"/>
    </row>
    <row r="273" spans="1:8" ht="51">
      <c r="A273" s="103"/>
      <c r="B273" s="8" t="s">
        <v>137</v>
      </c>
      <c r="C273" s="106"/>
      <c r="D273" s="106"/>
      <c r="E273" s="9">
        <f>F273+G273+H273</f>
        <v>26832</v>
      </c>
      <c r="F273" s="9">
        <f>5000+10000+250+2060+7700+422+400+670+330</f>
        <v>26832</v>
      </c>
      <c r="G273" s="9"/>
      <c r="H273" s="9"/>
    </row>
    <row r="274" spans="1:8" ht="25.5">
      <c r="A274" s="103"/>
      <c r="B274" s="8" t="s">
        <v>181</v>
      </c>
      <c r="C274" s="106"/>
      <c r="D274" s="106"/>
      <c r="E274" s="9">
        <f>F274+G274+H274</f>
        <v>250.237</v>
      </c>
      <c r="F274" s="9">
        <f>45.343+24.894+180</f>
        <v>250.237</v>
      </c>
      <c r="G274" s="9"/>
      <c r="H274" s="9"/>
    </row>
    <row r="275" spans="1:8" ht="12.75">
      <c r="A275" s="102" t="s">
        <v>97</v>
      </c>
      <c r="B275" s="8"/>
      <c r="C275" s="105" t="s">
        <v>203</v>
      </c>
      <c r="D275" s="105" t="s">
        <v>20</v>
      </c>
      <c r="E275" s="7">
        <f aca="true" t="shared" si="16" ref="E275:E281">F275+G275+H275</f>
        <v>498.99999999999994</v>
      </c>
      <c r="F275" s="7">
        <f>SUM(F276:F277)</f>
        <v>498.99999999999994</v>
      </c>
      <c r="G275" s="7">
        <f>SUM(G276:G277)</f>
        <v>0</v>
      </c>
      <c r="H275" s="7">
        <f>SUM(H276:H277)</f>
        <v>0</v>
      </c>
    </row>
    <row r="276" spans="1:8" ht="63.75">
      <c r="A276" s="103"/>
      <c r="B276" s="8" t="s">
        <v>204</v>
      </c>
      <c r="C276" s="106"/>
      <c r="D276" s="106"/>
      <c r="E276" s="9">
        <f t="shared" si="16"/>
        <v>73.08</v>
      </c>
      <c r="F276" s="9">
        <v>73.08</v>
      </c>
      <c r="G276" s="9"/>
      <c r="H276" s="9"/>
    </row>
    <row r="277" spans="1:8" ht="63.75">
      <c r="A277" s="104"/>
      <c r="B277" s="8" t="s">
        <v>244</v>
      </c>
      <c r="C277" s="107"/>
      <c r="D277" s="107"/>
      <c r="E277" s="9">
        <f t="shared" si="16"/>
        <v>425.91999999999996</v>
      </c>
      <c r="F277" s="9">
        <f>235.92+190</f>
        <v>425.91999999999996</v>
      </c>
      <c r="G277" s="9"/>
      <c r="H277" s="9"/>
    </row>
    <row r="278" spans="1:8" ht="12.75">
      <c r="A278" s="102" t="s">
        <v>97</v>
      </c>
      <c r="B278" s="8"/>
      <c r="C278" s="105" t="s">
        <v>205</v>
      </c>
      <c r="D278" s="105" t="s">
        <v>20</v>
      </c>
      <c r="E278" s="7">
        <f t="shared" si="16"/>
        <v>100</v>
      </c>
      <c r="F278" s="7">
        <f>SUM(F279:F279)</f>
        <v>100</v>
      </c>
      <c r="G278" s="7">
        <f>SUM(G279:G279)</f>
        <v>0</v>
      </c>
      <c r="H278" s="7">
        <f>SUM(H279:H279)</f>
        <v>0</v>
      </c>
    </row>
    <row r="279" spans="1:8" ht="51">
      <c r="A279" s="104"/>
      <c r="B279" s="8" t="s">
        <v>206</v>
      </c>
      <c r="C279" s="107"/>
      <c r="D279" s="107"/>
      <c r="E279" s="9">
        <f t="shared" si="16"/>
        <v>100</v>
      </c>
      <c r="F279" s="9">
        <v>100</v>
      </c>
      <c r="G279" s="9"/>
      <c r="H279" s="9"/>
    </row>
    <row r="280" spans="1:8" ht="12.75">
      <c r="A280" s="102" t="s">
        <v>97</v>
      </c>
      <c r="B280" s="8"/>
      <c r="C280" s="105" t="s">
        <v>207</v>
      </c>
      <c r="D280" s="105" t="s">
        <v>20</v>
      </c>
      <c r="E280" s="7">
        <f t="shared" si="16"/>
        <v>91</v>
      </c>
      <c r="F280" s="7">
        <f>SUM(F281:F281)</f>
        <v>91</v>
      </c>
      <c r="G280" s="7">
        <f>SUM(G281:G281)</f>
        <v>0</v>
      </c>
      <c r="H280" s="7">
        <f>SUM(H281:H281)</f>
        <v>0</v>
      </c>
    </row>
    <row r="281" spans="1:8" ht="76.5">
      <c r="A281" s="104"/>
      <c r="B281" s="8" t="s">
        <v>208</v>
      </c>
      <c r="C281" s="107"/>
      <c r="D281" s="107"/>
      <c r="E281" s="9">
        <f t="shared" si="16"/>
        <v>91</v>
      </c>
      <c r="F281" s="9">
        <v>91</v>
      </c>
      <c r="G281" s="9"/>
      <c r="H281" s="9"/>
    </row>
    <row r="282" spans="1:8" s="2" customFormat="1" ht="12.75">
      <c r="A282" s="98" t="s">
        <v>162</v>
      </c>
      <c r="B282" s="98"/>
      <c r="C282" s="98"/>
      <c r="D282" s="98"/>
      <c r="E282" s="98"/>
      <c r="F282" s="98"/>
      <c r="G282" s="98"/>
      <c r="H282" s="98"/>
    </row>
    <row r="283" spans="1:8" s="2" customFormat="1" ht="12.75" customHeight="1">
      <c r="A283" s="108" t="s">
        <v>92</v>
      </c>
      <c r="B283" s="5"/>
      <c r="C283" s="105" t="s">
        <v>19</v>
      </c>
      <c r="D283" s="105" t="s">
        <v>20</v>
      </c>
      <c r="E283" s="7">
        <f>F283+G283+H283</f>
        <v>478.301219</v>
      </c>
      <c r="F283" s="7">
        <f>F284+F285+F286</f>
        <v>199.16</v>
      </c>
      <c r="G283" s="7">
        <f>G284+G285+G286</f>
        <v>136.633</v>
      </c>
      <c r="H283" s="7">
        <f>H284+H285+H286</f>
        <v>142.508219</v>
      </c>
    </row>
    <row r="284" spans="1:8" s="2" customFormat="1" ht="76.5">
      <c r="A284" s="110"/>
      <c r="B284" s="8" t="s">
        <v>91</v>
      </c>
      <c r="C284" s="106"/>
      <c r="D284" s="106"/>
      <c r="E284" s="9">
        <f>F284+G284+H284</f>
        <v>413.28021900000005</v>
      </c>
      <c r="F284" s="9">
        <f>131-21.861+25</f>
        <v>134.139</v>
      </c>
      <c r="G284" s="9">
        <v>136.633</v>
      </c>
      <c r="H284" s="9">
        <f>G284*1.043</f>
        <v>142.508219</v>
      </c>
    </row>
    <row r="285" spans="1:8" s="2" customFormat="1" ht="25.5">
      <c r="A285" s="110"/>
      <c r="B285" s="8" t="s">
        <v>245</v>
      </c>
      <c r="C285" s="106"/>
      <c r="D285" s="106"/>
      <c r="E285" s="9">
        <f>F285+G285+H285</f>
        <v>43.16</v>
      </c>
      <c r="F285" s="9">
        <f>36.54+6.62</f>
        <v>43.16</v>
      </c>
      <c r="G285" s="9"/>
      <c r="H285" s="9"/>
    </row>
    <row r="286" spans="1:8" s="2" customFormat="1" ht="25.5">
      <c r="A286" s="109"/>
      <c r="B286" s="8" t="s">
        <v>181</v>
      </c>
      <c r="C286" s="107"/>
      <c r="D286" s="107"/>
      <c r="E286" s="9">
        <f>F286+G286+H286</f>
        <v>21.861</v>
      </c>
      <c r="F286" s="9">
        <v>21.861</v>
      </c>
      <c r="G286" s="9"/>
      <c r="H286" s="9"/>
    </row>
    <row r="287" spans="1:8" ht="12.75">
      <c r="A287" s="20" t="s">
        <v>114</v>
      </c>
      <c r="B287" s="20"/>
      <c r="C287" s="5"/>
      <c r="D287" s="5"/>
      <c r="E287" s="7">
        <f>F287+G287+H287</f>
        <v>803636.180062418</v>
      </c>
      <c r="F287" s="7">
        <f>F16+F33+F48+F51+F54+F64+F67+F70+F74+F77+F93+F100+F105+F120+F135+F138+F140+F144+F147+F149+F151+F153+F156+F165+F169+F172+F174+F180+F182+F184+F188+F191+F194+F196+F199+F203+F207+F211+F213+F215+F218+F222+F225+F227+F229+F231+F234+F240+F243+F245+F247+F250+F255+F259+F261+F264+F267+F271+F275+F278+F280+F283</f>
        <v>327366.98799999995</v>
      </c>
      <c r="G287" s="7">
        <f>G16+G33+G48+G51+G54+G64+G67+G70+G74+G77+G93+G100+G105+G120+G135+G138+G140+G144+G147+G149+G151+G153+G156+G165+G169+G172+G174+G180+G182+G184+G188+G191+G194+G196+G199+G203+G207+G211+G213+G215+G218+G222+G225+G227+G229+G231+G234+G240+G243+G245+G247+G250+G255+G259+G261+G264+G267+G271+G275+G278+G280+G283</f>
        <v>246995.89712600005</v>
      </c>
      <c r="H287" s="7">
        <f>H16+H33+H48+H51+H54+H64+H67+H70+H74+H77+H93+H100+H105+H120+H135+H138+H140+H144+H147+H149+H151+H153+H156+H165+H169+H172+H174+H180+H182+H184+H188+H191+H194+H196+H199+H203+H207+H211+H213+H215+H218+H222+H225+H227+H229+H231+H234+H240+H243+H245+H247+H250+H255+H259+H261+H264+H267+H271+H275+H278+H280+H283</f>
        <v>229273.29493641795</v>
      </c>
    </row>
    <row r="288" spans="1:8" ht="12.75">
      <c r="A288" s="112" t="s">
        <v>264</v>
      </c>
      <c r="B288" s="113"/>
      <c r="C288" s="113"/>
      <c r="D288" s="113"/>
      <c r="E288" s="113"/>
      <c r="F288" s="113"/>
      <c r="G288" s="113"/>
      <c r="H288" s="114"/>
    </row>
    <row r="289" spans="1:8" ht="12.75">
      <c r="A289" s="5"/>
      <c r="B289" s="5"/>
      <c r="C289" s="98"/>
      <c r="D289" s="101" t="s">
        <v>265</v>
      </c>
      <c r="E289" s="7">
        <f aca="true" t="shared" si="17" ref="E289:E294">F289+G289+H289</f>
        <v>12700</v>
      </c>
      <c r="F289" s="7">
        <f>SUM(F290:F294)</f>
        <v>12700</v>
      </c>
      <c r="G289" s="7">
        <f>SUM(G290:G294)</f>
        <v>0</v>
      </c>
      <c r="H289" s="7">
        <f>SUM(H290:H294)</f>
        <v>0</v>
      </c>
    </row>
    <row r="290" spans="1:8" ht="102">
      <c r="A290" s="117" t="s">
        <v>266</v>
      </c>
      <c r="B290" s="8" t="s">
        <v>267</v>
      </c>
      <c r="C290" s="98"/>
      <c r="D290" s="101"/>
      <c r="E290" s="9">
        <f t="shared" si="17"/>
        <v>8000</v>
      </c>
      <c r="F290" s="9">
        <v>8000</v>
      </c>
      <c r="G290" s="7"/>
      <c r="H290" s="7"/>
    </row>
    <row r="291" spans="1:8" ht="255">
      <c r="A291" s="117"/>
      <c r="B291" s="8" t="s">
        <v>268</v>
      </c>
      <c r="C291" s="98"/>
      <c r="D291" s="101"/>
      <c r="E291" s="9">
        <f t="shared" si="17"/>
        <v>600</v>
      </c>
      <c r="F291" s="9">
        <v>600</v>
      </c>
      <c r="G291" s="7"/>
      <c r="H291" s="7"/>
    </row>
    <row r="292" spans="1:8" ht="242.25">
      <c r="A292" s="117"/>
      <c r="B292" s="8" t="s">
        <v>269</v>
      </c>
      <c r="C292" s="98"/>
      <c r="D292" s="101"/>
      <c r="E292" s="9">
        <f t="shared" si="17"/>
        <v>800</v>
      </c>
      <c r="F292" s="9">
        <v>800</v>
      </c>
      <c r="G292" s="7"/>
      <c r="H292" s="7"/>
    </row>
    <row r="293" spans="1:8" ht="242.25">
      <c r="A293" s="78" t="s">
        <v>271</v>
      </c>
      <c r="B293" s="8" t="s">
        <v>270</v>
      </c>
      <c r="C293" s="98"/>
      <c r="D293" s="101"/>
      <c r="E293" s="9">
        <f t="shared" si="17"/>
        <v>300</v>
      </c>
      <c r="F293" s="9">
        <v>300</v>
      </c>
      <c r="G293" s="9"/>
      <c r="H293" s="9"/>
    </row>
    <row r="294" spans="1:8" ht="255">
      <c r="A294" s="78" t="s">
        <v>272</v>
      </c>
      <c r="B294" s="8" t="s">
        <v>273</v>
      </c>
      <c r="C294" s="98"/>
      <c r="D294" s="101"/>
      <c r="E294" s="9">
        <f t="shared" si="17"/>
        <v>3000</v>
      </c>
      <c r="F294" s="9">
        <v>3000</v>
      </c>
      <c r="G294" s="9"/>
      <c r="H294" s="9"/>
    </row>
    <row r="295" spans="1:8" ht="12.75">
      <c r="A295" s="79"/>
      <c r="B295" s="82"/>
      <c r="C295" s="80"/>
      <c r="D295" s="83"/>
      <c r="E295" s="84"/>
      <c r="F295" s="84"/>
      <c r="G295" s="84"/>
      <c r="H295" s="84"/>
    </row>
    <row r="296" spans="1:8" ht="12.75">
      <c r="A296" s="79"/>
      <c r="B296" s="79"/>
      <c r="C296" s="80"/>
      <c r="D296" s="80"/>
      <c r="E296" s="81"/>
      <c r="F296" s="81"/>
      <c r="G296" s="81"/>
      <c r="H296" s="81"/>
    </row>
    <row r="297" spans="1:8" s="25" customFormat="1" ht="18.75">
      <c r="A297" s="91" t="s">
        <v>115</v>
      </c>
      <c r="B297" s="91"/>
      <c r="C297" s="26"/>
      <c r="D297" s="26"/>
      <c r="E297" s="26"/>
      <c r="F297" s="26"/>
      <c r="G297" s="91" t="s">
        <v>116</v>
      </c>
      <c r="H297" s="91"/>
    </row>
  </sheetData>
  <sheetProtection/>
  <mergeCells count="213">
    <mergeCell ref="D105:D119"/>
    <mergeCell ref="C77:C92"/>
    <mergeCell ref="A280:A281"/>
    <mergeCell ref="C280:C281"/>
    <mergeCell ref="C278:C279"/>
    <mergeCell ref="A93:A99"/>
    <mergeCell ref="A288:H288"/>
    <mergeCell ref="C289:C294"/>
    <mergeCell ref="D289:D294"/>
    <mergeCell ref="A290:A292"/>
    <mergeCell ref="C271:C274"/>
    <mergeCell ref="A270:H270"/>
    <mergeCell ref="D227:D228"/>
    <mergeCell ref="D67:D69"/>
    <mergeCell ref="A70:A72"/>
    <mergeCell ref="C70:C72"/>
    <mergeCell ref="D70:D72"/>
    <mergeCell ref="A140:A143"/>
    <mergeCell ref="A215:A217"/>
    <mergeCell ref="C227:C228"/>
    <mergeCell ref="C105:C119"/>
    <mergeCell ref="A138:A139"/>
    <mergeCell ref="A105:A119"/>
    <mergeCell ref="A74:A75"/>
    <mergeCell ref="C149:C150"/>
    <mergeCell ref="C207:C210"/>
    <mergeCell ref="A218:A221"/>
    <mergeCell ref="C218:C221"/>
    <mergeCell ref="A282:H282"/>
    <mergeCell ref="A283:A286"/>
    <mergeCell ref="A207:A210"/>
    <mergeCell ref="D280:D281"/>
    <mergeCell ref="A275:A277"/>
    <mergeCell ref="C275:C277"/>
    <mergeCell ref="D275:D277"/>
    <mergeCell ref="A278:A279"/>
    <mergeCell ref="D278:D279"/>
    <mergeCell ref="A267:A269"/>
    <mergeCell ref="A297:B297"/>
    <mergeCell ref="C267:C269"/>
    <mergeCell ref="D267:D269"/>
    <mergeCell ref="E11:H11"/>
    <mergeCell ref="A76:H76"/>
    <mergeCell ref="C54:C63"/>
    <mergeCell ref="A50:H50"/>
    <mergeCell ref="D144:D146"/>
    <mergeCell ref="G297:H297"/>
    <mergeCell ref="D234:D239"/>
    <mergeCell ref="D283:D286"/>
    <mergeCell ref="C283:C286"/>
    <mergeCell ref="A8:H8"/>
    <mergeCell ref="A9:H9"/>
    <mergeCell ref="D11:D13"/>
    <mergeCell ref="D33:D47"/>
    <mergeCell ref="E12:E13"/>
    <mergeCell ref="F12:H12"/>
    <mergeCell ref="C51:C52"/>
    <mergeCell ref="A271:A274"/>
    <mergeCell ref="C151:C152"/>
    <mergeCell ref="D271:D274"/>
    <mergeCell ref="A266:H266"/>
    <mergeCell ref="A231:A233"/>
    <mergeCell ref="C231:C233"/>
    <mergeCell ref="D231:D233"/>
    <mergeCell ref="A234:A239"/>
    <mergeCell ref="C234:C239"/>
    <mergeCell ref="C215:C217"/>
    <mergeCell ref="A151:A152"/>
    <mergeCell ref="C11:C13"/>
    <mergeCell ref="C138:C139"/>
    <mergeCell ref="A32:H32"/>
    <mergeCell ref="A33:A47"/>
    <mergeCell ref="B11:B13"/>
    <mergeCell ref="A11:A13"/>
    <mergeCell ref="A51:A52"/>
    <mergeCell ref="D135:D137"/>
    <mergeCell ref="C135:C137"/>
    <mergeCell ref="D138:D139"/>
    <mergeCell ref="A64:A66"/>
    <mergeCell ref="C64:C66"/>
    <mergeCell ref="D140:D143"/>
    <mergeCell ref="C147:C148"/>
    <mergeCell ref="D147:D148"/>
    <mergeCell ref="C144:C146"/>
    <mergeCell ref="A144:A146"/>
    <mergeCell ref="A67:A69"/>
    <mergeCell ref="C67:C69"/>
    <mergeCell ref="C140:C143"/>
    <mergeCell ref="A77:A92"/>
    <mergeCell ref="D93:D99"/>
    <mergeCell ref="D120:D134"/>
    <mergeCell ref="C33:C47"/>
    <mergeCell ref="A53:H53"/>
    <mergeCell ref="D100:D104"/>
    <mergeCell ref="C120:C134"/>
    <mergeCell ref="A120:A134"/>
    <mergeCell ref="D64:D66"/>
    <mergeCell ref="A54:A63"/>
    <mergeCell ref="F6:H6"/>
    <mergeCell ref="D54:D63"/>
    <mergeCell ref="A15:H15"/>
    <mergeCell ref="A16:A31"/>
    <mergeCell ref="A48:A49"/>
    <mergeCell ref="C48:C49"/>
    <mergeCell ref="D48:D49"/>
    <mergeCell ref="C16:C31"/>
    <mergeCell ref="D51:D52"/>
    <mergeCell ref="D16:D31"/>
    <mergeCell ref="A147:A148"/>
    <mergeCell ref="A149:A150"/>
    <mergeCell ref="A73:H73"/>
    <mergeCell ref="A135:A137"/>
    <mergeCell ref="A100:A104"/>
    <mergeCell ref="C100:C104"/>
    <mergeCell ref="C74:C75"/>
    <mergeCell ref="D74:D75"/>
    <mergeCell ref="D77:D92"/>
    <mergeCell ref="C93:C99"/>
    <mergeCell ref="F1:H1"/>
    <mergeCell ref="F2:H2"/>
    <mergeCell ref="F3:H3"/>
    <mergeCell ref="F5:H5"/>
    <mergeCell ref="D153:D155"/>
    <mergeCell ref="C153:C155"/>
    <mergeCell ref="A156:A164"/>
    <mergeCell ref="C156:C164"/>
    <mergeCell ref="A153:A155"/>
    <mergeCell ref="D156:D164"/>
    <mergeCell ref="A165:A168"/>
    <mergeCell ref="C165:C168"/>
    <mergeCell ref="D165:D168"/>
    <mergeCell ref="D184:D187"/>
    <mergeCell ref="D182:D183"/>
    <mergeCell ref="A172:A173"/>
    <mergeCell ref="A174:A179"/>
    <mergeCell ref="C174:C179"/>
    <mergeCell ref="D169:D171"/>
    <mergeCell ref="A180:A181"/>
    <mergeCell ref="C180:C181"/>
    <mergeCell ref="D180:D181"/>
    <mergeCell ref="A169:A171"/>
    <mergeCell ref="C169:C171"/>
    <mergeCell ref="D174:D179"/>
    <mergeCell ref="C172:C173"/>
    <mergeCell ref="D172:D173"/>
    <mergeCell ref="A188:A190"/>
    <mergeCell ref="C188:C190"/>
    <mergeCell ref="D188:D190"/>
    <mergeCell ref="A182:A183"/>
    <mergeCell ref="C182:C183"/>
    <mergeCell ref="A184:A187"/>
    <mergeCell ref="C184:C187"/>
    <mergeCell ref="A191:A193"/>
    <mergeCell ref="C191:C193"/>
    <mergeCell ref="D191:D193"/>
    <mergeCell ref="A196:A198"/>
    <mergeCell ref="C196:C198"/>
    <mergeCell ref="D196:D198"/>
    <mergeCell ref="D194:D195"/>
    <mergeCell ref="A194:A195"/>
    <mergeCell ref="C194:C195"/>
    <mergeCell ref="A199:A202"/>
    <mergeCell ref="C199:C202"/>
    <mergeCell ref="D199:D202"/>
    <mergeCell ref="A203:A206"/>
    <mergeCell ref="C203:C206"/>
    <mergeCell ref="D203:D206"/>
    <mergeCell ref="A222:A224"/>
    <mergeCell ref="C222:C224"/>
    <mergeCell ref="D222:D224"/>
    <mergeCell ref="D207:D210"/>
    <mergeCell ref="A211:A212"/>
    <mergeCell ref="C211:C212"/>
    <mergeCell ref="D211:D212"/>
    <mergeCell ref="D218:D221"/>
    <mergeCell ref="D215:D217"/>
    <mergeCell ref="D213:D214"/>
    <mergeCell ref="A213:A214"/>
    <mergeCell ref="C213:C214"/>
    <mergeCell ref="C229:C230"/>
    <mergeCell ref="D229:D230"/>
    <mergeCell ref="D225:D226"/>
    <mergeCell ref="A225:A226"/>
    <mergeCell ref="C225:C226"/>
    <mergeCell ref="A227:A228"/>
    <mergeCell ref="A229:A230"/>
    <mergeCell ref="A240:A242"/>
    <mergeCell ref="C240:C242"/>
    <mergeCell ref="D240:D242"/>
    <mergeCell ref="C250:C254"/>
    <mergeCell ref="D250:D254"/>
    <mergeCell ref="A243:A244"/>
    <mergeCell ref="C243:C244"/>
    <mergeCell ref="D243:D244"/>
    <mergeCell ref="A245:A246"/>
    <mergeCell ref="C245:C246"/>
    <mergeCell ref="D245:D246"/>
    <mergeCell ref="A264:A265"/>
    <mergeCell ref="C264:C265"/>
    <mergeCell ref="D264:D265"/>
    <mergeCell ref="A255:A258"/>
    <mergeCell ref="C255:C258"/>
    <mergeCell ref="D255:D258"/>
    <mergeCell ref="A259:A260"/>
    <mergeCell ref="C259:C260"/>
    <mergeCell ref="D259:D260"/>
    <mergeCell ref="A261:A263"/>
    <mergeCell ref="C261:C263"/>
    <mergeCell ref="D261:D263"/>
    <mergeCell ref="A247:A249"/>
    <mergeCell ref="C247:C249"/>
    <mergeCell ref="D247:D249"/>
    <mergeCell ref="A250:A254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4" manualBreakCount="4">
    <brk id="49" max="7" man="1"/>
    <brk id="143" max="7" man="1"/>
    <brk id="190" max="7" man="1"/>
    <brk id="2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10.00390625" style="11" bestFit="1" customWidth="1"/>
    <col min="7" max="16384" width="9.140625" style="11" customWidth="1"/>
  </cols>
  <sheetData>
    <row r="1" spans="4:5" s="60" customFormat="1" ht="20.25">
      <c r="D1" s="91" t="s">
        <v>238</v>
      </c>
      <c r="E1" s="91"/>
    </row>
    <row r="2" spans="4:5" s="60" customFormat="1" ht="20.25">
      <c r="D2" s="91" t="s">
        <v>239</v>
      </c>
      <c r="E2" s="91"/>
    </row>
    <row r="3" spans="4:5" s="60" customFormat="1" ht="20.25">
      <c r="D3" s="146" t="s">
        <v>281</v>
      </c>
      <c r="E3" s="91"/>
    </row>
    <row r="5" spans="4:6" ht="18.75" customHeight="1">
      <c r="D5" s="27" t="s">
        <v>18</v>
      </c>
      <c r="E5" s="27"/>
      <c r="F5" s="25"/>
    </row>
    <row r="6" spans="4:6" ht="94.5" customHeight="1">
      <c r="D6" s="122" t="s">
        <v>169</v>
      </c>
      <c r="E6" s="122"/>
      <c r="F6" s="25"/>
    </row>
    <row r="8" spans="1:5" s="27" customFormat="1" ht="18.75">
      <c r="A8" s="125" t="s">
        <v>22</v>
      </c>
      <c r="B8" s="125"/>
      <c r="C8" s="125"/>
      <c r="D8" s="125"/>
      <c r="E8" s="125"/>
    </row>
    <row r="9" spans="1:5" s="27" customFormat="1" ht="18.75">
      <c r="A9" s="126" t="s">
        <v>170</v>
      </c>
      <c r="B9" s="126"/>
      <c r="C9" s="126"/>
      <c r="D9" s="126"/>
      <c r="E9" s="126"/>
    </row>
    <row r="10" spans="1:5" ht="12.75">
      <c r="A10" s="12"/>
      <c r="B10" s="12"/>
      <c r="C10" s="12"/>
      <c r="D10" s="12"/>
      <c r="E10" s="12"/>
    </row>
    <row r="11" spans="1:5" ht="12.75">
      <c r="A11" s="124"/>
      <c r="B11" s="124" t="s">
        <v>8</v>
      </c>
      <c r="C11" s="124" t="s">
        <v>9</v>
      </c>
      <c r="D11" s="124"/>
      <c r="E11" s="124"/>
    </row>
    <row r="12" spans="1:5" ht="12.75">
      <c r="A12" s="124"/>
      <c r="B12" s="124"/>
      <c r="C12" s="13">
        <v>2014</v>
      </c>
      <c r="D12" s="13">
        <v>2015</v>
      </c>
      <c r="E12" s="13">
        <v>2016</v>
      </c>
    </row>
    <row r="13" spans="1:5" s="12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</row>
    <row r="14" spans="1:6" ht="12.75">
      <c r="A14" s="14" t="s">
        <v>132</v>
      </c>
      <c r="B14" s="15">
        <f>C14+D14+E14</f>
        <v>803636.180062418</v>
      </c>
      <c r="C14" s="15">
        <f>'додаток 1'!F287</f>
        <v>327366.98799999995</v>
      </c>
      <c r="D14" s="15">
        <f>'додаток 1'!G287</f>
        <v>246995.89712600005</v>
      </c>
      <c r="E14" s="15">
        <f>'додаток 1'!H287</f>
        <v>229273.29493641795</v>
      </c>
      <c r="F14" s="16"/>
    </row>
    <row r="15" spans="1:6" ht="12.75">
      <c r="A15" s="14" t="s">
        <v>133</v>
      </c>
      <c r="B15" s="15"/>
      <c r="C15" s="15"/>
      <c r="D15" s="15"/>
      <c r="E15" s="15"/>
      <c r="F15" s="16"/>
    </row>
    <row r="16" spans="1:6" s="30" customFormat="1" ht="51">
      <c r="A16" s="21" t="s">
        <v>134</v>
      </c>
      <c r="B16" s="28">
        <f>C16+D16+E16</f>
        <v>97292.736</v>
      </c>
      <c r="C16" s="28">
        <f>28940.5+6324.4</f>
        <v>35264.9</v>
      </c>
      <c r="D16" s="28">
        <v>30184.942</v>
      </c>
      <c r="E16" s="28">
        <v>31842.894</v>
      </c>
      <c r="F16" s="71"/>
    </row>
    <row r="17" spans="1:6" s="30" customFormat="1" ht="12.75">
      <c r="A17" s="31" t="s">
        <v>135</v>
      </c>
      <c r="B17" s="28">
        <f>C17+D17+E17</f>
        <v>461.233543831</v>
      </c>
      <c r="C17" s="28">
        <f>10+5.146+132.173</f>
        <v>147.31900000000002</v>
      </c>
      <c r="D17" s="28">
        <f>C17*1.043</f>
        <v>153.653717</v>
      </c>
      <c r="E17" s="28">
        <f>D17*1.043</f>
        <v>160.260826831</v>
      </c>
      <c r="F17" s="29"/>
    </row>
    <row r="18" spans="1:5" ht="12.75">
      <c r="A18" s="14" t="s">
        <v>10</v>
      </c>
      <c r="B18" s="15">
        <f>C18+D18+E18</f>
        <v>0</v>
      </c>
      <c r="C18" s="15"/>
      <c r="D18" s="15"/>
      <c r="E18" s="15"/>
    </row>
    <row r="19" spans="1:5" ht="12.75">
      <c r="A19" s="14" t="s">
        <v>11</v>
      </c>
      <c r="B19" s="15">
        <f>C19+D19+E19</f>
        <v>0</v>
      </c>
      <c r="C19" s="13"/>
      <c r="D19" s="15"/>
      <c r="E19" s="15"/>
    </row>
    <row r="20" spans="1:5" ht="12.75" customHeight="1">
      <c r="A20" s="14" t="s">
        <v>65</v>
      </c>
      <c r="B20" s="15">
        <f>C20+D20+E20</f>
        <v>0</v>
      </c>
      <c r="C20" s="13"/>
      <c r="D20" s="17"/>
      <c r="E20" s="17"/>
    </row>
    <row r="21" spans="1:5" ht="19.5" customHeight="1">
      <c r="A21" s="14" t="s">
        <v>12</v>
      </c>
      <c r="B21" s="15">
        <f>B14+B18+B19+B20</f>
        <v>803636.180062418</v>
      </c>
      <c r="C21" s="15">
        <f>C14+C18+C19+C20</f>
        <v>327366.98799999995</v>
      </c>
      <c r="D21" s="15">
        <f>D14+D18+D19+D20</f>
        <v>246995.89712600005</v>
      </c>
      <c r="E21" s="15">
        <f>E14+E18+E19+E20</f>
        <v>229273.29493641795</v>
      </c>
    </row>
    <row r="24" spans="1:5" s="27" customFormat="1" ht="18.75">
      <c r="A24" s="27" t="s">
        <v>115</v>
      </c>
      <c r="D24" s="123" t="s">
        <v>116</v>
      </c>
      <c r="E24" s="123"/>
    </row>
  </sheetData>
  <sheetProtection/>
  <mergeCells count="10">
    <mergeCell ref="D24:E24"/>
    <mergeCell ref="A11:A12"/>
    <mergeCell ref="C11:E11"/>
    <mergeCell ref="A8:E8"/>
    <mergeCell ref="A9:E9"/>
    <mergeCell ref="B11:B12"/>
    <mergeCell ref="D1:E1"/>
    <mergeCell ref="D2:E2"/>
    <mergeCell ref="D3:E3"/>
    <mergeCell ref="D6:E6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1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6.7109375" style="36" customWidth="1"/>
    <col min="2" max="2" width="28.00390625" style="35" customWidth="1"/>
    <col min="3" max="3" width="9.140625" style="4" customWidth="1"/>
    <col min="4" max="4" width="16.421875" style="35" customWidth="1"/>
    <col min="5" max="5" width="16.7109375" style="35" customWidth="1"/>
    <col min="6" max="6" width="15.140625" style="35" customWidth="1"/>
    <col min="7" max="7" width="16.140625" style="35" customWidth="1"/>
    <col min="8" max="8" width="0.13671875" style="35" customWidth="1"/>
    <col min="9" max="16384" width="9.140625" style="35" customWidth="1"/>
  </cols>
  <sheetData>
    <row r="1" spans="1:7" s="69" customFormat="1" ht="20.25">
      <c r="A1" s="68"/>
      <c r="C1" s="70"/>
      <c r="E1" s="91" t="s">
        <v>238</v>
      </c>
      <c r="F1" s="91"/>
      <c r="G1" s="91"/>
    </row>
    <row r="2" spans="1:7" s="69" customFormat="1" ht="20.25">
      <c r="A2" s="68"/>
      <c r="C2" s="70"/>
      <c r="E2" s="91" t="s">
        <v>239</v>
      </c>
      <c r="F2" s="91"/>
      <c r="G2" s="91"/>
    </row>
    <row r="3" spans="1:7" s="69" customFormat="1" ht="20.25">
      <c r="A3" s="68"/>
      <c r="C3" s="70"/>
      <c r="E3" s="146" t="s">
        <v>281</v>
      </c>
      <c r="F3" s="91"/>
      <c r="G3" s="91"/>
    </row>
    <row r="5" spans="1:7" ht="18.75">
      <c r="A5" s="35"/>
      <c r="E5" s="133" t="s">
        <v>62</v>
      </c>
      <c r="F5" s="133"/>
      <c r="G5" s="133"/>
    </row>
    <row r="6" spans="1:7" ht="54" customHeight="1">
      <c r="A6" s="35"/>
      <c r="E6" s="133" t="s">
        <v>171</v>
      </c>
      <c r="F6" s="133"/>
      <c r="G6" s="133"/>
    </row>
    <row r="7" ht="12.75">
      <c r="A7" s="35"/>
    </row>
    <row r="8" spans="1:7" s="33" customFormat="1" ht="18.75">
      <c r="A8" s="135" t="s">
        <v>21</v>
      </c>
      <c r="B8" s="135"/>
      <c r="C8" s="135"/>
      <c r="D8" s="135"/>
      <c r="E8" s="135"/>
      <c r="F8" s="135"/>
      <c r="G8" s="135"/>
    </row>
    <row r="9" spans="1:7" s="33" customFormat="1" ht="18.75">
      <c r="A9" s="134" t="s">
        <v>172</v>
      </c>
      <c r="B9" s="134"/>
      <c r="C9" s="134"/>
      <c r="D9" s="134"/>
      <c r="E9" s="134"/>
      <c r="F9" s="134"/>
      <c r="G9" s="134"/>
    </row>
    <row r="11" spans="1:8" ht="12.75">
      <c r="A11" s="96" t="s">
        <v>0</v>
      </c>
      <c r="B11" s="96" t="s">
        <v>13</v>
      </c>
      <c r="C11" s="96" t="s">
        <v>14</v>
      </c>
      <c r="D11" s="96" t="s">
        <v>17</v>
      </c>
      <c r="E11" s="96"/>
      <c r="F11" s="96"/>
      <c r="G11" s="96"/>
      <c r="H11" s="37"/>
    </row>
    <row r="12" spans="1:8" ht="12.75">
      <c r="A12" s="96"/>
      <c r="B12" s="96"/>
      <c r="C12" s="96"/>
      <c r="D12" s="96" t="s">
        <v>15</v>
      </c>
      <c r="E12" s="96" t="s">
        <v>16</v>
      </c>
      <c r="F12" s="96"/>
      <c r="G12" s="96"/>
      <c r="H12" s="37"/>
    </row>
    <row r="13" spans="1:8" ht="24" customHeight="1">
      <c r="A13" s="96"/>
      <c r="B13" s="96"/>
      <c r="C13" s="96"/>
      <c r="D13" s="96"/>
      <c r="E13" s="3">
        <v>2014</v>
      </c>
      <c r="F13" s="3">
        <v>2015</v>
      </c>
      <c r="G13" s="3">
        <v>2016</v>
      </c>
      <c r="H13" s="37"/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/>
    </row>
    <row r="15" spans="1:8" s="4" customFormat="1" ht="12.75">
      <c r="A15" s="98" t="s">
        <v>105</v>
      </c>
      <c r="B15" s="132"/>
      <c r="C15" s="132"/>
      <c r="D15" s="132"/>
      <c r="E15" s="132"/>
      <c r="F15" s="132"/>
      <c r="G15" s="132"/>
      <c r="H15" s="132"/>
    </row>
    <row r="16" spans="1:8" s="4" customFormat="1" ht="12.75">
      <c r="A16" s="101" t="s">
        <v>51</v>
      </c>
      <c r="B16" s="101"/>
      <c r="C16" s="101"/>
      <c r="D16" s="101"/>
      <c r="E16" s="101"/>
      <c r="F16" s="101"/>
      <c r="G16" s="101"/>
      <c r="H16" s="3"/>
    </row>
    <row r="17" spans="1:8" s="4" customFormat="1" ht="25.5" customHeight="1">
      <c r="A17" s="117" t="s">
        <v>111</v>
      </c>
      <c r="B17" s="136" t="s">
        <v>143</v>
      </c>
      <c r="C17" s="6" t="s">
        <v>117</v>
      </c>
      <c r="D17" s="18">
        <f>E17+F17+G17</f>
        <v>119</v>
      </c>
      <c r="E17" s="6">
        <f>25+14-7+2</f>
        <v>34</v>
      </c>
      <c r="F17" s="6">
        <v>40</v>
      </c>
      <c r="G17" s="6">
        <v>45</v>
      </c>
      <c r="H17" s="3"/>
    </row>
    <row r="18" spans="1:8" s="4" customFormat="1" ht="12.75">
      <c r="A18" s="117"/>
      <c r="B18" s="137"/>
      <c r="C18" s="6" t="s">
        <v>118</v>
      </c>
      <c r="D18" s="9">
        <f aca="true" t="shared" si="0" ref="D18:D32">E18+F18+G18</f>
        <v>501.73300000000006</v>
      </c>
      <c r="E18" s="38">
        <f>104.91+87.817-62.242+14.548</f>
        <v>145.033</v>
      </c>
      <c r="F18" s="6">
        <v>167.86</v>
      </c>
      <c r="G18" s="6">
        <v>188.84</v>
      </c>
      <c r="H18" s="3"/>
    </row>
    <row r="19" spans="1:8" s="4" customFormat="1" ht="25.5">
      <c r="A19" s="144"/>
      <c r="B19" s="8" t="s">
        <v>142</v>
      </c>
      <c r="C19" s="6" t="s">
        <v>118</v>
      </c>
      <c r="D19" s="9">
        <f t="shared" si="0"/>
        <v>144.767</v>
      </c>
      <c r="E19" s="38">
        <f>12.065+7.656+26.366-2.276-3.929</f>
        <v>39.882000000000005</v>
      </c>
      <c r="F19" s="6">
        <v>48.995</v>
      </c>
      <c r="G19" s="6">
        <v>55.89</v>
      </c>
      <c r="H19" s="3"/>
    </row>
    <row r="20" spans="1:8" s="4" customFormat="1" ht="25.5">
      <c r="A20" s="144"/>
      <c r="B20" s="8" t="s">
        <v>144</v>
      </c>
      <c r="C20" s="6" t="s">
        <v>157</v>
      </c>
      <c r="D20" s="9">
        <f t="shared" si="0"/>
        <v>45.192</v>
      </c>
      <c r="E20" s="38">
        <f>6.583-0.317</f>
        <v>6.266</v>
      </c>
      <c r="F20" s="6">
        <v>18.026</v>
      </c>
      <c r="G20" s="6">
        <v>20.9</v>
      </c>
      <c r="H20" s="3"/>
    </row>
    <row r="21" spans="1:8" s="4" customFormat="1" ht="12.75">
      <c r="A21" s="144"/>
      <c r="B21" s="8" t="s">
        <v>145</v>
      </c>
      <c r="C21" s="6" t="s">
        <v>157</v>
      </c>
      <c r="D21" s="9">
        <f t="shared" si="0"/>
        <v>39.24099999999999</v>
      </c>
      <c r="E21" s="6">
        <f>39.241+33.8915-33.8915</f>
        <v>39.24099999999999</v>
      </c>
      <c r="F21" s="6"/>
      <c r="G21" s="6"/>
      <c r="H21" s="3"/>
    </row>
    <row r="22" spans="1:8" s="4" customFormat="1" ht="12.75">
      <c r="A22" s="144"/>
      <c r="B22" s="136" t="s">
        <v>280</v>
      </c>
      <c r="C22" s="6" t="s">
        <v>117</v>
      </c>
      <c r="D22" s="18">
        <f>E22+F22+G22</f>
        <v>200</v>
      </c>
      <c r="E22" s="6">
        <v>200</v>
      </c>
      <c r="F22" s="6"/>
      <c r="G22" s="6"/>
      <c r="H22" s="3"/>
    </row>
    <row r="23" spans="1:8" s="4" customFormat="1" ht="12.75">
      <c r="A23" s="144"/>
      <c r="B23" s="137"/>
      <c r="C23" s="6" t="s">
        <v>157</v>
      </c>
      <c r="D23" s="77">
        <f t="shared" si="0"/>
        <v>33.1332</v>
      </c>
      <c r="E23" s="6">
        <v>33.1332</v>
      </c>
      <c r="F23" s="6"/>
      <c r="G23" s="6"/>
      <c r="H23" s="3"/>
    </row>
    <row r="24" spans="1:8" s="4" customFormat="1" ht="12.75">
      <c r="A24" s="144"/>
      <c r="B24" s="8" t="s">
        <v>146</v>
      </c>
      <c r="C24" s="6" t="s">
        <v>52</v>
      </c>
      <c r="D24" s="18">
        <f t="shared" si="0"/>
        <v>394</v>
      </c>
      <c r="E24" s="6">
        <v>166</v>
      </c>
      <c r="F24" s="6">
        <v>162</v>
      </c>
      <c r="G24" s="6">
        <v>66</v>
      </c>
      <c r="H24" s="3"/>
    </row>
    <row r="25" spans="1:8" s="4" customFormat="1" ht="51">
      <c r="A25" s="144"/>
      <c r="B25" s="8" t="s">
        <v>147</v>
      </c>
      <c r="C25" s="6" t="s">
        <v>52</v>
      </c>
      <c r="D25" s="18">
        <f t="shared" si="0"/>
        <v>745</v>
      </c>
      <c r="E25" s="6">
        <f>70+34+7+6+25</f>
        <v>142</v>
      </c>
      <c r="F25" s="6">
        <v>375</v>
      </c>
      <c r="G25" s="6">
        <v>228</v>
      </c>
      <c r="H25" s="3"/>
    </row>
    <row r="26" spans="1:8" s="4" customFormat="1" ht="12.75">
      <c r="A26" s="144"/>
      <c r="B26" s="8" t="s">
        <v>148</v>
      </c>
      <c r="C26" s="6" t="s">
        <v>52</v>
      </c>
      <c r="D26" s="18">
        <f t="shared" si="0"/>
        <v>53</v>
      </c>
      <c r="E26" s="6">
        <f>3+2+2</f>
        <v>7</v>
      </c>
      <c r="F26" s="6">
        <v>23</v>
      </c>
      <c r="G26" s="6">
        <v>23</v>
      </c>
      <c r="H26" s="3"/>
    </row>
    <row r="27" spans="1:8" s="4" customFormat="1" ht="12.75">
      <c r="A27" s="144"/>
      <c r="B27" s="8" t="s">
        <v>149</v>
      </c>
      <c r="C27" s="6" t="s">
        <v>52</v>
      </c>
      <c r="D27" s="18">
        <f t="shared" si="0"/>
        <v>272</v>
      </c>
      <c r="E27" s="6">
        <f>20+6+10+2+2</f>
        <v>40</v>
      </c>
      <c r="F27" s="6">
        <v>116</v>
      </c>
      <c r="G27" s="6">
        <v>116</v>
      </c>
      <c r="H27" s="3"/>
    </row>
    <row r="28" spans="1:8" s="4" customFormat="1" ht="38.25">
      <c r="A28" s="144"/>
      <c r="B28" s="8" t="s">
        <v>150</v>
      </c>
      <c r="C28" s="6" t="s">
        <v>117</v>
      </c>
      <c r="D28" s="18">
        <f t="shared" si="0"/>
        <v>51</v>
      </c>
      <c r="E28" s="6">
        <f>5+1</f>
        <v>6</v>
      </c>
      <c r="F28" s="6">
        <v>20</v>
      </c>
      <c r="G28" s="6">
        <v>25</v>
      </c>
      <c r="H28" s="3"/>
    </row>
    <row r="29" spans="1:8" s="4" customFormat="1" ht="25.5">
      <c r="A29" s="144"/>
      <c r="B29" s="8" t="s">
        <v>159</v>
      </c>
      <c r="C29" s="6" t="s">
        <v>117</v>
      </c>
      <c r="D29" s="18">
        <f t="shared" si="0"/>
        <v>12</v>
      </c>
      <c r="E29" s="6">
        <v>2</v>
      </c>
      <c r="F29" s="6">
        <v>4</v>
      </c>
      <c r="G29" s="6">
        <v>6</v>
      </c>
      <c r="H29" s="3"/>
    </row>
    <row r="30" spans="1:8" s="4" customFormat="1" ht="12.75">
      <c r="A30" s="144"/>
      <c r="B30" s="8" t="s">
        <v>160</v>
      </c>
      <c r="C30" s="6" t="s">
        <v>52</v>
      </c>
      <c r="D30" s="18">
        <f t="shared" si="0"/>
        <v>5</v>
      </c>
      <c r="E30" s="6">
        <f>2+1</f>
        <v>3</v>
      </c>
      <c r="F30" s="6">
        <v>2</v>
      </c>
      <c r="G30" s="6"/>
      <c r="H30" s="3"/>
    </row>
    <row r="31" spans="1:8" s="4" customFormat="1" ht="38.25">
      <c r="A31" s="144"/>
      <c r="B31" s="8" t="s">
        <v>151</v>
      </c>
      <c r="C31" s="6" t="s">
        <v>117</v>
      </c>
      <c r="D31" s="18">
        <f t="shared" si="0"/>
        <v>19</v>
      </c>
      <c r="E31" s="6">
        <v>5</v>
      </c>
      <c r="F31" s="6">
        <v>7</v>
      </c>
      <c r="G31" s="6">
        <v>7</v>
      </c>
      <c r="H31" s="3"/>
    </row>
    <row r="32" spans="1:8" s="4" customFormat="1" ht="25.5">
      <c r="A32" s="144"/>
      <c r="B32" s="8" t="s">
        <v>152</v>
      </c>
      <c r="C32" s="6" t="s">
        <v>117</v>
      </c>
      <c r="D32" s="18">
        <f t="shared" si="0"/>
        <v>211</v>
      </c>
      <c r="E32" s="6">
        <f>50+1</f>
        <v>51</v>
      </c>
      <c r="F32" s="6">
        <v>80</v>
      </c>
      <c r="G32" s="6">
        <v>80</v>
      </c>
      <c r="H32" s="3"/>
    </row>
    <row r="33" spans="1:8" s="4" customFormat="1" ht="38.25">
      <c r="A33" s="144"/>
      <c r="B33" s="8" t="s">
        <v>173</v>
      </c>
      <c r="C33" s="6" t="s">
        <v>121</v>
      </c>
      <c r="D33" s="9">
        <f>E33+F33+G33</f>
        <v>11989.095</v>
      </c>
      <c r="E33" s="9">
        <f>7953.187+3739.505+205+91.403</f>
        <v>11989.095</v>
      </c>
      <c r="F33" s="6"/>
      <c r="G33" s="6"/>
      <c r="H33" s="3"/>
    </row>
    <row r="34" spans="1:8" s="4" customFormat="1" ht="12.75">
      <c r="A34" s="98" t="s">
        <v>107</v>
      </c>
      <c r="B34" s="132"/>
      <c r="C34" s="132"/>
      <c r="D34" s="132"/>
      <c r="E34" s="132"/>
      <c r="F34" s="132"/>
      <c r="G34" s="132"/>
      <c r="H34" s="132"/>
    </row>
    <row r="35" spans="1:8" s="4" customFormat="1" ht="12.75">
      <c r="A35" s="101" t="s">
        <v>51</v>
      </c>
      <c r="B35" s="101"/>
      <c r="C35" s="101"/>
      <c r="D35" s="101"/>
      <c r="E35" s="101"/>
      <c r="F35" s="101"/>
      <c r="G35" s="101"/>
      <c r="H35" s="3"/>
    </row>
    <row r="36" spans="1:8" s="4" customFormat="1" ht="52.5" customHeight="1">
      <c r="A36" s="102" t="s">
        <v>112</v>
      </c>
      <c r="B36" s="8" t="s">
        <v>153</v>
      </c>
      <c r="C36" s="6" t="s">
        <v>118</v>
      </c>
      <c r="D36" s="9">
        <f>E36+F36+G36</f>
        <v>24.463</v>
      </c>
      <c r="E36" s="38">
        <v>24.463</v>
      </c>
      <c r="F36" s="6"/>
      <c r="G36" s="6"/>
      <c r="H36" s="3"/>
    </row>
    <row r="37" spans="1:8" s="4" customFormat="1" ht="89.25">
      <c r="A37" s="103"/>
      <c r="B37" s="8" t="s">
        <v>154</v>
      </c>
      <c r="C37" s="6" t="s">
        <v>120</v>
      </c>
      <c r="D37" s="18">
        <v>7</v>
      </c>
      <c r="E37" s="6">
        <v>7</v>
      </c>
      <c r="F37" s="6">
        <v>7</v>
      </c>
      <c r="G37" s="6">
        <v>7</v>
      </c>
      <c r="H37" s="3"/>
    </row>
    <row r="38" spans="1:8" s="4" customFormat="1" ht="63.75">
      <c r="A38" s="103"/>
      <c r="B38" s="8" t="s">
        <v>242</v>
      </c>
      <c r="C38" s="6" t="s">
        <v>117</v>
      </c>
      <c r="D38" s="18">
        <f>E38</f>
        <v>7</v>
      </c>
      <c r="E38" s="6">
        <v>7</v>
      </c>
      <c r="F38" s="6"/>
      <c r="G38" s="6"/>
      <c r="H38" s="3"/>
    </row>
    <row r="39" spans="1:8" s="4" customFormat="1" ht="38.25">
      <c r="A39" s="103"/>
      <c r="B39" s="8" t="s">
        <v>183</v>
      </c>
      <c r="C39" s="6" t="s">
        <v>24</v>
      </c>
      <c r="D39" s="47">
        <f aca="true" t="shared" si="1" ref="D39:D49">E39+F39+G39</f>
        <v>937.6</v>
      </c>
      <c r="E39" s="6">
        <v>937.6</v>
      </c>
      <c r="F39" s="6"/>
      <c r="G39" s="6"/>
      <c r="H39" s="3"/>
    </row>
    <row r="40" spans="1:8" s="4" customFormat="1" ht="51">
      <c r="A40" s="103"/>
      <c r="B40" s="37" t="s">
        <v>251</v>
      </c>
      <c r="C40" s="6" t="s">
        <v>24</v>
      </c>
      <c r="D40" s="47">
        <f t="shared" si="1"/>
        <v>822.8</v>
      </c>
      <c r="E40" s="6">
        <v>822.8</v>
      </c>
      <c r="F40" s="6"/>
      <c r="G40" s="6"/>
      <c r="H40" s="3"/>
    </row>
    <row r="41" spans="1:8" s="4" customFormat="1" ht="51">
      <c r="A41" s="103"/>
      <c r="B41" s="37" t="s">
        <v>252</v>
      </c>
      <c r="C41" s="6" t="s">
        <v>24</v>
      </c>
      <c r="D41" s="47">
        <f t="shared" si="1"/>
        <v>636.9</v>
      </c>
      <c r="E41" s="6">
        <v>636.9</v>
      </c>
      <c r="F41" s="6"/>
      <c r="G41" s="6"/>
      <c r="H41" s="3"/>
    </row>
    <row r="42" spans="1:8" s="4" customFormat="1" ht="51">
      <c r="A42" s="103"/>
      <c r="B42" s="37" t="s">
        <v>253</v>
      </c>
      <c r="C42" s="6" t="s">
        <v>24</v>
      </c>
      <c r="D42" s="47">
        <f t="shared" si="1"/>
        <v>2019.2</v>
      </c>
      <c r="E42" s="6">
        <v>2019.2</v>
      </c>
      <c r="F42" s="6"/>
      <c r="G42" s="6"/>
      <c r="H42" s="3"/>
    </row>
    <row r="43" spans="1:8" s="4" customFormat="1" ht="38.25">
      <c r="A43" s="103"/>
      <c r="B43" s="37" t="s">
        <v>254</v>
      </c>
      <c r="C43" s="6" t="s">
        <v>24</v>
      </c>
      <c r="D43" s="47">
        <f t="shared" si="1"/>
        <v>601.7</v>
      </c>
      <c r="E43" s="6">
        <v>601.7</v>
      </c>
      <c r="F43" s="6"/>
      <c r="G43" s="6"/>
      <c r="H43" s="3"/>
    </row>
    <row r="44" spans="1:8" s="4" customFormat="1" ht="63.75">
      <c r="A44" s="103"/>
      <c r="B44" s="37" t="s">
        <v>279</v>
      </c>
      <c r="C44" s="6" t="s">
        <v>24</v>
      </c>
      <c r="D44" s="47">
        <f t="shared" si="1"/>
        <v>434.92</v>
      </c>
      <c r="E44" s="6">
        <v>434.92</v>
      </c>
      <c r="F44" s="6"/>
      <c r="G44" s="6"/>
      <c r="H44" s="3"/>
    </row>
    <row r="45" spans="1:8" s="4" customFormat="1" ht="102">
      <c r="A45" s="103"/>
      <c r="B45" s="8" t="s">
        <v>174</v>
      </c>
      <c r="C45" s="6" t="s">
        <v>121</v>
      </c>
      <c r="D45" s="9">
        <f t="shared" si="1"/>
        <v>115.263</v>
      </c>
      <c r="E45" s="9">
        <v>115.263</v>
      </c>
      <c r="F45" s="6"/>
      <c r="G45" s="6"/>
      <c r="H45" s="3"/>
    </row>
    <row r="46" spans="1:8" s="4" customFormat="1" ht="63.75">
      <c r="A46" s="103"/>
      <c r="B46" s="8" t="s">
        <v>176</v>
      </c>
      <c r="C46" s="6" t="s">
        <v>121</v>
      </c>
      <c r="D46" s="9">
        <f t="shared" si="1"/>
        <v>25.7</v>
      </c>
      <c r="E46" s="9">
        <v>25.7</v>
      </c>
      <c r="F46" s="6"/>
      <c r="G46" s="6"/>
      <c r="H46" s="3"/>
    </row>
    <row r="47" spans="1:8" s="4" customFormat="1" ht="102">
      <c r="A47" s="103"/>
      <c r="B47" s="8" t="s">
        <v>175</v>
      </c>
      <c r="C47" s="6" t="s">
        <v>121</v>
      </c>
      <c r="D47" s="9">
        <f t="shared" si="1"/>
        <v>821.672</v>
      </c>
      <c r="E47" s="9">
        <v>821.672</v>
      </c>
      <c r="F47" s="6"/>
      <c r="G47" s="6"/>
      <c r="H47" s="3"/>
    </row>
    <row r="48" spans="1:8" s="4" customFormat="1" ht="51">
      <c r="A48" s="103"/>
      <c r="B48" s="8" t="s">
        <v>201</v>
      </c>
      <c r="C48" s="6" t="s">
        <v>121</v>
      </c>
      <c r="D48" s="9">
        <f t="shared" si="1"/>
        <v>96.099</v>
      </c>
      <c r="E48" s="9">
        <v>96.099</v>
      </c>
      <c r="F48" s="6"/>
      <c r="G48" s="6"/>
      <c r="H48" s="3"/>
    </row>
    <row r="49" spans="1:8" s="4" customFormat="1" ht="63.75">
      <c r="A49" s="103"/>
      <c r="B49" s="8" t="s">
        <v>184</v>
      </c>
      <c r="C49" s="6" t="s">
        <v>121</v>
      </c>
      <c r="D49" s="9">
        <f t="shared" si="1"/>
        <v>636.716</v>
      </c>
      <c r="E49" s="9">
        <v>636.716</v>
      </c>
      <c r="F49" s="6"/>
      <c r="G49" s="6"/>
      <c r="H49" s="3"/>
    </row>
    <row r="50" spans="1:8" s="4" customFormat="1" ht="12.75">
      <c r="A50" s="101" t="s">
        <v>103</v>
      </c>
      <c r="B50" s="101"/>
      <c r="C50" s="101"/>
      <c r="D50" s="101"/>
      <c r="E50" s="101"/>
      <c r="F50" s="101"/>
      <c r="G50" s="101"/>
      <c r="H50" s="3"/>
    </row>
    <row r="51" spans="1:8" s="4" customFormat="1" ht="51">
      <c r="A51" s="73" t="s">
        <v>112</v>
      </c>
      <c r="B51" s="8" t="s">
        <v>250</v>
      </c>
      <c r="C51" s="6" t="s">
        <v>52</v>
      </c>
      <c r="D51" s="18">
        <v>1</v>
      </c>
      <c r="E51" s="18">
        <v>1</v>
      </c>
      <c r="F51" s="6"/>
      <c r="G51" s="6"/>
      <c r="H51" s="3"/>
    </row>
    <row r="52" spans="1:8" s="4" customFormat="1" ht="12.75">
      <c r="A52" s="98" t="s">
        <v>177</v>
      </c>
      <c r="B52" s="98"/>
      <c r="C52" s="98"/>
      <c r="D52" s="98"/>
      <c r="E52" s="98"/>
      <c r="F52" s="98"/>
      <c r="G52" s="98"/>
      <c r="H52" s="3"/>
    </row>
    <row r="53" spans="1:8" s="4" customFormat="1" ht="12.75">
      <c r="A53" s="101" t="s">
        <v>51</v>
      </c>
      <c r="B53" s="101"/>
      <c r="C53" s="101"/>
      <c r="D53" s="101"/>
      <c r="E53" s="101"/>
      <c r="F53" s="101"/>
      <c r="G53" s="101"/>
      <c r="H53" s="3"/>
    </row>
    <row r="54" spans="1:8" s="4" customFormat="1" ht="69.75" customHeight="1">
      <c r="A54" s="44" t="s">
        <v>178</v>
      </c>
      <c r="B54" s="8" t="s">
        <v>179</v>
      </c>
      <c r="C54" s="6" t="s">
        <v>119</v>
      </c>
      <c r="D54" s="18">
        <v>1</v>
      </c>
      <c r="E54" s="6">
        <v>1</v>
      </c>
      <c r="F54" s="6"/>
      <c r="G54" s="6"/>
      <c r="H54" s="3"/>
    </row>
    <row r="55" spans="1:8" s="4" customFormat="1" ht="12.75">
      <c r="A55" s="98" t="s">
        <v>108</v>
      </c>
      <c r="B55" s="132"/>
      <c r="C55" s="132"/>
      <c r="D55" s="132"/>
      <c r="E55" s="132"/>
      <c r="F55" s="132"/>
      <c r="G55" s="132"/>
      <c r="H55" s="132"/>
    </row>
    <row r="56" spans="1:8" s="4" customFormat="1" ht="12.75">
      <c r="A56" s="101" t="s">
        <v>51</v>
      </c>
      <c r="B56" s="101"/>
      <c r="C56" s="101"/>
      <c r="D56" s="101"/>
      <c r="E56" s="101"/>
      <c r="F56" s="101"/>
      <c r="G56" s="101"/>
      <c r="H56" s="3"/>
    </row>
    <row r="57" spans="1:8" s="4" customFormat="1" ht="12.75" customHeight="1">
      <c r="A57" s="102" t="s">
        <v>113</v>
      </c>
      <c r="B57" s="6"/>
      <c r="C57" s="6"/>
      <c r="D57" s="6"/>
      <c r="E57" s="6"/>
      <c r="F57" s="6"/>
      <c r="G57" s="6"/>
      <c r="H57" s="3"/>
    </row>
    <row r="58" spans="1:8" s="4" customFormat="1" ht="25.5">
      <c r="A58" s="103"/>
      <c r="B58" s="8" t="s">
        <v>197</v>
      </c>
      <c r="C58" s="6" t="s">
        <v>122</v>
      </c>
      <c r="D58" s="18">
        <f>E58+F58+G58</f>
        <v>64</v>
      </c>
      <c r="E58" s="6">
        <v>51</v>
      </c>
      <c r="F58" s="6">
        <v>13</v>
      </c>
      <c r="G58" s="6"/>
      <c r="H58" s="3"/>
    </row>
    <row r="59" spans="1:8" s="4" customFormat="1" ht="25.5">
      <c r="A59" s="103"/>
      <c r="B59" s="8" t="s">
        <v>198</v>
      </c>
      <c r="C59" s="6" t="s">
        <v>122</v>
      </c>
      <c r="D59" s="18">
        <f>E59+F59+G59</f>
        <v>110</v>
      </c>
      <c r="E59" s="6">
        <v>69</v>
      </c>
      <c r="F59" s="6">
        <v>32</v>
      </c>
      <c r="G59" s="6">
        <v>9</v>
      </c>
      <c r="H59" s="3"/>
    </row>
    <row r="60" spans="1:8" s="4" customFormat="1" ht="38.25">
      <c r="A60" s="103"/>
      <c r="B60" s="8" t="s">
        <v>185</v>
      </c>
      <c r="C60" s="6" t="s">
        <v>121</v>
      </c>
      <c r="D60" s="9">
        <f>E60</f>
        <v>8082.025000000001</v>
      </c>
      <c r="E60" s="9">
        <f>8099.256-17.235+0.004</f>
        <v>8082.025000000001</v>
      </c>
      <c r="F60" s="6"/>
      <c r="G60" s="6"/>
      <c r="H60" s="3"/>
    </row>
    <row r="61" spans="1:8" s="4" customFormat="1" ht="38.25">
      <c r="A61" s="103"/>
      <c r="B61" s="8" t="s">
        <v>158</v>
      </c>
      <c r="C61" s="6" t="s">
        <v>119</v>
      </c>
      <c r="D61" s="18">
        <f>E61+F61+G61</f>
        <v>4</v>
      </c>
      <c r="E61" s="6">
        <v>4</v>
      </c>
      <c r="F61" s="6"/>
      <c r="G61" s="6"/>
      <c r="H61" s="3"/>
    </row>
    <row r="62" spans="1:8" s="4" customFormat="1" ht="51">
      <c r="A62" s="104"/>
      <c r="B62" s="8" t="s">
        <v>186</v>
      </c>
      <c r="C62" s="6" t="s">
        <v>121</v>
      </c>
      <c r="D62" s="9">
        <f>E62</f>
        <v>4149.053</v>
      </c>
      <c r="E62" s="9">
        <f>6469.853-822-1498.8</f>
        <v>4149.053</v>
      </c>
      <c r="F62" s="6"/>
      <c r="G62" s="6"/>
      <c r="H62" s="3"/>
    </row>
    <row r="63" spans="1:8" s="4" customFormat="1" ht="12.75">
      <c r="A63" s="101" t="s">
        <v>123</v>
      </c>
      <c r="B63" s="129"/>
      <c r="C63" s="129"/>
      <c r="D63" s="129"/>
      <c r="E63" s="129"/>
      <c r="F63" s="129"/>
      <c r="G63" s="129"/>
      <c r="H63" s="3"/>
    </row>
    <row r="64" spans="1:8" s="4" customFormat="1" ht="38.25">
      <c r="A64" s="102" t="s">
        <v>108</v>
      </c>
      <c r="B64" s="8" t="s">
        <v>155</v>
      </c>
      <c r="C64" s="6" t="s">
        <v>122</v>
      </c>
      <c r="D64" s="18">
        <f>E64+F64+G64</f>
        <v>13</v>
      </c>
      <c r="E64" s="6">
        <v>11</v>
      </c>
      <c r="F64" s="6">
        <v>2</v>
      </c>
      <c r="G64" s="6"/>
      <c r="H64" s="3"/>
    </row>
    <row r="65" spans="1:8" s="4" customFormat="1" ht="38.25">
      <c r="A65" s="104"/>
      <c r="B65" s="8" t="s">
        <v>185</v>
      </c>
      <c r="C65" s="6" t="s">
        <v>121</v>
      </c>
      <c r="D65" s="9">
        <f>E65+F65+G65</f>
        <v>248.118</v>
      </c>
      <c r="E65" s="9">
        <v>248.118</v>
      </c>
      <c r="F65" s="6"/>
      <c r="G65" s="6"/>
      <c r="H65" s="3"/>
    </row>
    <row r="66" spans="1:8" s="4" customFormat="1" ht="12.75">
      <c r="A66" s="101" t="s">
        <v>124</v>
      </c>
      <c r="B66" s="129"/>
      <c r="C66" s="129"/>
      <c r="D66" s="129"/>
      <c r="E66" s="129"/>
      <c r="F66" s="129"/>
      <c r="G66" s="129"/>
      <c r="H66" s="3"/>
    </row>
    <row r="67" spans="1:8" s="4" customFormat="1" ht="25.5">
      <c r="A67" s="102" t="s">
        <v>108</v>
      </c>
      <c r="B67" s="8" t="s">
        <v>156</v>
      </c>
      <c r="C67" s="6" t="s">
        <v>122</v>
      </c>
      <c r="D67" s="18">
        <f>E67+F67+G67</f>
        <v>1</v>
      </c>
      <c r="E67" s="6">
        <v>1</v>
      </c>
      <c r="F67" s="6"/>
      <c r="G67" s="6"/>
      <c r="H67" s="3"/>
    </row>
    <row r="68" spans="1:8" s="4" customFormat="1" ht="38.25">
      <c r="A68" s="104"/>
      <c r="B68" s="8" t="s">
        <v>185</v>
      </c>
      <c r="C68" s="6" t="s">
        <v>121</v>
      </c>
      <c r="D68" s="9">
        <f>E68+F68+G68</f>
        <v>21</v>
      </c>
      <c r="E68" s="9">
        <v>21</v>
      </c>
      <c r="F68" s="6"/>
      <c r="G68" s="6"/>
      <c r="H68" s="3"/>
    </row>
    <row r="69" spans="1:8" s="4" customFormat="1" ht="12.75">
      <c r="A69" s="101" t="s">
        <v>104</v>
      </c>
      <c r="B69" s="129"/>
      <c r="C69" s="129"/>
      <c r="D69" s="129"/>
      <c r="E69" s="129"/>
      <c r="F69" s="129"/>
      <c r="G69" s="129"/>
      <c r="H69" s="3"/>
    </row>
    <row r="70" spans="1:8" s="4" customFormat="1" ht="25.5">
      <c r="A70" s="102" t="s">
        <v>108</v>
      </c>
      <c r="B70" s="8" t="s">
        <v>156</v>
      </c>
      <c r="C70" s="6" t="s">
        <v>122</v>
      </c>
      <c r="D70" s="18">
        <f>E70+F70+G70</f>
        <v>1</v>
      </c>
      <c r="E70" s="6">
        <v>1</v>
      </c>
      <c r="F70" s="74"/>
      <c r="G70" s="74"/>
      <c r="H70" s="3"/>
    </row>
    <row r="71" spans="1:8" s="4" customFormat="1" ht="38.25">
      <c r="A71" s="104"/>
      <c r="B71" s="8" t="s">
        <v>185</v>
      </c>
      <c r="C71" s="6" t="s">
        <v>121</v>
      </c>
      <c r="D71" s="9">
        <f>E71+F71+G71</f>
        <v>3</v>
      </c>
      <c r="E71" s="9">
        <v>3</v>
      </c>
      <c r="F71" s="6"/>
      <c r="G71" s="6"/>
      <c r="H71" s="3"/>
    </row>
    <row r="72" spans="1:8" s="4" customFormat="1" ht="12.75">
      <c r="A72" s="128" t="s">
        <v>219</v>
      </c>
      <c r="B72" s="128"/>
      <c r="C72" s="128"/>
      <c r="D72" s="128"/>
      <c r="E72" s="128"/>
      <c r="F72" s="128"/>
      <c r="G72" s="128"/>
      <c r="H72" s="3"/>
    </row>
    <row r="73" spans="1:8" s="4" customFormat="1" ht="12.75">
      <c r="A73" s="96" t="s">
        <v>51</v>
      </c>
      <c r="B73" s="96"/>
      <c r="C73" s="96"/>
      <c r="D73" s="96"/>
      <c r="E73" s="96"/>
      <c r="F73" s="96"/>
      <c r="G73" s="96"/>
      <c r="H73" s="3"/>
    </row>
    <row r="74" spans="1:8" s="4" customFormat="1" ht="36">
      <c r="A74" s="73" t="s">
        <v>220</v>
      </c>
      <c r="B74" s="72" t="s">
        <v>249</v>
      </c>
      <c r="C74" s="6" t="s">
        <v>52</v>
      </c>
      <c r="D74" s="18">
        <f>E74</f>
        <v>7</v>
      </c>
      <c r="E74" s="18">
        <v>7</v>
      </c>
      <c r="F74" s="18"/>
      <c r="G74" s="18"/>
      <c r="H74" s="3"/>
    </row>
    <row r="75" spans="1:8" s="4" customFormat="1" ht="12.75">
      <c r="A75" s="128" t="s">
        <v>127</v>
      </c>
      <c r="B75" s="128"/>
      <c r="C75" s="128"/>
      <c r="D75" s="128"/>
      <c r="E75" s="128"/>
      <c r="F75" s="128"/>
      <c r="G75" s="128"/>
      <c r="H75" s="3"/>
    </row>
    <row r="76" spans="1:8" s="4" customFormat="1" ht="12.75">
      <c r="A76" s="96" t="s">
        <v>51</v>
      </c>
      <c r="B76" s="96"/>
      <c r="C76" s="96"/>
      <c r="D76" s="96"/>
      <c r="E76" s="96"/>
      <c r="F76" s="96"/>
      <c r="G76" s="96"/>
      <c r="H76" s="3"/>
    </row>
    <row r="77" spans="1:8" s="4" customFormat="1" ht="12.75">
      <c r="A77" s="117" t="s">
        <v>70</v>
      </c>
      <c r="B77" s="6"/>
      <c r="C77" s="3"/>
      <c r="D77" s="3"/>
      <c r="E77" s="3"/>
      <c r="F77" s="3"/>
      <c r="G77" s="3"/>
      <c r="H77" s="3"/>
    </row>
    <row r="78" spans="1:8" s="4" customFormat="1" ht="12.75">
      <c r="A78" s="117"/>
      <c r="B78" s="72" t="s">
        <v>66</v>
      </c>
      <c r="C78" s="6" t="s">
        <v>24</v>
      </c>
      <c r="D78" s="19">
        <v>4466666.67</v>
      </c>
      <c r="E78" s="19">
        <v>4466666.67</v>
      </c>
      <c r="F78" s="19">
        <v>4466666.67</v>
      </c>
      <c r="G78" s="19">
        <v>4466666.67</v>
      </c>
      <c r="H78" s="3"/>
    </row>
    <row r="79" spans="1:8" s="4" customFormat="1" ht="24">
      <c r="A79" s="117"/>
      <c r="B79" s="49" t="s">
        <v>67</v>
      </c>
      <c r="C79" s="6" t="s">
        <v>52</v>
      </c>
      <c r="D79" s="6">
        <v>40201</v>
      </c>
      <c r="E79" s="6">
        <v>40201</v>
      </c>
      <c r="F79" s="6">
        <v>40201</v>
      </c>
      <c r="G79" s="6">
        <v>40201</v>
      </c>
      <c r="H79" s="3"/>
    </row>
    <row r="80" spans="1:8" s="4" customFormat="1" ht="12.75">
      <c r="A80" s="117"/>
      <c r="B80" s="49" t="s">
        <v>68</v>
      </c>
      <c r="C80" s="6" t="s">
        <v>54</v>
      </c>
      <c r="D80" s="39">
        <v>41.16</v>
      </c>
      <c r="E80" s="39">
        <v>41.16</v>
      </c>
      <c r="F80" s="39">
        <v>41.16</v>
      </c>
      <c r="G80" s="39">
        <v>41.16</v>
      </c>
      <c r="H80" s="3"/>
    </row>
    <row r="81" spans="1:8" s="4" customFormat="1" ht="24">
      <c r="A81" s="117"/>
      <c r="B81" s="49" t="s">
        <v>27</v>
      </c>
      <c r="C81" s="6" t="s">
        <v>54</v>
      </c>
      <c r="D81" s="6">
        <v>396.9</v>
      </c>
      <c r="E81" s="6">
        <v>396.9</v>
      </c>
      <c r="F81" s="6">
        <v>396.9</v>
      </c>
      <c r="G81" s="6">
        <v>396.9</v>
      </c>
      <c r="H81" s="3"/>
    </row>
    <row r="82" spans="1:8" s="4" customFormat="1" ht="12.75">
      <c r="A82" s="117"/>
      <c r="B82" s="49" t="s">
        <v>69</v>
      </c>
      <c r="C82" s="6" t="s">
        <v>54</v>
      </c>
      <c r="D82" s="6">
        <v>4.793</v>
      </c>
      <c r="E82" s="6">
        <v>4.793</v>
      </c>
      <c r="F82" s="6">
        <v>4.793</v>
      </c>
      <c r="G82" s="6">
        <v>4.793</v>
      </c>
      <c r="H82" s="3"/>
    </row>
    <row r="83" spans="1:8" s="4" customFormat="1" ht="12.75">
      <c r="A83" s="117"/>
      <c r="B83" s="49" t="s">
        <v>28</v>
      </c>
      <c r="C83" s="6" t="s">
        <v>52</v>
      </c>
      <c r="D83" s="6">
        <v>39</v>
      </c>
      <c r="E83" s="6">
        <v>39</v>
      </c>
      <c r="F83" s="6">
        <v>39</v>
      </c>
      <c r="G83" s="6">
        <v>39</v>
      </c>
      <c r="H83" s="3"/>
    </row>
    <row r="84" spans="1:8" s="4" customFormat="1" ht="36">
      <c r="A84" s="117"/>
      <c r="B84" s="49" t="s">
        <v>180</v>
      </c>
      <c r="C84" s="6" t="s">
        <v>52</v>
      </c>
      <c r="D84" s="6">
        <v>60</v>
      </c>
      <c r="E84" s="6">
        <v>60</v>
      </c>
      <c r="F84" s="6">
        <v>60</v>
      </c>
      <c r="G84" s="6">
        <v>60</v>
      </c>
      <c r="H84" s="3"/>
    </row>
    <row r="85" spans="1:8" s="4" customFormat="1" ht="12.75">
      <c r="A85" s="117"/>
      <c r="B85" s="49" t="s">
        <v>85</v>
      </c>
      <c r="C85" s="6" t="s">
        <v>54</v>
      </c>
      <c r="D85" s="6">
        <v>51.125</v>
      </c>
      <c r="E85" s="6">
        <v>51.125</v>
      </c>
      <c r="F85" s="6">
        <v>51.125</v>
      </c>
      <c r="G85" s="6">
        <v>51.125</v>
      </c>
      <c r="H85" s="3"/>
    </row>
    <row r="86" spans="1:8" s="4" customFormat="1" ht="25.5">
      <c r="A86" s="117"/>
      <c r="B86" s="10" t="s">
        <v>255</v>
      </c>
      <c r="C86" s="6" t="s">
        <v>54</v>
      </c>
      <c r="D86" s="6">
        <f>E86</f>
        <v>9.26</v>
      </c>
      <c r="E86" s="6">
        <v>9.26</v>
      </c>
      <c r="F86" s="6"/>
      <c r="G86" s="6"/>
      <c r="H86" s="3"/>
    </row>
    <row r="87" spans="1:8" s="4" customFormat="1" ht="25.5">
      <c r="A87" s="117"/>
      <c r="B87" s="8" t="s">
        <v>181</v>
      </c>
      <c r="C87" s="6" t="s">
        <v>121</v>
      </c>
      <c r="D87" s="9">
        <f>E87+F87+G87</f>
        <v>7271.7080000000005</v>
      </c>
      <c r="E87" s="9">
        <f>4371.665+784.822+2115.221</f>
        <v>7271.7080000000005</v>
      </c>
      <c r="F87" s="6"/>
      <c r="G87" s="6"/>
      <c r="H87" s="3"/>
    </row>
    <row r="88" spans="1:8" s="4" customFormat="1" ht="38.25">
      <c r="A88" s="117"/>
      <c r="B88" s="21" t="s">
        <v>125</v>
      </c>
      <c r="C88" s="32" t="s">
        <v>121</v>
      </c>
      <c r="D88" s="22">
        <f>E88+F88+G88</f>
        <v>784.822</v>
      </c>
      <c r="E88" s="22">
        <v>784.822</v>
      </c>
      <c r="F88" s="6"/>
      <c r="G88" s="6"/>
      <c r="H88" s="3"/>
    </row>
    <row r="89" spans="1:8" s="4" customFormat="1" ht="102">
      <c r="A89" s="117"/>
      <c r="B89" s="21" t="s">
        <v>221</v>
      </c>
      <c r="C89" s="32" t="s">
        <v>121</v>
      </c>
      <c r="D89" s="22">
        <f>E89+F89+G89</f>
        <v>2115.221</v>
      </c>
      <c r="E89" s="22">
        <v>2115.221</v>
      </c>
      <c r="F89" s="6"/>
      <c r="G89" s="6"/>
      <c r="H89" s="3"/>
    </row>
    <row r="90" spans="1:8" s="4" customFormat="1" ht="12.75" customHeight="1">
      <c r="A90" s="117" t="s">
        <v>71</v>
      </c>
      <c r="B90" s="10"/>
      <c r="C90" s="3"/>
      <c r="D90" s="3"/>
      <c r="E90" s="3"/>
      <c r="F90" s="3"/>
      <c r="G90" s="3"/>
      <c r="H90" s="3"/>
    </row>
    <row r="91" spans="1:8" s="4" customFormat="1" ht="12.75">
      <c r="A91" s="117"/>
      <c r="B91" s="10" t="s">
        <v>187</v>
      </c>
      <c r="C91" s="6" t="s">
        <v>53</v>
      </c>
      <c r="D91" s="19">
        <f>E91+F91+G91</f>
        <v>32664756.450000003</v>
      </c>
      <c r="E91" s="19">
        <v>10888252.15</v>
      </c>
      <c r="F91" s="19">
        <v>10888252.15</v>
      </c>
      <c r="G91" s="19">
        <v>10888252.15</v>
      </c>
      <c r="H91" s="3"/>
    </row>
    <row r="92" spans="1:8" s="4" customFormat="1" ht="89.25">
      <c r="A92" s="117"/>
      <c r="B92" s="8" t="s">
        <v>246</v>
      </c>
      <c r="C92" s="6" t="s">
        <v>53</v>
      </c>
      <c r="D92" s="19">
        <f>E92+F92+G92</f>
        <v>1569506.73</v>
      </c>
      <c r="E92" s="19">
        <v>523168.91</v>
      </c>
      <c r="F92" s="19">
        <v>523168.91</v>
      </c>
      <c r="G92" s="19">
        <v>523168.91</v>
      </c>
      <c r="H92" s="3"/>
    </row>
    <row r="93" spans="1:8" s="4" customFormat="1" ht="12.75">
      <c r="A93" s="117"/>
      <c r="B93" s="10" t="s">
        <v>72</v>
      </c>
      <c r="C93" s="6" t="s">
        <v>53</v>
      </c>
      <c r="D93" s="19">
        <f>E93+F93+G93</f>
        <v>75555.29999999999</v>
      </c>
      <c r="E93" s="19">
        <v>25185.1</v>
      </c>
      <c r="F93" s="19">
        <v>25185.1</v>
      </c>
      <c r="G93" s="19">
        <v>25185.1</v>
      </c>
      <c r="H93" s="3"/>
    </row>
    <row r="94" spans="1:8" s="4" customFormat="1" ht="12.75">
      <c r="A94" s="117"/>
      <c r="B94" s="10" t="s">
        <v>73</v>
      </c>
      <c r="C94" s="6" t="s">
        <v>53</v>
      </c>
      <c r="D94" s="19">
        <f>E94+F94+G94</f>
        <v>202281</v>
      </c>
      <c r="E94" s="19">
        <v>67427</v>
      </c>
      <c r="F94" s="19">
        <v>67427</v>
      </c>
      <c r="G94" s="19">
        <v>67427</v>
      </c>
      <c r="H94" s="3"/>
    </row>
    <row r="95" spans="1:8" s="4" customFormat="1" ht="12.75">
      <c r="A95" s="117"/>
      <c r="B95" s="10" t="s">
        <v>74</v>
      </c>
      <c r="C95" s="6" t="s">
        <v>53</v>
      </c>
      <c r="D95" s="19">
        <f>E95+F95+G95</f>
        <v>1518633.33</v>
      </c>
      <c r="E95" s="19">
        <v>506211.11</v>
      </c>
      <c r="F95" s="19">
        <v>506211.11</v>
      </c>
      <c r="G95" s="19">
        <v>506211.11</v>
      </c>
      <c r="H95" s="3"/>
    </row>
    <row r="96" spans="1:8" s="4" customFormat="1" ht="25.5">
      <c r="A96" s="117"/>
      <c r="B96" s="8" t="s">
        <v>181</v>
      </c>
      <c r="C96" s="6" t="s">
        <v>121</v>
      </c>
      <c r="D96" s="9">
        <f>E96</f>
        <v>40.736</v>
      </c>
      <c r="E96" s="9">
        <v>40.736</v>
      </c>
      <c r="F96" s="19"/>
      <c r="G96" s="19"/>
      <c r="H96" s="3"/>
    </row>
    <row r="97" spans="1:8" s="4" customFormat="1" ht="12.75">
      <c r="A97" s="117" t="s">
        <v>75</v>
      </c>
      <c r="B97" s="10"/>
      <c r="C97" s="3"/>
      <c r="D97" s="3"/>
      <c r="E97" s="3"/>
      <c r="F97" s="3"/>
      <c r="G97" s="3"/>
      <c r="H97" s="3"/>
    </row>
    <row r="98" spans="1:8" s="4" customFormat="1" ht="25.5">
      <c r="A98" s="117"/>
      <c r="B98" s="10" t="s">
        <v>76</v>
      </c>
      <c r="C98" s="6" t="s">
        <v>55</v>
      </c>
      <c r="D98" s="19">
        <f>E98+F98+G98</f>
        <v>4117.71</v>
      </c>
      <c r="E98" s="19">
        <v>1372.57</v>
      </c>
      <c r="F98" s="19">
        <v>1372.57</v>
      </c>
      <c r="G98" s="19">
        <v>1372.57</v>
      </c>
      <c r="H98" s="3"/>
    </row>
    <row r="99" spans="1:8" s="4" customFormat="1" ht="25.5">
      <c r="A99" s="117"/>
      <c r="B99" s="10" t="s">
        <v>77</v>
      </c>
      <c r="C99" s="6" t="s">
        <v>55</v>
      </c>
      <c r="D99" s="19">
        <f>E99+F99+G99</f>
        <v>12857.400000000001</v>
      </c>
      <c r="E99" s="19">
        <v>4285.8</v>
      </c>
      <c r="F99" s="19">
        <v>4285.8</v>
      </c>
      <c r="G99" s="19">
        <v>4285.8</v>
      </c>
      <c r="H99" s="3"/>
    </row>
    <row r="100" spans="1:8" s="4" customFormat="1" ht="25.5">
      <c r="A100" s="117"/>
      <c r="B100" s="10" t="s">
        <v>78</v>
      </c>
      <c r="C100" s="6" t="s">
        <v>55</v>
      </c>
      <c r="D100" s="19">
        <f>E100+F100+G100</f>
        <v>34940.07</v>
      </c>
      <c r="E100" s="19">
        <v>11646.69</v>
      </c>
      <c r="F100" s="19">
        <v>11646.69</v>
      </c>
      <c r="G100" s="19">
        <v>11646.69</v>
      </c>
      <c r="H100" s="3"/>
    </row>
    <row r="101" spans="1:8" s="4" customFormat="1" ht="38.25">
      <c r="A101" s="117"/>
      <c r="B101" s="10" t="s">
        <v>79</v>
      </c>
      <c r="C101" s="6" t="s">
        <v>55</v>
      </c>
      <c r="D101" s="19">
        <f>E101+F101+G101</f>
        <v>6120.8099999999995</v>
      </c>
      <c r="E101" s="19">
        <v>2040.27</v>
      </c>
      <c r="F101" s="19">
        <v>2040.27</v>
      </c>
      <c r="G101" s="19">
        <v>2040.27</v>
      </c>
      <c r="H101" s="3"/>
    </row>
    <row r="102" spans="1:8" s="4" customFormat="1" ht="12.75" customHeight="1">
      <c r="A102" s="102" t="s">
        <v>80</v>
      </c>
      <c r="B102" s="10"/>
      <c r="C102" s="3"/>
      <c r="D102" s="3"/>
      <c r="E102" s="3"/>
      <c r="F102" s="3"/>
      <c r="G102" s="3"/>
      <c r="H102" s="3"/>
    </row>
    <row r="103" spans="1:8" s="4" customFormat="1" ht="12.75">
      <c r="A103" s="103"/>
      <c r="B103" s="10" t="s">
        <v>189</v>
      </c>
      <c r="C103" s="6" t="s">
        <v>24</v>
      </c>
      <c r="D103" s="18">
        <f>E103+F103+G103</f>
        <v>180739</v>
      </c>
      <c r="E103" s="18">
        <v>40151</v>
      </c>
      <c r="F103" s="18">
        <v>70294</v>
      </c>
      <c r="G103" s="18">
        <v>70294</v>
      </c>
      <c r="H103" s="3"/>
    </row>
    <row r="104" spans="1:8" s="4" customFormat="1" ht="25.5">
      <c r="A104" s="103"/>
      <c r="B104" s="10" t="s">
        <v>200</v>
      </c>
      <c r="C104" s="6" t="s">
        <v>52</v>
      </c>
      <c r="D104" s="18">
        <f>E104</f>
        <v>6136</v>
      </c>
      <c r="E104" s="6">
        <v>6136</v>
      </c>
      <c r="F104" s="6">
        <v>6136</v>
      </c>
      <c r="G104" s="6">
        <v>6136</v>
      </c>
      <c r="H104" s="3"/>
    </row>
    <row r="105" spans="1:8" s="4" customFormat="1" ht="12.75">
      <c r="A105" s="103"/>
      <c r="B105" s="10" t="s">
        <v>23</v>
      </c>
      <c r="C105" s="6" t="s">
        <v>24</v>
      </c>
      <c r="D105" s="18">
        <f>E105+F105+G105</f>
        <v>201792</v>
      </c>
      <c r="E105" s="18">
        <v>67264</v>
      </c>
      <c r="F105" s="18">
        <v>67264</v>
      </c>
      <c r="G105" s="18">
        <v>67264</v>
      </c>
      <c r="H105" s="3"/>
    </row>
    <row r="106" spans="1:8" s="4" customFormat="1" ht="25.5">
      <c r="A106" s="103"/>
      <c r="B106" s="10" t="s">
        <v>81</v>
      </c>
      <c r="C106" s="6" t="s">
        <v>52</v>
      </c>
      <c r="D106" s="6">
        <v>8200</v>
      </c>
      <c r="E106" s="6">
        <v>8200</v>
      </c>
      <c r="F106" s="6">
        <v>8040</v>
      </c>
      <c r="G106" s="6">
        <v>8040</v>
      </c>
      <c r="H106" s="3"/>
    </row>
    <row r="107" spans="1:8" s="4" customFormat="1" ht="38.25">
      <c r="A107" s="103"/>
      <c r="B107" s="10" t="s">
        <v>86</v>
      </c>
      <c r="C107" s="6" t="s">
        <v>52</v>
      </c>
      <c r="D107" s="24">
        <v>542</v>
      </c>
      <c r="E107" s="24">
        <v>542</v>
      </c>
      <c r="F107" s="24">
        <v>542</v>
      </c>
      <c r="G107" s="24">
        <v>542</v>
      </c>
      <c r="H107" s="3"/>
    </row>
    <row r="108" spans="1:8" s="4" customFormat="1" ht="12.75" customHeight="1">
      <c r="A108" s="103"/>
      <c r="B108" s="43" t="s">
        <v>48</v>
      </c>
      <c r="C108" s="6" t="s">
        <v>54</v>
      </c>
      <c r="D108" s="6">
        <v>425.09</v>
      </c>
      <c r="E108" s="6">
        <f>396.9+28.19</f>
        <v>425.09</v>
      </c>
      <c r="F108" s="6">
        <f>396.9+28.19</f>
        <v>425.09</v>
      </c>
      <c r="G108" s="6">
        <f>396.9+28.19</f>
        <v>425.09</v>
      </c>
      <c r="H108" s="3"/>
    </row>
    <row r="109" spans="1:8" s="4" customFormat="1" ht="38.25">
      <c r="A109" s="103"/>
      <c r="B109" s="10" t="s">
        <v>82</v>
      </c>
      <c r="C109" s="6" t="s">
        <v>52</v>
      </c>
      <c r="D109" s="6">
        <v>274</v>
      </c>
      <c r="E109" s="6">
        <v>274</v>
      </c>
      <c r="F109" s="6">
        <v>274</v>
      </c>
      <c r="G109" s="6">
        <v>274</v>
      </c>
      <c r="H109" s="3"/>
    </row>
    <row r="110" spans="1:8" s="4" customFormat="1" ht="25.5">
      <c r="A110" s="103"/>
      <c r="B110" s="10" t="s">
        <v>83</v>
      </c>
      <c r="C110" s="6" t="s">
        <v>52</v>
      </c>
      <c r="D110" s="6">
        <v>39</v>
      </c>
      <c r="E110" s="6">
        <v>39</v>
      </c>
      <c r="F110" s="6">
        <v>39</v>
      </c>
      <c r="G110" s="6">
        <v>39</v>
      </c>
      <c r="H110" s="3"/>
    </row>
    <row r="111" spans="1:8" s="4" customFormat="1" ht="25.5">
      <c r="A111" s="103"/>
      <c r="B111" s="10" t="s">
        <v>84</v>
      </c>
      <c r="C111" s="6" t="s">
        <v>52</v>
      </c>
      <c r="D111" s="6">
        <v>8</v>
      </c>
      <c r="E111" s="6">
        <v>8</v>
      </c>
      <c r="F111" s="6">
        <v>8</v>
      </c>
      <c r="G111" s="6">
        <v>8</v>
      </c>
      <c r="H111" s="3"/>
    </row>
    <row r="112" spans="1:8" s="4" customFormat="1" ht="25.5">
      <c r="A112" s="103"/>
      <c r="B112" s="8" t="s">
        <v>63</v>
      </c>
      <c r="C112" s="6" t="s">
        <v>52</v>
      </c>
      <c r="D112" s="6">
        <f>E112+F112+G112</f>
        <v>7450</v>
      </c>
      <c r="E112" s="6">
        <f>2330+460</f>
        <v>2790</v>
      </c>
      <c r="F112" s="6">
        <v>2330</v>
      </c>
      <c r="G112" s="6">
        <v>2330</v>
      </c>
      <c r="H112" s="3"/>
    </row>
    <row r="113" spans="1:8" s="4" customFormat="1" ht="25.5">
      <c r="A113" s="103"/>
      <c r="B113" s="8" t="s">
        <v>278</v>
      </c>
      <c r="C113" s="6" t="s">
        <v>24</v>
      </c>
      <c r="D113" s="18">
        <f>E113+F113+G113</f>
        <v>18</v>
      </c>
      <c r="E113" s="18">
        <v>18</v>
      </c>
      <c r="F113" s="6"/>
      <c r="G113" s="6"/>
      <c r="H113" s="3"/>
    </row>
    <row r="114" spans="1:8" s="4" customFormat="1" ht="25.5">
      <c r="A114" s="103"/>
      <c r="B114" s="8" t="s">
        <v>181</v>
      </c>
      <c r="C114" s="6" t="s">
        <v>121</v>
      </c>
      <c r="D114" s="38">
        <f>E114</f>
        <v>5800.914000000001</v>
      </c>
      <c r="E114" s="9">
        <f>4692.54+124.109+984.265</f>
        <v>5800.914000000001</v>
      </c>
      <c r="F114" s="6"/>
      <c r="G114" s="6"/>
      <c r="H114" s="3"/>
    </row>
    <row r="115" spans="1:8" s="4" customFormat="1" ht="38.25">
      <c r="A115" s="103"/>
      <c r="B115" s="21" t="s">
        <v>125</v>
      </c>
      <c r="C115" s="32" t="s">
        <v>121</v>
      </c>
      <c r="D115" s="40">
        <f>E115</f>
        <v>124.109</v>
      </c>
      <c r="E115" s="22">
        <v>124.109</v>
      </c>
      <c r="F115" s="6"/>
      <c r="G115" s="6"/>
      <c r="H115" s="3"/>
    </row>
    <row r="116" spans="1:8" s="4" customFormat="1" ht="102">
      <c r="A116" s="103"/>
      <c r="B116" s="21" t="s">
        <v>222</v>
      </c>
      <c r="C116" s="32" t="s">
        <v>121</v>
      </c>
      <c r="D116" s="40">
        <f>E116</f>
        <v>984.265</v>
      </c>
      <c r="E116" s="22">
        <v>984.265</v>
      </c>
      <c r="F116" s="6"/>
      <c r="G116" s="6"/>
      <c r="H116" s="3"/>
    </row>
    <row r="117" spans="1:8" s="4" customFormat="1" ht="12.75">
      <c r="A117" s="102" t="s">
        <v>87</v>
      </c>
      <c r="B117" s="8"/>
      <c r="C117" s="3"/>
      <c r="D117" s="3"/>
      <c r="E117" s="3"/>
      <c r="F117" s="3"/>
      <c r="G117" s="3"/>
      <c r="H117" s="3"/>
    </row>
    <row r="118" spans="1:8" s="4" customFormat="1" ht="12.75">
      <c r="A118" s="103"/>
      <c r="B118" s="130" t="s">
        <v>64</v>
      </c>
      <c r="C118" s="3" t="s">
        <v>226</v>
      </c>
      <c r="D118" s="3">
        <f>E118+F118+G118</f>
        <v>22</v>
      </c>
      <c r="E118" s="3">
        <v>22</v>
      </c>
      <c r="F118" s="3"/>
      <c r="G118" s="3"/>
      <c r="H118" s="3"/>
    </row>
    <row r="119" spans="1:8" s="4" customFormat="1" ht="12.75">
      <c r="A119" s="103"/>
      <c r="B119" s="131"/>
      <c r="C119" s="6" t="s">
        <v>218</v>
      </c>
      <c r="D119" s="9">
        <f>E119+F119+G119</f>
        <v>2.2279999999999998</v>
      </c>
      <c r="E119" s="50">
        <f>0.988+0.5+0.74</f>
        <v>2.2279999999999998</v>
      </c>
      <c r="F119" s="18"/>
      <c r="G119" s="18"/>
      <c r="H119" s="3"/>
    </row>
    <row r="120" spans="1:8" s="4" customFormat="1" ht="89.25">
      <c r="A120" s="103"/>
      <c r="B120" s="21" t="s">
        <v>126</v>
      </c>
      <c r="C120" s="32" t="s">
        <v>218</v>
      </c>
      <c r="D120" s="22">
        <f>E120+F120+G120</f>
        <v>1.488</v>
      </c>
      <c r="E120" s="51">
        <f>0.988+0.5</f>
        <v>1.488</v>
      </c>
      <c r="F120" s="18"/>
      <c r="G120" s="18"/>
      <c r="H120" s="3"/>
    </row>
    <row r="121" spans="1:8" s="4" customFormat="1" ht="102">
      <c r="A121" s="103"/>
      <c r="B121" s="21" t="s">
        <v>221</v>
      </c>
      <c r="C121" s="32" t="s">
        <v>218</v>
      </c>
      <c r="D121" s="22">
        <f>E121+F121+G121</f>
        <v>0.74</v>
      </c>
      <c r="E121" s="51">
        <v>0.74</v>
      </c>
      <c r="F121" s="18"/>
      <c r="G121" s="18"/>
      <c r="H121" s="3"/>
    </row>
    <row r="122" spans="1:8" s="4" customFormat="1" ht="25.5">
      <c r="A122" s="103"/>
      <c r="B122" s="8" t="s">
        <v>217</v>
      </c>
      <c r="C122" s="6" t="s">
        <v>118</v>
      </c>
      <c r="D122" s="9">
        <f>E122</f>
        <v>21.427699999999998</v>
      </c>
      <c r="E122" s="9">
        <f>E123+E124</f>
        <v>21.427699999999998</v>
      </c>
      <c r="F122" s="18"/>
      <c r="G122" s="18"/>
      <c r="H122" s="3"/>
    </row>
    <row r="123" spans="1:8" s="4" customFormat="1" ht="89.25">
      <c r="A123" s="103"/>
      <c r="B123" s="21" t="s">
        <v>126</v>
      </c>
      <c r="C123" s="32" t="s">
        <v>118</v>
      </c>
      <c r="D123" s="22">
        <f>E123</f>
        <v>15.239999999999998</v>
      </c>
      <c r="E123" s="22">
        <f>12.604+2.636</f>
        <v>15.239999999999998</v>
      </c>
      <c r="F123" s="18"/>
      <c r="G123" s="18"/>
      <c r="H123" s="3"/>
    </row>
    <row r="124" spans="1:8" s="4" customFormat="1" ht="102">
      <c r="A124" s="103"/>
      <c r="B124" s="21" t="s">
        <v>221</v>
      </c>
      <c r="C124" s="32" t="s">
        <v>118</v>
      </c>
      <c r="D124" s="53">
        <f>E124</f>
        <v>6.1876999999999995</v>
      </c>
      <c r="E124" s="53">
        <f>22.1097-15.922</f>
        <v>6.1876999999999995</v>
      </c>
      <c r="F124" s="18"/>
      <c r="G124" s="18"/>
      <c r="H124" s="3"/>
    </row>
    <row r="125" spans="1:8" s="4" customFormat="1" ht="25.5">
      <c r="A125" s="103"/>
      <c r="B125" s="8" t="s">
        <v>223</v>
      </c>
      <c r="C125" s="6" t="s">
        <v>118</v>
      </c>
      <c r="D125" s="9">
        <f>E125</f>
        <v>1.088</v>
      </c>
      <c r="E125" s="9">
        <f>E126</f>
        <v>1.088</v>
      </c>
      <c r="F125" s="18"/>
      <c r="G125" s="18"/>
      <c r="H125" s="3"/>
    </row>
    <row r="126" spans="1:8" s="4" customFormat="1" ht="102">
      <c r="A126" s="103"/>
      <c r="B126" s="21" t="s">
        <v>221</v>
      </c>
      <c r="C126" s="32" t="s">
        <v>118</v>
      </c>
      <c r="D126" s="22">
        <f>E126</f>
        <v>1.088</v>
      </c>
      <c r="E126" s="22">
        <v>1.088</v>
      </c>
      <c r="F126" s="54"/>
      <c r="G126" s="54"/>
      <c r="H126" s="3"/>
    </row>
    <row r="127" spans="1:8" s="4" customFormat="1" ht="12.75">
      <c r="A127" s="103"/>
      <c r="B127" s="10" t="s">
        <v>224</v>
      </c>
      <c r="C127" s="6" t="s">
        <v>52</v>
      </c>
      <c r="D127" s="18">
        <f>E127+F127+G127</f>
        <v>920</v>
      </c>
      <c r="E127" s="18">
        <v>920</v>
      </c>
      <c r="F127" s="18"/>
      <c r="G127" s="18"/>
      <c r="H127" s="3"/>
    </row>
    <row r="128" spans="1:8" s="4" customFormat="1" ht="12.75">
      <c r="A128" s="103"/>
      <c r="B128" s="8" t="s">
        <v>216</v>
      </c>
      <c r="C128" s="6" t="s">
        <v>52</v>
      </c>
      <c r="D128" s="18">
        <f>E128+F128+G128</f>
        <v>1781</v>
      </c>
      <c r="E128" s="18">
        <v>1781</v>
      </c>
      <c r="F128" s="18"/>
      <c r="G128" s="18"/>
      <c r="H128" s="3"/>
    </row>
    <row r="129" spans="1:8" s="4" customFormat="1" ht="38.25">
      <c r="A129" s="103"/>
      <c r="B129" s="8" t="s">
        <v>225</v>
      </c>
      <c r="C129" s="6" t="s">
        <v>52</v>
      </c>
      <c r="D129" s="18">
        <f>E129+F129+G129</f>
        <v>1</v>
      </c>
      <c r="E129" s="18">
        <v>1</v>
      </c>
      <c r="F129" s="18"/>
      <c r="G129" s="18"/>
      <c r="H129" s="3"/>
    </row>
    <row r="130" spans="1:8" s="4" customFormat="1" ht="25.5">
      <c r="A130" s="103"/>
      <c r="B130" s="8" t="s">
        <v>181</v>
      </c>
      <c r="C130" s="6" t="s">
        <v>121</v>
      </c>
      <c r="D130" s="9">
        <f>E130</f>
        <v>2172.085</v>
      </c>
      <c r="E130" s="9">
        <f>154.282+488.469+10.272+1519.062</f>
        <v>2172.085</v>
      </c>
      <c r="F130" s="18"/>
      <c r="G130" s="18"/>
      <c r="H130" s="3"/>
    </row>
    <row r="131" spans="1:8" s="4" customFormat="1" ht="38.25">
      <c r="A131" s="103"/>
      <c r="B131" s="21" t="s">
        <v>125</v>
      </c>
      <c r="C131" s="32" t="s">
        <v>121</v>
      </c>
      <c r="D131" s="22">
        <f>E131</f>
        <v>10.272</v>
      </c>
      <c r="E131" s="22">
        <v>10.272</v>
      </c>
      <c r="F131" s="18"/>
      <c r="G131" s="18"/>
      <c r="H131" s="3"/>
    </row>
    <row r="132" spans="1:8" s="4" customFormat="1" ht="102">
      <c r="A132" s="103"/>
      <c r="B132" s="55" t="s">
        <v>221</v>
      </c>
      <c r="C132" s="61" t="s">
        <v>121</v>
      </c>
      <c r="D132" s="56">
        <f>E132</f>
        <v>1519.062</v>
      </c>
      <c r="E132" s="56">
        <f>1519.062</f>
        <v>1519.062</v>
      </c>
      <c r="F132" s="62"/>
      <c r="G132" s="62"/>
      <c r="H132" s="3"/>
    </row>
    <row r="133" spans="1:8" s="4" customFormat="1" ht="12.75">
      <c r="A133" s="101" t="s">
        <v>98</v>
      </c>
      <c r="B133" s="101"/>
      <c r="C133" s="101"/>
      <c r="D133" s="101"/>
      <c r="E133" s="101"/>
      <c r="F133" s="101"/>
      <c r="G133" s="101"/>
      <c r="H133" s="3"/>
    </row>
    <row r="134" spans="1:8" s="4" customFormat="1" ht="12.75">
      <c r="A134" s="102" t="s">
        <v>70</v>
      </c>
      <c r="B134" s="8"/>
      <c r="C134" s="3"/>
      <c r="D134" s="3"/>
      <c r="E134" s="3"/>
      <c r="F134" s="3"/>
      <c r="G134" s="3"/>
      <c r="H134" s="3"/>
    </row>
    <row r="135" spans="1:8" s="4" customFormat="1" ht="25.5">
      <c r="A135" s="103"/>
      <c r="B135" s="10" t="s">
        <v>48</v>
      </c>
      <c r="C135" s="6" t="s">
        <v>24</v>
      </c>
      <c r="D135" s="39">
        <f>E135+F135+G135</f>
        <v>297000</v>
      </c>
      <c r="E135" s="39">
        <v>99000</v>
      </c>
      <c r="F135" s="39">
        <v>99000</v>
      </c>
      <c r="G135" s="39">
        <v>99000</v>
      </c>
      <c r="H135" s="3"/>
    </row>
    <row r="136" spans="1:8" s="4" customFormat="1" ht="25.5">
      <c r="A136" s="104"/>
      <c r="B136" s="10" t="s">
        <v>164</v>
      </c>
      <c r="C136" s="3" t="s">
        <v>52</v>
      </c>
      <c r="D136" s="24">
        <f>E136+F136+G136</f>
        <v>3</v>
      </c>
      <c r="E136" s="3">
        <v>1</v>
      </c>
      <c r="F136" s="3">
        <v>1</v>
      </c>
      <c r="G136" s="3">
        <v>1</v>
      </c>
      <c r="H136" s="3"/>
    </row>
    <row r="137" spans="1:8" s="4" customFormat="1" ht="12.75">
      <c r="A137" s="102" t="s">
        <v>163</v>
      </c>
      <c r="B137" s="10"/>
      <c r="C137" s="3"/>
      <c r="D137" s="24"/>
      <c r="E137" s="3"/>
      <c r="F137" s="3"/>
      <c r="G137" s="3"/>
      <c r="H137" s="3"/>
    </row>
    <row r="138" spans="1:8" s="4" customFormat="1" ht="25.5">
      <c r="A138" s="104"/>
      <c r="B138" s="10" t="s">
        <v>166</v>
      </c>
      <c r="C138" s="3" t="s">
        <v>59</v>
      </c>
      <c r="D138" s="41">
        <f>E138+F138+G138</f>
        <v>49833</v>
      </c>
      <c r="E138" s="3">
        <v>16611</v>
      </c>
      <c r="F138" s="3">
        <v>16611</v>
      </c>
      <c r="G138" s="3">
        <v>16611</v>
      </c>
      <c r="H138" s="3"/>
    </row>
    <row r="139" spans="1:8" s="4" customFormat="1" ht="12.75">
      <c r="A139" s="102" t="s">
        <v>80</v>
      </c>
      <c r="B139" s="8"/>
      <c r="C139" s="3"/>
      <c r="D139" s="3"/>
      <c r="E139" s="3"/>
      <c r="F139" s="3"/>
      <c r="G139" s="3"/>
      <c r="H139" s="3"/>
    </row>
    <row r="140" spans="1:8" s="4" customFormat="1" ht="12.75">
      <c r="A140" s="103"/>
      <c r="B140" s="130" t="s">
        <v>26</v>
      </c>
      <c r="C140" s="3" t="s">
        <v>24</v>
      </c>
      <c r="D140" s="38">
        <f>E140+F140+G140</f>
        <v>616.588</v>
      </c>
      <c r="E140" s="3">
        <v>105.858</v>
      </c>
      <c r="F140" s="3">
        <v>255.365</v>
      </c>
      <c r="G140" s="3">
        <v>255.365</v>
      </c>
      <c r="H140" s="3"/>
    </row>
    <row r="141" spans="1:8" s="4" customFormat="1" ht="12.75">
      <c r="A141" s="103"/>
      <c r="B141" s="131"/>
      <c r="C141" s="6" t="s">
        <v>56</v>
      </c>
      <c r="D141" s="24">
        <f>E141+F141+G141</f>
        <v>2685</v>
      </c>
      <c r="E141" s="24">
        <v>895</v>
      </c>
      <c r="F141" s="24">
        <v>895</v>
      </c>
      <c r="G141" s="24">
        <v>895</v>
      </c>
      <c r="H141" s="3"/>
    </row>
    <row r="142" spans="1:8" s="4" customFormat="1" ht="25.5">
      <c r="A142" s="103"/>
      <c r="B142" s="10" t="s">
        <v>32</v>
      </c>
      <c r="C142" s="6" t="s">
        <v>24</v>
      </c>
      <c r="D142" s="39">
        <f>E142+F142+G142</f>
        <v>7890</v>
      </c>
      <c r="E142" s="24">
        <v>2630</v>
      </c>
      <c r="F142" s="24">
        <v>2630</v>
      </c>
      <c r="G142" s="24">
        <v>2630</v>
      </c>
      <c r="H142" s="3"/>
    </row>
    <row r="143" spans="1:8" s="4" customFormat="1" ht="51">
      <c r="A143" s="103"/>
      <c r="B143" s="10" t="s">
        <v>261</v>
      </c>
      <c r="C143" s="6" t="s">
        <v>52</v>
      </c>
      <c r="D143" s="24">
        <f>E143+F143+G143</f>
        <v>2</v>
      </c>
      <c r="E143" s="24">
        <v>2</v>
      </c>
      <c r="F143" s="24"/>
      <c r="G143" s="24"/>
      <c r="H143" s="3"/>
    </row>
    <row r="144" spans="1:8" s="4" customFormat="1" ht="12.75">
      <c r="A144" s="117" t="s">
        <v>89</v>
      </c>
      <c r="B144" s="10"/>
      <c r="C144" s="3"/>
      <c r="D144" s="3"/>
      <c r="E144" s="3"/>
      <c r="F144" s="3"/>
      <c r="G144" s="3"/>
      <c r="H144" s="3"/>
    </row>
    <row r="145" spans="1:8" s="4" customFormat="1" ht="25.5">
      <c r="A145" s="117"/>
      <c r="B145" s="10" t="s">
        <v>33</v>
      </c>
      <c r="C145" s="6" t="s">
        <v>57</v>
      </c>
      <c r="D145" s="6">
        <f>E145+F145+G145</f>
        <v>177</v>
      </c>
      <c r="E145" s="6">
        <v>59</v>
      </c>
      <c r="F145" s="6">
        <v>59</v>
      </c>
      <c r="G145" s="6">
        <v>59</v>
      </c>
      <c r="H145" s="3"/>
    </row>
    <row r="146" spans="1:8" s="4" customFormat="1" ht="12.75">
      <c r="A146" s="117"/>
      <c r="B146" s="10" t="s">
        <v>34</v>
      </c>
      <c r="C146" s="6" t="s">
        <v>58</v>
      </c>
      <c r="D146" s="6">
        <f>E146+F146+G146</f>
        <v>1656.42</v>
      </c>
      <c r="E146" s="6">
        <v>552.14</v>
      </c>
      <c r="F146" s="6">
        <v>552.14</v>
      </c>
      <c r="G146" s="6">
        <v>552.14</v>
      </c>
      <c r="H146" s="3"/>
    </row>
    <row r="147" spans="1:8" s="4" customFormat="1" ht="12.75">
      <c r="A147" s="117" t="s">
        <v>88</v>
      </c>
      <c r="B147" s="10"/>
      <c r="C147" s="3"/>
      <c r="D147" s="3"/>
      <c r="E147" s="3"/>
      <c r="F147" s="3"/>
      <c r="G147" s="3"/>
      <c r="H147" s="3"/>
    </row>
    <row r="148" spans="1:8" s="4" customFormat="1" ht="26.25" customHeight="1">
      <c r="A148" s="117"/>
      <c r="B148" s="10" t="s">
        <v>35</v>
      </c>
      <c r="C148" s="6" t="s">
        <v>25</v>
      </c>
      <c r="D148" s="39">
        <f>E148+F148+G148</f>
        <v>20.580000000000002</v>
      </c>
      <c r="E148" s="39">
        <v>6.86</v>
      </c>
      <c r="F148" s="39">
        <v>6.86</v>
      </c>
      <c r="G148" s="39">
        <v>6.86</v>
      </c>
      <c r="H148" s="3"/>
    </row>
    <row r="149" spans="1:8" s="4" customFormat="1" ht="12.75">
      <c r="A149" s="108" t="s">
        <v>192</v>
      </c>
      <c r="B149" s="10"/>
      <c r="C149" s="6"/>
      <c r="D149" s="39"/>
      <c r="E149" s="39"/>
      <c r="F149" s="39"/>
      <c r="G149" s="39"/>
      <c r="H149" s="3"/>
    </row>
    <row r="150" spans="1:8" s="4" customFormat="1" ht="25.5">
      <c r="A150" s="109"/>
      <c r="B150" s="8" t="s">
        <v>191</v>
      </c>
      <c r="C150" s="6" t="s">
        <v>24</v>
      </c>
      <c r="D150" s="24">
        <f>E150+F150+G150</f>
        <v>371487</v>
      </c>
      <c r="E150" s="24">
        <v>123829</v>
      </c>
      <c r="F150" s="24">
        <v>123829</v>
      </c>
      <c r="G150" s="24">
        <v>123829</v>
      </c>
      <c r="H150" s="3"/>
    </row>
    <row r="151" spans="1:8" s="4" customFormat="1" ht="12.75">
      <c r="A151" s="108" t="s">
        <v>138</v>
      </c>
      <c r="B151" s="10"/>
      <c r="C151" s="6"/>
      <c r="D151" s="39"/>
      <c r="E151" s="39"/>
      <c r="F151" s="39"/>
      <c r="G151" s="39"/>
      <c r="H151" s="3"/>
    </row>
    <row r="152" spans="1:8" s="4" customFormat="1" ht="25.5">
      <c r="A152" s="109"/>
      <c r="B152" s="8" t="s">
        <v>181</v>
      </c>
      <c r="C152" s="6" t="s">
        <v>121</v>
      </c>
      <c r="D152" s="38">
        <f>E152+F152+G152</f>
        <v>181.109</v>
      </c>
      <c r="E152" s="9">
        <f>114.801+66.308</f>
        <v>181.109</v>
      </c>
      <c r="F152" s="39"/>
      <c r="G152" s="39"/>
      <c r="H152" s="3"/>
    </row>
    <row r="153" spans="1:8" s="4" customFormat="1" ht="12.75">
      <c r="A153" s="101" t="s">
        <v>99</v>
      </c>
      <c r="B153" s="101"/>
      <c r="C153" s="101"/>
      <c r="D153" s="101"/>
      <c r="E153" s="101"/>
      <c r="F153" s="101"/>
      <c r="G153" s="101"/>
      <c r="H153" s="3"/>
    </row>
    <row r="154" spans="1:8" s="4" customFormat="1" ht="12.75">
      <c r="A154" s="117" t="s">
        <v>70</v>
      </c>
      <c r="B154" s="10"/>
      <c r="C154" s="3"/>
      <c r="D154" s="3"/>
      <c r="E154" s="3"/>
      <c r="F154" s="3"/>
      <c r="G154" s="3"/>
      <c r="H154" s="3"/>
    </row>
    <row r="155" spans="1:8" s="4" customFormat="1" ht="25.5">
      <c r="A155" s="117"/>
      <c r="B155" s="10" t="s">
        <v>37</v>
      </c>
      <c r="C155" s="6" t="s">
        <v>24</v>
      </c>
      <c r="D155" s="19">
        <f>E155+F155+G155</f>
        <v>165747.41999999998</v>
      </c>
      <c r="E155" s="19">
        <v>54600</v>
      </c>
      <c r="F155" s="19">
        <v>55573.71</v>
      </c>
      <c r="G155" s="19">
        <v>55573.71</v>
      </c>
      <c r="H155" s="3"/>
    </row>
    <row r="156" spans="1:8" s="4" customFormat="1" ht="12.75">
      <c r="A156" s="117"/>
      <c r="B156" s="130" t="s">
        <v>48</v>
      </c>
      <c r="C156" s="6" t="s">
        <v>54</v>
      </c>
      <c r="D156" s="6">
        <f>E156+F156+G156</f>
        <v>60.637</v>
      </c>
      <c r="E156" s="9">
        <v>16.513</v>
      </c>
      <c r="F156" s="9">
        <v>22.062</v>
      </c>
      <c r="G156" s="9">
        <v>22.062</v>
      </c>
      <c r="H156" s="3"/>
    </row>
    <row r="157" spans="1:8" s="4" customFormat="1" ht="12.75">
      <c r="A157" s="117"/>
      <c r="B157" s="131"/>
      <c r="C157" s="6" t="s">
        <v>248</v>
      </c>
      <c r="D157" s="6">
        <f>E157+F157+G157</f>
        <v>121.156</v>
      </c>
      <c r="E157" s="9">
        <v>121.156</v>
      </c>
      <c r="F157" s="18"/>
      <c r="G157" s="18"/>
      <c r="H157" s="3"/>
    </row>
    <row r="158" spans="1:8" s="4" customFormat="1" ht="12.75">
      <c r="A158" s="102" t="s">
        <v>80</v>
      </c>
      <c r="B158" s="8"/>
      <c r="C158" s="6"/>
      <c r="D158" s="6"/>
      <c r="E158" s="18"/>
      <c r="F158" s="18"/>
      <c r="G158" s="18"/>
      <c r="H158" s="3"/>
    </row>
    <row r="159" spans="1:8" s="4" customFormat="1" ht="25.5">
      <c r="A159" s="103"/>
      <c r="B159" s="10" t="s">
        <v>26</v>
      </c>
      <c r="C159" s="6" t="s">
        <v>24</v>
      </c>
      <c r="D159" s="46">
        <f>E159+F159+G159</f>
        <v>804</v>
      </c>
      <c r="E159" s="46">
        <v>268</v>
      </c>
      <c r="F159" s="46">
        <v>268</v>
      </c>
      <c r="G159" s="46">
        <v>268</v>
      </c>
      <c r="H159" s="3"/>
    </row>
    <row r="160" spans="1:8" s="4" customFormat="1" ht="38.25">
      <c r="A160" s="103"/>
      <c r="B160" s="21" t="s">
        <v>195</v>
      </c>
      <c r="C160" s="32" t="s">
        <v>24</v>
      </c>
      <c r="D160" s="32">
        <f>E160+F160+G160</f>
        <v>302.46</v>
      </c>
      <c r="E160" s="63">
        <v>100.82</v>
      </c>
      <c r="F160" s="63">
        <v>100.82</v>
      </c>
      <c r="G160" s="63">
        <v>100.82</v>
      </c>
      <c r="H160" s="3"/>
    </row>
    <row r="161" spans="1:8" s="4" customFormat="1" ht="25.5">
      <c r="A161" s="103"/>
      <c r="B161" s="10" t="s">
        <v>227</v>
      </c>
      <c r="C161" s="6" t="s">
        <v>24</v>
      </c>
      <c r="D161" s="6">
        <f aca="true" t="shared" si="2" ref="D161:D166">E161+F161+G161</f>
        <v>2005.6800000000003</v>
      </c>
      <c r="E161" s="19">
        <v>190</v>
      </c>
      <c r="F161" s="19">
        <v>907.84</v>
      </c>
      <c r="G161" s="19">
        <v>907.84</v>
      </c>
      <c r="H161" s="3"/>
    </row>
    <row r="162" spans="1:8" s="4" customFormat="1" ht="38.25">
      <c r="A162" s="103"/>
      <c r="B162" s="21" t="s">
        <v>195</v>
      </c>
      <c r="C162" s="32" t="s">
        <v>24</v>
      </c>
      <c r="D162" s="64">
        <f t="shared" si="2"/>
        <v>570</v>
      </c>
      <c r="E162" s="64">
        <v>190</v>
      </c>
      <c r="F162" s="64">
        <v>190</v>
      </c>
      <c r="G162" s="64">
        <v>190</v>
      </c>
      <c r="H162" s="3"/>
    </row>
    <row r="163" spans="1:8" s="4" customFormat="1" ht="38.25">
      <c r="A163" s="103"/>
      <c r="B163" s="10" t="s">
        <v>228</v>
      </c>
      <c r="C163" s="6" t="s">
        <v>52</v>
      </c>
      <c r="D163" s="6">
        <f t="shared" si="2"/>
        <v>202</v>
      </c>
      <c r="E163" s="18">
        <v>122</v>
      </c>
      <c r="F163" s="18">
        <v>40</v>
      </c>
      <c r="G163" s="18">
        <v>40</v>
      </c>
      <c r="H163" s="3"/>
    </row>
    <row r="164" spans="1:8" s="4" customFormat="1" ht="25.5">
      <c r="A164" s="103"/>
      <c r="B164" s="10" t="s">
        <v>39</v>
      </c>
      <c r="C164" s="6" t="s">
        <v>24</v>
      </c>
      <c r="D164" s="6">
        <f t="shared" si="2"/>
        <v>1383.219</v>
      </c>
      <c r="E164" s="9">
        <v>461.073</v>
      </c>
      <c r="F164" s="9">
        <v>461.073</v>
      </c>
      <c r="G164" s="9">
        <v>461.073</v>
      </c>
      <c r="H164" s="3"/>
    </row>
    <row r="165" spans="1:8" s="4" customFormat="1" ht="25.5">
      <c r="A165" s="103"/>
      <c r="B165" s="10" t="s">
        <v>229</v>
      </c>
      <c r="C165" s="6" t="s">
        <v>52</v>
      </c>
      <c r="D165" s="6">
        <f t="shared" si="2"/>
        <v>31</v>
      </c>
      <c r="E165" s="18">
        <v>27</v>
      </c>
      <c r="F165" s="18">
        <v>2</v>
      </c>
      <c r="G165" s="18">
        <v>2</v>
      </c>
      <c r="H165" s="3"/>
    </row>
    <row r="166" spans="1:8" s="4" customFormat="1" ht="38.25">
      <c r="A166" s="104"/>
      <c r="B166" s="21" t="s">
        <v>195</v>
      </c>
      <c r="C166" s="32" t="s">
        <v>52</v>
      </c>
      <c r="D166" s="32">
        <f t="shared" si="2"/>
        <v>31</v>
      </c>
      <c r="E166" s="54">
        <v>27</v>
      </c>
      <c r="F166" s="54">
        <v>2</v>
      </c>
      <c r="G166" s="54">
        <v>2</v>
      </c>
      <c r="H166" s="3"/>
    </row>
    <row r="167" spans="1:8" s="4" customFormat="1" ht="12.75">
      <c r="A167" s="117" t="s">
        <v>89</v>
      </c>
      <c r="B167" s="8"/>
      <c r="C167" s="3"/>
      <c r="D167" s="3"/>
      <c r="E167" s="3"/>
      <c r="F167" s="3"/>
      <c r="G167" s="3"/>
      <c r="H167" s="3"/>
    </row>
    <row r="168" spans="1:8" s="4" customFormat="1" ht="25.5">
      <c r="A168" s="117"/>
      <c r="B168" s="10" t="s">
        <v>33</v>
      </c>
      <c r="C168" s="6" t="s">
        <v>57</v>
      </c>
      <c r="D168" s="6">
        <f>E168+F168+G168</f>
        <v>216</v>
      </c>
      <c r="E168" s="6">
        <v>72</v>
      </c>
      <c r="F168" s="6">
        <v>72</v>
      </c>
      <c r="G168" s="6">
        <v>72</v>
      </c>
      <c r="H168" s="3"/>
    </row>
    <row r="169" spans="1:8" s="4" customFormat="1" ht="12.75">
      <c r="A169" s="117"/>
      <c r="B169" s="10" t="s">
        <v>139</v>
      </c>
      <c r="C169" s="6" t="s">
        <v>58</v>
      </c>
      <c r="D169" s="6">
        <f>E169+F169+G169</f>
        <v>777.597</v>
      </c>
      <c r="E169" s="6">
        <v>259.199</v>
      </c>
      <c r="F169" s="6">
        <v>259.199</v>
      </c>
      <c r="G169" s="6">
        <v>259.199</v>
      </c>
      <c r="H169" s="3"/>
    </row>
    <row r="170" spans="1:8" s="4" customFormat="1" ht="25.5">
      <c r="A170" s="117"/>
      <c r="B170" s="10" t="s">
        <v>140</v>
      </c>
      <c r="C170" s="6" t="s">
        <v>24</v>
      </c>
      <c r="D170" s="6">
        <f>E170+F170+G170</f>
        <v>724250.13</v>
      </c>
      <c r="E170" s="6">
        <v>241416.71</v>
      </c>
      <c r="F170" s="6">
        <v>241416.71</v>
      </c>
      <c r="G170" s="6">
        <v>241416.71</v>
      </c>
      <c r="H170" s="3"/>
    </row>
    <row r="171" spans="1:8" s="4" customFormat="1" ht="25.5">
      <c r="A171" s="102" t="s">
        <v>88</v>
      </c>
      <c r="B171" s="10" t="s">
        <v>247</v>
      </c>
      <c r="C171" s="6" t="s">
        <v>52</v>
      </c>
      <c r="D171" s="6">
        <f>E171+F171+G171</f>
        <v>2</v>
      </c>
      <c r="E171" s="6">
        <v>2</v>
      </c>
      <c r="F171" s="6"/>
      <c r="G171" s="6"/>
      <c r="H171" s="3"/>
    </row>
    <row r="172" spans="1:8" s="4" customFormat="1" ht="25.5">
      <c r="A172" s="104"/>
      <c r="B172" s="10" t="s">
        <v>263</v>
      </c>
      <c r="C172" s="6" t="s">
        <v>52</v>
      </c>
      <c r="D172" s="6">
        <f>E172+F172+G172</f>
        <v>1</v>
      </c>
      <c r="E172" s="6">
        <v>1</v>
      </c>
      <c r="F172" s="6"/>
      <c r="G172" s="6"/>
      <c r="H172" s="3"/>
    </row>
    <row r="173" spans="1:8" s="4" customFormat="1" ht="12.75">
      <c r="A173" s="100" t="s">
        <v>130</v>
      </c>
      <c r="B173" s="10"/>
      <c r="C173" s="6"/>
      <c r="D173" s="6"/>
      <c r="E173" s="6"/>
      <c r="F173" s="6"/>
      <c r="G173" s="6"/>
      <c r="H173" s="3"/>
    </row>
    <row r="174" spans="1:8" s="4" customFormat="1" ht="25.5">
      <c r="A174" s="100"/>
      <c r="B174" s="8" t="s">
        <v>181</v>
      </c>
      <c r="C174" s="6" t="s">
        <v>121</v>
      </c>
      <c r="D174" s="6">
        <f>E174</f>
        <v>719.3100000000001</v>
      </c>
      <c r="E174" s="9">
        <f>652.71+66.6</f>
        <v>719.3100000000001</v>
      </c>
      <c r="F174" s="6"/>
      <c r="G174" s="6"/>
      <c r="H174" s="3"/>
    </row>
    <row r="175" spans="1:8" s="4" customFormat="1" ht="12.75">
      <c r="A175" s="101" t="s">
        <v>100</v>
      </c>
      <c r="B175" s="101"/>
      <c r="C175" s="101"/>
      <c r="D175" s="101"/>
      <c r="E175" s="101"/>
      <c r="F175" s="101"/>
      <c r="G175" s="101"/>
      <c r="H175" s="3"/>
    </row>
    <row r="176" spans="1:8" s="4" customFormat="1" ht="12.75">
      <c r="A176" s="102" t="s">
        <v>70</v>
      </c>
      <c r="B176" s="10"/>
      <c r="C176" s="3"/>
      <c r="D176" s="3"/>
      <c r="E176" s="3"/>
      <c r="F176" s="3"/>
      <c r="G176" s="3"/>
      <c r="H176" s="3"/>
    </row>
    <row r="177" spans="1:8" s="4" customFormat="1" ht="25.5">
      <c r="A177" s="103"/>
      <c r="B177" s="10" t="s">
        <v>37</v>
      </c>
      <c r="C177" s="6" t="s">
        <v>24</v>
      </c>
      <c r="D177" s="18">
        <f>E177+F177+G177</f>
        <v>121889.25</v>
      </c>
      <c r="E177" s="19">
        <v>36889.25</v>
      </c>
      <c r="F177" s="18">
        <v>40000</v>
      </c>
      <c r="G177" s="18">
        <v>45000</v>
      </c>
      <c r="H177" s="3"/>
    </row>
    <row r="178" spans="1:8" s="4" customFormat="1" ht="38.25">
      <c r="A178" s="103"/>
      <c r="B178" s="21" t="s">
        <v>195</v>
      </c>
      <c r="C178" s="32" t="s">
        <v>24</v>
      </c>
      <c r="D178" s="63">
        <f>E178+F178+G178</f>
        <v>360.215</v>
      </c>
      <c r="E178" s="32">
        <v>360.215</v>
      </c>
      <c r="F178" s="32">
        <v>0</v>
      </c>
      <c r="G178" s="32">
        <v>0</v>
      </c>
      <c r="H178" s="3"/>
    </row>
    <row r="179" spans="1:8" s="4" customFormat="1" ht="25.5">
      <c r="A179" s="103"/>
      <c r="B179" s="10" t="s">
        <v>48</v>
      </c>
      <c r="C179" s="6" t="s">
        <v>24</v>
      </c>
      <c r="D179" s="6">
        <f>E179+F179+G179</f>
        <v>710000</v>
      </c>
      <c r="E179" s="6">
        <v>210000</v>
      </c>
      <c r="F179" s="6">
        <v>250000</v>
      </c>
      <c r="G179" s="6">
        <v>250000</v>
      </c>
      <c r="H179" s="3"/>
    </row>
    <row r="180" spans="1:8" s="4" customFormat="1" ht="25.5">
      <c r="A180" s="103"/>
      <c r="B180" s="10" t="s">
        <v>128</v>
      </c>
      <c r="C180" s="6" t="s">
        <v>52</v>
      </c>
      <c r="D180" s="6">
        <f>E180+F180+G180</f>
        <v>21</v>
      </c>
      <c r="E180" s="6">
        <v>7</v>
      </c>
      <c r="F180" s="6">
        <v>7</v>
      </c>
      <c r="G180" s="6">
        <v>7</v>
      </c>
      <c r="H180" s="3"/>
    </row>
    <row r="181" spans="1:8" s="4" customFormat="1" ht="25.5">
      <c r="A181" s="104"/>
      <c r="B181" s="10" t="s">
        <v>164</v>
      </c>
      <c r="C181" s="3" t="s">
        <v>52</v>
      </c>
      <c r="D181" s="24">
        <f>E181+F181+G181</f>
        <v>3</v>
      </c>
      <c r="E181" s="3">
        <v>1</v>
      </c>
      <c r="F181" s="3">
        <v>1</v>
      </c>
      <c r="G181" s="3">
        <v>1</v>
      </c>
      <c r="H181" s="3"/>
    </row>
    <row r="182" spans="1:8" s="4" customFormat="1" ht="12.75">
      <c r="A182" s="102" t="s">
        <v>163</v>
      </c>
      <c r="B182" s="10"/>
      <c r="C182" s="3"/>
      <c r="D182" s="24"/>
      <c r="E182" s="3"/>
      <c r="F182" s="3"/>
      <c r="G182" s="3"/>
      <c r="H182" s="3"/>
    </row>
    <row r="183" spans="1:8" s="4" customFormat="1" ht="25.5">
      <c r="A183" s="104"/>
      <c r="B183" s="10" t="s">
        <v>165</v>
      </c>
      <c r="C183" s="3" t="s">
        <v>59</v>
      </c>
      <c r="D183" s="41">
        <f>E183+F183+G183</f>
        <v>48000</v>
      </c>
      <c r="E183" s="3">
        <v>16000</v>
      </c>
      <c r="F183" s="3">
        <v>16000</v>
      </c>
      <c r="G183" s="3">
        <v>16000</v>
      </c>
      <c r="H183" s="3"/>
    </row>
    <row r="184" spans="1:8" s="4" customFormat="1" ht="12.75">
      <c r="A184" s="117" t="s">
        <v>71</v>
      </c>
      <c r="B184" s="10"/>
      <c r="C184" s="3"/>
      <c r="D184" s="3"/>
      <c r="E184" s="3"/>
      <c r="F184" s="3"/>
      <c r="G184" s="3"/>
      <c r="H184" s="3"/>
    </row>
    <row r="185" spans="1:8" s="4" customFormat="1" ht="12.75">
      <c r="A185" s="117"/>
      <c r="B185" s="10" t="s">
        <v>136</v>
      </c>
      <c r="C185" s="6" t="s">
        <v>53</v>
      </c>
      <c r="D185" s="9">
        <f>E185+F185+G185</f>
        <v>10818</v>
      </c>
      <c r="E185" s="18">
        <v>3606</v>
      </c>
      <c r="F185" s="18">
        <v>3606</v>
      </c>
      <c r="G185" s="18">
        <v>3606</v>
      </c>
      <c r="H185" s="3"/>
    </row>
    <row r="186" spans="1:8" s="4" customFormat="1" ht="12.75">
      <c r="A186" s="117" t="s">
        <v>80</v>
      </c>
      <c r="B186" s="10"/>
      <c r="C186" s="3"/>
      <c r="D186" s="3"/>
      <c r="E186" s="3"/>
      <c r="F186" s="3"/>
      <c r="G186" s="3"/>
      <c r="H186" s="3"/>
    </row>
    <row r="187" spans="1:8" s="4" customFormat="1" ht="12.75">
      <c r="A187" s="117"/>
      <c r="B187" s="49" t="s">
        <v>240</v>
      </c>
      <c r="C187" s="6" t="s">
        <v>56</v>
      </c>
      <c r="D187" s="6">
        <f>E187+F187+G187</f>
        <v>75.83</v>
      </c>
      <c r="E187" s="6">
        <v>10.83</v>
      </c>
      <c r="F187" s="46">
        <v>25</v>
      </c>
      <c r="G187" s="46">
        <v>40</v>
      </c>
      <c r="H187" s="3"/>
    </row>
    <row r="188" spans="1:8" s="4" customFormat="1" ht="24">
      <c r="A188" s="117"/>
      <c r="B188" s="49" t="s">
        <v>241</v>
      </c>
      <c r="C188" s="6" t="s">
        <v>24</v>
      </c>
      <c r="D188" s="6">
        <f>E188+F188+G188</f>
        <v>256.83</v>
      </c>
      <c r="E188" s="6">
        <v>81.83</v>
      </c>
      <c r="F188" s="46">
        <v>85</v>
      </c>
      <c r="G188" s="46">
        <v>90</v>
      </c>
      <c r="H188" s="3"/>
    </row>
    <row r="189" spans="1:8" s="4" customFormat="1" ht="25.5">
      <c r="A189" s="117"/>
      <c r="B189" s="10" t="s">
        <v>229</v>
      </c>
      <c r="C189" s="6" t="s">
        <v>52</v>
      </c>
      <c r="D189" s="24">
        <f>E189+F189+G189</f>
        <v>190</v>
      </c>
      <c r="E189" s="6">
        <v>40</v>
      </c>
      <c r="F189" s="24">
        <v>60</v>
      </c>
      <c r="G189" s="24">
        <v>90</v>
      </c>
      <c r="H189" s="3"/>
    </row>
    <row r="190" spans="1:8" s="4" customFormat="1" ht="38.25">
      <c r="A190" s="117"/>
      <c r="B190" s="10" t="s">
        <v>230</v>
      </c>
      <c r="C190" s="6" t="s">
        <v>24</v>
      </c>
      <c r="D190" s="38">
        <f>E190+F190+G190</f>
        <v>4898.499</v>
      </c>
      <c r="E190" s="6">
        <v>1598.499</v>
      </c>
      <c r="F190" s="46">
        <v>1600</v>
      </c>
      <c r="G190" s="46">
        <v>1700</v>
      </c>
      <c r="H190" s="3"/>
    </row>
    <row r="191" spans="1:8" s="4" customFormat="1" ht="12.75">
      <c r="A191" s="117" t="s">
        <v>89</v>
      </c>
      <c r="B191" s="10"/>
      <c r="C191" s="3"/>
      <c r="D191" s="3"/>
      <c r="E191" s="3"/>
      <c r="F191" s="3"/>
      <c r="G191" s="3"/>
      <c r="H191" s="3"/>
    </row>
    <row r="192" spans="1:8" s="4" customFormat="1" ht="25.5">
      <c r="A192" s="117"/>
      <c r="B192" s="10" t="s">
        <v>33</v>
      </c>
      <c r="C192" s="6" t="s">
        <v>57</v>
      </c>
      <c r="D192" s="6">
        <f>E192+F192+G192</f>
        <v>150</v>
      </c>
      <c r="E192" s="6">
        <v>50</v>
      </c>
      <c r="F192" s="6">
        <v>50</v>
      </c>
      <c r="G192" s="6">
        <v>50</v>
      </c>
      <c r="H192" s="3"/>
    </row>
    <row r="193" spans="1:8" s="4" customFormat="1" ht="12.75">
      <c r="A193" s="117"/>
      <c r="B193" s="10" t="s">
        <v>34</v>
      </c>
      <c r="C193" s="6" t="s">
        <v>58</v>
      </c>
      <c r="D193" s="6">
        <f>E193+F193+G193</f>
        <v>528.588</v>
      </c>
      <c r="E193" s="6">
        <v>168.588</v>
      </c>
      <c r="F193" s="6">
        <v>170</v>
      </c>
      <c r="G193" s="6">
        <v>190</v>
      </c>
      <c r="H193" s="3"/>
    </row>
    <row r="194" spans="1:8" s="4" customFormat="1" ht="12.75">
      <c r="A194" s="100" t="s">
        <v>88</v>
      </c>
      <c r="B194" s="10"/>
      <c r="C194" s="6"/>
      <c r="D194" s="6"/>
      <c r="E194" s="6"/>
      <c r="F194" s="6"/>
      <c r="G194" s="6"/>
      <c r="H194" s="3"/>
    </row>
    <row r="195" spans="1:8" s="4" customFormat="1" ht="25.5">
      <c r="A195" s="100"/>
      <c r="B195" s="10" t="s">
        <v>231</v>
      </c>
      <c r="C195" s="6" t="s">
        <v>52</v>
      </c>
      <c r="D195" s="6">
        <f>E195+F195+G195</f>
        <v>3800</v>
      </c>
      <c r="E195" s="6">
        <v>3800</v>
      </c>
      <c r="F195" s="6"/>
      <c r="G195" s="6"/>
      <c r="H195" s="3"/>
    </row>
    <row r="196" spans="1:8" s="4" customFormat="1" ht="25.5">
      <c r="A196" s="100"/>
      <c r="B196" s="10" t="s">
        <v>247</v>
      </c>
      <c r="C196" s="6" t="s">
        <v>52</v>
      </c>
      <c r="D196" s="6">
        <f>E196+F196+G196</f>
        <v>1</v>
      </c>
      <c r="E196" s="6">
        <v>1</v>
      </c>
      <c r="F196" s="6"/>
      <c r="G196" s="6"/>
      <c r="H196" s="3"/>
    </row>
    <row r="197" spans="1:8" s="4" customFormat="1" ht="12.75">
      <c r="A197" s="102" t="s">
        <v>87</v>
      </c>
      <c r="B197" s="10"/>
      <c r="C197" s="6"/>
      <c r="D197" s="6"/>
      <c r="E197" s="6"/>
      <c r="F197" s="6"/>
      <c r="G197" s="6"/>
      <c r="H197" s="3"/>
    </row>
    <row r="198" spans="1:8" s="4" customFormat="1" ht="25.5">
      <c r="A198" s="104"/>
      <c r="B198" s="8" t="s">
        <v>193</v>
      </c>
      <c r="C198" s="6" t="s">
        <v>52</v>
      </c>
      <c r="D198" s="6">
        <f>E198+F198+G198</f>
        <v>1</v>
      </c>
      <c r="E198" s="6">
        <v>1</v>
      </c>
      <c r="F198" s="6"/>
      <c r="G198" s="6"/>
      <c r="H198" s="3"/>
    </row>
    <row r="199" spans="1:8" s="4" customFormat="1" ht="12.75">
      <c r="A199" s="100" t="s">
        <v>130</v>
      </c>
      <c r="B199" s="10"/>
      <c r="C199" s="6"/>
      <c r="D199" s="6"/>
      <c r="E199" s="6"/>
      <c r="F199" s="6"/>
      <c r="G199" s="6"/>
      <c r="H199" s="3"/>
    </row>
    <row r="200" spans="1:8" s="4" customFormat="1" ht="25.5">
      <c r="A200" s="100"/>
      <c r="B200" s="8" t="s">
        <v>181</v>
      </c>
      <c r="C200" s="6" t="s">
        <v>121</v>
      </c>
      <c r="D200" s="9">
        <f>E200</f>
        <v>417.214</v>
      </c>
      <c r="E200" s="9">
        <f>400.528+16.686</f>
        <v>417.214</v>
      </c>
      <c r="F200" s="6"/>
      <c r="G200" s="6"/>
      <c r="H200" s="3"/>
    </row>
    <row r="201" spans="1:8" s="4" customFormat="1" ht="38.25">
      <c r="A201" s="100"/>
      <c r="B201" s="21" t="s">
        <v>195</v>
      </c>
      <c r="C201" s="32" t="s">
        <v>121</v>
      </c>
      <c r="D201" s="40">
        <f>E201</f>
        <v>9.33</v>
      </c>
      <c r="E201" s="22">
        <v>9.33</v>
      </c>
      <c r="F201" s="32"/>
      <c r="G201" s="32"/>
      <c r="H201" s="3"/>
    </row>
    <row r="202" spans="1:8" s="4" customFormat="1" ht="12.75">
      <c r="A202" s="101" t="s">
        <v>101</v>
      </c>
      <c r="B202" s="101"/>
      <c r="C202" s="101"/>
      <c r="D202" s="101"/>
      <c r="E202" s="101"/>
      <c r="F202" s="101"/>
      <c r="G202" s="101"/>
      <c r="H202" s="3"/>
    </row>
    <row r="203" spans="1:8" s="4" customFormat="1" ht="12.75">
      <c r="A203" s="102" t="s">
        <v>70</v>
      </c>
      <c r="B203" s="10"/>
      <c r="C203" s="3"/>
      <c r="D203" s="3"/>
      <c r="E203" s="3"/>
      <c r="F203" s="3"/>
      <c r="G203" s="3"/>
      <c r="H203" s="3"/>
    </row>
    <row r="204" spans="1:8" s="4" customFormat="1" ht="25.5">
      <c r="A204" s="103"/>
      <c r="B204" s="8" t="s">
        <v>37</v>
      </c>
      <c r="C204" s="6" t="s">
        <v>24</v>
      </c>
      <c r="D204" s="24">
        <f>E204+F204+G204</f>
        <v>96510.33</v>
      </c>
      <c r="E204" s="65">
        <v>14683.058</v>
      </c>
      <c r="F204" s="65">
        <v>40913.636</v>
      </c>
      <c r="G204" s="65">
        <v>40913.636</v>
      </c>
      <c r="H204" s="3"/>
    </row>
    <row r="205" spans="1:8" s="4" customFormat="1" ht="12.75">
      <c r="A205" s="103"/>
      <c r="B205" s="127" t="s">
        <v>161</v>
      </c>
      <c r="C205" s="6" t="s">
        <v>54</v>
      </c>
      <c r="D205" s="6">
        <f>E205+F205+G205</f>
        <v>88.005</v>
      </c>
      <c r="E205" s="6">
        <v>18.005</v>
      </c>
      <c r="F205" s="6">
        <v>35</v>
      </c>
      <c r="G205" s="6">
        <v>35</v>
      </c>
      <c r="H205" s="3"/>
    </row>
    <row r="206" spans="1:8" s="4" customFormat="1" ht="12.75">
      <c r="A206" s="103"/>
      <c r="B206" s="127"/>
      <c r="C206" s="6" t="s">
        <v>52</v>
      </c>
      <c r="D206" s="6">
        <f>E206+F206+G206</f>
        <v>65</v>
      </c>
      <c r="E206" s="66">
        <v>5</v>
      </c>
      <c r="F206" s="66">
        <v>30</v>
      </c>
      <c r="G206" s="66">
        <v>30</v>
      </c>
      <c r="H206" s="3"/>
    </row>
    <row r="207" spans="1:8" s="4" customFormat="1" ht="12.75">
      <c r="A207" s="103"/>
      <c r="B207" s="10" t="s">
        <v>38</v>
      </c>
      <c r="C207" s="6" t="s">
        <v>52</v>
      </c>
      <c r="D207" s="6">
        <f>E207+F207+G207</f>
        <v>11</v>
      </c>
      <c r="E207" s="67">
        <v>3</v>
      </c>
      <c r="F207" s="67">
        <v>4</v>
      </c>
      <c r="G207" s="67">
        <v>4</v>
      </c>
      <c r="H207" s="3"/>
    </row>
    <row r="208" spans="1:8" s="4" customFormat="1" ht="12.75">
      <c r="A208" s="117" t="s">
        <v>80</v>
      </c>
      <c r="B208" s="8"/>
      <c r="C208" s="3"/>
      <c r="D208" s="3"/>
      <c r="E208" s="3"/>
      <c r="F208" s="3"/>
      <c r="G208" s="3"/>
      <c r="H208" s="3"/>
    </row>
    <row r="209" spans="1:8" s="4" customFormat="1" ht="38.25">
      <c r="A209" s="117"/>
      <c r="B209" s="10" t="s">
        <v>47</v>
      </c>
      <c r="C209" s="6" t="s">
        <v>52</v>
      </c>
      <c r="D209" s="6">
        <f>E209+F209+G209</f>
        <v>256</v>
      </c>
      <c r="E209" s="67">
        <v>158</v>
      </c>
      <c r="F209" s="67">
        <v>49</v>
      </c>
      <c r="G209" s="67">
        <v>49</v>
      </c>
      <c r="H209" s="3"/>
    </row>
    <row r="210" spans="1:8" s="4" customFormat="1" ht="25.5">
      <c r="A210" s="117"/>
      <c r="B210" s="10" t="s">
        <v>196</v>
      </c>
      <c r="C210" s="6" t="s">
        <v>24</v>
      </c>
      <c r="D210" s="24">
        <f>E210+F210+G210</f>
        <v>5445</v>
      </c>
      <c r="E210" s="24">
        <v>1815</v>
      </c>
      <c r="F210" s="24">
        <v>1815</v>
      </c>
      <c r="G210" s="24">
        <v>1815</v>
      </c>
      <c r="H210" s="3"/>
    </row>
    <row r="211" spans="1:8" s="4" customFormat="1" ht="25.5">
      <c r="A211" s="117"/>
      <c r="B211" s="10" t="s">
        <v>39</v>
      </c>
      <c r="C211" s="67" t="s">
        <v>24</v>
      </c>
      <c r="D211" s="6">
        <f>E211+F211+G211</f>
        <v>7248.968</v>
      </c>
      <c r="E211" s="67">
        <v>2946.906</v>
      </c>
      <c r="F211" s="67">
        <v>2151.031</v>
      </c>
      <c r="G211" s="67">
        <v>2151.031</v>
      </c>
      <c r="H211" s="3"/>
    </row>
    <row r="212" spans="1:8" s="4" customFormat="1" ht="12.75">
      <c r="A212" s="117" t="s">
        <v>89</v>
      </c>
      <c r="B212" s="8"/>
      <c r="C212" s="3"/>
      <c r="D212" s="3"/>
      <c r="E212" s="3"/>
      <c r="F212" s="3"/>
      <c r="G212" s="3"/>
      <c r="H212" s="3"/>
    </row>
    <row r="213" spans="1:8" s="4" customFormat="1" ht="25.5">
      <c r="A213" s="117"/>
      <c r="B213" s="10" t="s">
        <v>33</v>
      </c>
      <c r="C213" s="6" t="s">
        <v>57</v>
      </c>
      <c r="D213" s="6">
        <f>E213+F213+G213</f>
        <v>1136</v>
      </c>
      <c r="E213" s="67">
        <v>536</v>
      </c>
      <c r="F213" s="67">
        <v>300</v>
      </c>
      <c r="G213" s="67">
        <v>300</v>
      </c>
      <c r="H213" s="3"/>
    </row>
    <row r="214" spans="1:8" s="4" customFormat="1" ht="25.5">
      <c r="A214" s="117"/>
      <c r="B214" s="10" t="s">
        <v>140</v>
      </c>
      <c r="C214" s="67" t="s">
        <v>24</v>
      </c>
      <c r="D214" s="6">
        <f>E214+F214+G214</f>
        <v>130495.041</v>
      </c>
      <c r="E214" s="67">
        <v>43498.347</v>
      </c>
      <c r="F214" s="67">
        <v>43498.347</v>
      </c>
      <c r="G214" s="67">
        <v>43498.347</v>
      </c>
      <c r="H214" s="3"/>
    </row>
    <row r="215" spans="1:8" s="4" customFormat="1" ht="38.25">
      <c r="A215" s="117"/>
      <c r="B215" s="10" t="s">
        <v>141</v>
      </c>
      <c r="C215" s="6" t="s">
        <v>58</v>
      </c>
      <c r="D215" s="6">
        <f>E215+F215+G215</f>
        <v>715.308</v>
      </c>
      <c r="E215" s="67">
        <v>238.436</v>
      </c>
      <c r="F215" s="67">
        <v>238.436</v>
      </c>
      <c r="G215" s="67">
        <v>238.436</v>
      </c>
      <c r="H215" s="3"/>
    </row>
    <row r="216" spans="1:8" s="4" customFormat="1" ht="12.75">
      <c r="A216" s="102" t="s">
        <v>88</v>
      </c>
      <c r="B216" s="10"/>
      <c r="C216" s="6"/>
      <c r="D216" s="6"/>
      <c r="E216" s="67"/>
      <c r="F216" s="67"/>
      <c r="G216" s="67"/>
      <c r="H216" s="3"/>
    </row>
    <row r="217" spans="1:8" s="4" customFormat="1" ht="25.5">
      <c r="A217" s="104"/>
      <c r="B217" s="10" t="s">
        <v>232</v>
      </c>
      <c r="C217" s="6" t="s">
        <v>218</v>
      </c>
      <c r="D217" s="6">
        <f>E217+F217+G217</f>
        <v>36.882</v>
      </c>
      <c r="E217" s="67">
        <v>14.902</v>
      </c>
      <c r="F217" s="67">
        <v>10.99</v>
      </c>
      <c r="G217" s="67">
        <v>10.99</v>
      </c>
      <c r="H217" s="3"/>
    </row>
    <row r="218" spans="1:8" s="4" customFormat="1" ht="12.75">
      <c r="A218" s="100" t="s">
        <v>130</v>
      </c>
      <c r="B218" s="10"/>
      <c r="C218" s="6"/>
      <c r="D218" s="6"/>
      <c r="E218" s="6"/>
      <c r="F218" s="6"/>
      <c r="G218" s="6"/>
      <c r="H218" s="3"/>
    </row>
    <row r="219" spans="1:8" s="4" customFormat="1" ht="25.5">
      <c r="A219" s="100"/>
      <c r="B219" s="8" t="s">
        <v>181</v>
      </c>
      <c r="C219" s="6" t="s">
        <v>121</v>
      </c>
      <c r="D219" s="6">
        <f>E219</f>
        <v>424.153</v>
      </c>
      <c r="E219" s="9">
        <f>392.095+32.058</f>
        <v>424.153</v>
      </c>
      <c r="F219" s="6"/>
      <c r="G219" s="6"/>
      <c r="H219" s="3"/>
    </row>
    <row r="220" spans="1:8" s="4" customFormat="1" ht="12.75">
      <c r="A220" s="101" t="s">
        <v>102</v>
      </c>
      <c r="B220" s="101"/>
      <c r="C220" s="101"/>
      <c r="D220" s="101"/>
      <c r="E220" s="101"/>
      <c r="F220" s="101"/>
      <c r="G220" s="101"/>
      <c r="H220" s="3"/>
    </row>
    <row r="221" spans="1:8" s="4" customFormat="1" ht="12.75">
      <c r="A221" s="102" t="s">
        <v>70</v>
      </c>
      <c r="B221" s="8"/>
      <c r="C221" s="3"/>
      <c r="D221" s="3"/>
      <c r="E221" s="3"/>
      <c r="F221" s="3"/>
      <c r="G221" s="3"/>
      <c r="H221" s="3"/>
    </row>
    <row r="222" spans="1:8" s="4" customFormat="1" ht="25.5">
      <c r="A222" s="103"/>
      <c r="B222" s="10" t="s">
        <v>37</v>
      </c>
      <c r="C222" s="3" t="s">
        <v>24</v>
      </c>
      <c r="D222" s="6">
        <f>E222+F222+G222</f>
        <v>2509.92</v>
      </c>
      <c r="E222" s="3">
        <v>836.64</v>
      </c>
      <c r="F222" s="3">
        <v>836.64</v>
      </c>
      <c r="G222" s="3">
        <v>836.64</v>
      </c>
      <c r="H222" s="3"/>
    </row>
    <row r="223" spans="1:8" s="4" customFormat="1" ht="12.75">
      <c r="A223" s="103"/>
      <c r="B223" s="10" t="s">
        <v>38</v>
      </c>
      <c r="C223" s="6" t="s">
        <v>52</v>
      </c>
      <c r="D223" s="6">
        <f>E223+F223+G223</f>
        <v>12</v>
      </c>
      <c r="E223" s="6">
        <v>4</v>
      </c>
      <c r="F223" s="6">
        <v>4</v>
      </c>
      <c r="G223" s="6">
        <v>4</v>
      </c>
      <c r="H223" s="3"/>
    </row>
    <row r="224" spans="1:8" s="4" customFormat="1" ht="12.75">
      <c r="A224" s="102" t="s">
        <v>80</v>
      </c>
      <c r="B224" s="10"/>
      <c r="C224" s="6"/>
      <c r="D224" s="6"/>
      <c r="E224" s="6"/>
      <c r="F224" s="6"/>
      <c r="G224" s="6"/>
      <c r="H224" s="3"/>
    </row>
    <row r="225" spans="1:8" s="4" customFormat="1" ht="25.5">
      <c r="A225" s="103"/>
      <c r="B225" s="10" t="s">
        <v>31</v>
      </c>
      <c r="C225" s="6" t="s">
        <v>24</v>
      </c>
      <c r="D225" s="6">
        <f>E225+F225+G225</f>
        <v>2499.9900000000002</v>
      </c>
      <c r="E225" s="6">
        <v>833.33</v>
      </c>
      <c r="F225" s="6">
        <v>833.33</v>
      </c>
      <c r="G225" s="6">
        <v>833.33</v>
      </c>
      <c r="H225" s="3"/>
    </row>
    <row r="226" spans="1:8" s="4" customFormat="1" ht="25.5">
      <c r="A226" s="103"/>
      <c r="B226" s="10" t="s">
        <v>32</v>
      </c>
      <c r="C226" s="6" t="s">
        <v>52</v>
      </c>
      <c r="D226" s="6">
        <f>E226+F226+G226</f>
        <v>171</v>
      </c>
      <c r="E226" s="6">
        <v>57</v>
      </c>
      <c r="F226" s="6">
        <v>57</v>
      </c>
      <c r="G226" s="6">
        <v>57</v>
      </c>
      <c r="H226" s="3"/>
    </row>
    <row r="227" spans="1:8" s="4" customFormat="1" ht="25.5">
      <c r="A227" s="103"/>
      <c r="B227" s="10" t="s">
        <v>233</v>
      </c>
      <c r="C227" s="6" t="s">
        <v>24</v>
      </c>
      <c r="D227" s="6">
        <f>E227+F227+G227</f>
        <v>1140</v>
      </c>
      <c r="E227" s="6">
        <v>380</v>
      </c>
      <c r="F227" s="6">
        <v>380</v>
      </c>
      <c r="G227" s="6">
        <v>380</v>
      </c>
      <c r="H227" s="3"/>
    </row>
    <row r="228" spans="1:8" s="4" customFormat="1" ht="12.75">
      <c r="A228" s="117" t="s">
        <v>89</v>
      </c>
      <c r="B228" s="10"/>
      <c r="C228" s="3"/>
      <c r="D228" s="3"/>
      <c r="E228" s="3"/>
      <c r="F228" s="3"/>
      <c r="G228" s="3"/>
      <c r="H228" s="3"/>
    </row>
    <row r="229" spans="1:8" s="4" customFormat="1" ht="25.5">
      <c r="A229" s="117"/>
      <c r="B229" s="10" t="s">
        <v>33</v>
      </c>
      <c r="C229" s="6" t="s">
        <v>57</v>
      </c>
      <c r="D229" s="6">
        <f>E229+F229+G229</f>
        <v>330</v>
      </c>
      <c r="E229" s="6">
        <v>110</v>
      </c>
      <c r="F229" s="6">
        <v>110</v>
      </c>
      <c r="G229" s="6">
        <v>110</v>
      </c>
      <c r="H229" s="3"/>
    </row>
    <row r="230" spans="1:8" s="4" customFormat="1" ht="12.75">
      <c r="A230" s="117"/>
      <c r="B230" s="10" t="s">
        <v>34</v>
      </c>
      <c r="C230" s="6" t="s">
        <v>59</v>
      </c>
      <c r="D230" s="6">
        <f>E230+F230+G230</f>
        <v>1140</v>
      </c>
      <c r="E230" s="6">
        <v>380</v>
      </c>
      <c r="F230" s="6">
        <v>380</v>
      </c>
      <c r="G230" s="6">
        <v>380</v>
      </c>
      <c r="H230" s="3"/>
    </row>
    <row r="231" spans="1:8" s="4" customFormat="1" ht="12.75">
      <c r="A231" s="117" t="s">
        <v>88</v>
      </c>
      <c r="B231" s="10"/>
      <c r="C231" s="3"/>
      <c r="D231" s="3"/>
      <c r="E231" s="3"/>
      <c r="F231" s="3"/>
      <c r="G231" s="3"/>
      <c r="H231" s="3"/>
    </row>
    <row r="232" spans="1:8" s="4" customFormat="1" ht="25.5">
      <c r="A232" s="117"/>
      <c r="B232" s="10" t="s">
        <v>43</v>
      </c>
      <c r="C232" s="6" t="s">
        <v>25</v>
      </c>
      <c r="D232" s="6">
        <f>E232+F232+G232</f>
        <v>45.69</v>
      </c>
      <c r="E232" s="6">
        <v>15.23</v>
      </c>
      <c r="F232" s="6">
        <v>15.23</v>
      </c>
      <c r="G232" s="6">
        <v>15.23</v>
      </c>
      <c r="H232" s="3"/>
    </row>
    <row r="233" spans="1:8" s="4" customFormat="1" ht="12.75">
      <c r="A233" s="102" t="s">
        <v>87</v>
      </c>
      <c r="B233" s="10"/>
      <c r="C233" s="6"/>
      <c r="D233" s="6"/>
      <c r="E233" s="6"/>
      <c r="F233" s="6"/>
      <c r="G233" s="6"/>
      <c r="H233" s="3"/>
    </row>
    <row r="234" spans="1:8" s="4" customFormat="1" ht="25.5">
      <c r="A234" s="104"/>
      <c r="B234" s="8" t="s">
        <v>193</v>
      </c>
      <c r="C234" s="6" t="s">
        <v>52</v>
      </c>
      <c r="D234" s="6">
        <f>E234+F234+G234</f>
        <v>3</v>
      </c>
      <c r="E234" s="6">
        <v>1</v>
      </c>
      <c r="F234" s="6">
        <v>1</v>
      </c>
      <c r="G234" s="6">
        <v>1</v>
      </c>
      <c r="H234" s="3"/>
    </row>
    <row r="235" spans="1:8" s="4" customFormat="1" ht="12.75">
      <c r="A235" s="100" t="s">
        <v>130</v>
      </c>
      <c r="B235" s="10"/>
      <c r="C235" s="6"/>
      <c r="D235" s="6"/>
      <c r="E235" s="6"/>
      <c r="F235" s="6"/>
      <c r="G235" s="6"/>
      <c r="H235" s="3"/>
    </row>
    <row r="236" spans="1:8" s="4" customFormat="1" ht="25.5">
      <c r="A236" s="100"/>
      <c r="B236" s="8" t="s">
        <v>181</v>
      </c>
      <c r="C236" s="6" t="s">
        <v>121</v>
      </c>
      <c r="D236" s="6">
        <f>E236</f>
        <v>406.328</v>
      </c>
      <c r="E236" s="9">
        <f>373.536+32.792</f>
        <v>406.328</v>
      </c>
      <c r="F236" s="6"/>
      <c r="G236" s="6"/>
      <c r="H236" s="3"/>
    </row>
    <row r="237" spans="1:8" s="4" customFormat="1" ht="12.75">
      <c r="A237" s="101" t="s">
        <v>103</v>
      </c>
      <c r="B237" s="101"/>
      <c r="C237" s="101"/>
      <c r="D237" s="101"/>
      <c r="E237" s="101"/>
      <c r="F237" s="101"/>
      <c r="G237" s="101"/>
      <c r="H237" s="3"/>
    </row>
    <row r="238" spans="1:8" s="4" customFormat="1" ht="12.75">
      <c r="A238" s="102" t="s">
        <v>70</v>
      </c>
      <c r="B238" s="10"/>
      <c r="C238" s="3"/>
      <c r="D238" s="3"/>
      <c r="E238" s="3"/>
      <c r="F238" s="3"/>
      <c r="G238" s="3"/>
      <c r="H238" s="3"/>
    </row>
    <row r="239" spans="1:8" s="4" customFormat="1" ht="25.5">
      <c r="A239" s="103"/>
      <c r="B239" s="10" t="s">
        <v>37</v>
      </c>
      <c r="C239" s="6" t="s">
        <v>24</v>
      </c>
      <c r="D239" s="18">
        <v>304945</v>
      </c>
      <c r="E239" s="18">
        <v>304945</v>
      </c>
      <c r="F239" s="18">
        <v>339945</v>
      </c>
      <c r="G239" s="18">
        <v>339945</v>
      </c>
      <c r="H239" s="3"/>
    </row>
    <row r="240" spans="1:8" s="4" customFormat="1" ht="25.5">
      <c r="A240" s="103"/>
      <c r="B240" s="10" t="s">
        <v>48</v>
      </c>
      <c r="C240" s="6" t="s">
        <v>54</v>
      </c>
      <c r="D240" s="6">
        <f>E240+F240+G240</f>
        <v>47.817</v>
      </c>
      <c r="E240" s="9">
        <v>15.939</v>
      </c>
      <c r="F240" s="9">
        <v>15.939</v>
      </c>
      <c r="G240" s="9">
        <v>15.939</v>
      </c>
      <c r="H240" s="3"/>
    </row>
    <row r="241" spans="1:8" s="4" customFormat="1" ht="12.75">
      <c r="A241" s="117" t="s">
        <v>80</v>
      </c>
      <c r="B241" s="8"/>
      <c r="C241" s="3"/>
      <c r="D241" s="3"/>
      <c r="E241" s="3"/>
      <c r="F241" s="3"/>
      <c r="G241" s="3"/>
      <c r="H241" s="3"/>
    </row>
    <row r="242" spans="1:8" s="4" customFormat="1" ht="25.5">
      <c r="A242" s="117"/>
      <c r="B242" s="10" t="s">
        <v>45</v>
      </c>
      <c r="C242" s="6" t="s">
        <v>24</v>
      </c>
      <c r="D242" s="38">
        <f>E242+F242+G242</f>
        <v>1214.205</v>
      </c>
      <c r="E242" s="9">
        <v>404.735</v>
      </c>
      <c r="F242" s="9">
        <v>404.735</v>
      </c>
      <c r="G242" s="9">
        <v>404.735</v>
      </c>
      <c r="H242" s="3"/>
    </row>
    <row r="243" spans="1:8" s="4" customFormat="1" ht="25.5">
      <c r="A243" s="117"/>
      <c r="B243" s="57" t="s">
        <v>194</v>
      </c>
      <c r="C243" s="6" t="s">
        <v>52</v>
      </c>
      <c r="D243" s="24">
        <f>E243+F243+G243</f>
        <v>45</v>
      </c>
      <c r="E243" s="18">
        <v>15</v>
      </c>
      <c r="F243" s="18">
        <v>15</v>
      </c>
      <c r="G243" s="18">
        <v>15</v>
      </c>
      <c r="H243" s="3"/>
    </row>
    <row r="244" spans="1:8" s="4" customFormat="1" ht="12.75">
      <c r="A244" s="117"/>
      <c r="B244" s="57" t="s">
        <v>234</v>
      </c>
      <c r="C244" s="6" t="s">
        <v>24</v>
      </c>
      <c r="D244" s="39">
        <f>E244+F244+G244</f>
        <v>5551.0199999999995</v>
      </c>
      <c r="E244" s="19">
        <v>1850.34</v>
      </c>
      <c r="F244" s="19">
        <v>1850.34</v>
      </c>
      <c r="G244" s="19">
        <v>1850.34</v>
      </c>
      <c r="H244" s="3"/>
    </row>
    <row r="245" spans="1:8" s="4" customFormat="1" ht="25.5">
      <c r="A245" s="117"/>
      <c r="B245" s="10" t="s">
        <v>32</v>
      </c>
      <c r="C245" s="6" t="s">
        <v>52</v>
      </c>
      <c r="D245" s="24">
        <f>E245+F245+G245</f>
        <v>543</v>
      </c>
      <c r="E245" s="18">
        <v>181</v>
      </c>
      <c r="F245" s="18">
        <v>181</v>
      </c>
      <c r="G245" s="18">
        <v>181</v>
      </c>
      <c r="H245" s="3"/>
    </row>
    <row r="246" spans="1:8" s="4" customFormat="1" ht="38.25">
      <c r="A246" s="117"/>
      <c r="B246" s="21" t="s">
        <v>195</v>
      </c>
      <c r="C246" s="32" t="s">
        <v>52</v>
      </c>
      <c r="D246" s="48">
        <f>E246+F246+G246</f>
        <v>66</v>
      </c>
      <c r="E246" s="18">
        <v>22</v>
      </c>
      <c r="F246" s="18">
        <v>22</v>
      </c>
      <c r="G246" s="18">
        <v>22</v>
      </c>
      <c r="H246" s="3"/>
    </row>
    <row r="247" spans="1:8" s="4" customFormat="1" ht="12.75">
      <c r="A247" s="117" t="s">
        <v>89</v>
      </c>
      <c r="B247" s="8"/>
      <c r="C247" s="3"/>
      <c r="D247" s="3"/>
      <c r="E247" s="3"/>
      <c r="F247" s="3"/>
      <c r="G247" s="3"/>
      <c r="H247" s="3"/>
    </row>
    <row r="248" spans="1:8" s="4" customFormat="1" ht="25.5">
      <c r="A248" s="117"/>
      <c r="B248" s="10" t="s">
        <v>33</v>
      </c>
      <c r="C248" s="6" t="s">
        <v>57</v>
      </c>
      <c r="D248" s="6">
        <f>E248+F248+G248</f>
        <v>150</v>
      </c>
      <c r="E248" s="18">
        <v>50</v>
      </c>
      <c r="F248" s="18">
        <v>50</v>
      </c>
      <c r="G248" s="18">
        <v>50</v>
      </c>
      <c r="H248" s="3"/>
    </row>
    <row r="249" spans="1:8" s="4" customFormat="1" ht="12.75">
      <c r="A249" s="117"/>
      <c r="B249" s="10" t="s">
        <v>34</v>
      </c>
      <c r="C249" s="6" t="s">
        <v>58</v>
      </c>
      <c r="D249" s="46">
        <f>E249+F249+G249</f>
        <v>968.4000000000001</v>
      </c>
      <c r="E249" s="47">
        <v>322.8</v>
      </c>
      <c r="F249" s="47">
        <v>322.8</v>
      </c>
      <c r="G249" s="47">
        <v>322.8</v>
      </c>
      <c r="H249" s="3"/>
    </row>
    <row r="250" spans="1:8" s="4" customFormat="1" ht="12.75">
      <c r="A250" s="102" t="s">
        <v>192</v>
      </c>
      <c r="B250" s="10"/>
      <c r="C250" s="6"/>
      <c r="D250" s="46"/>
      <c r="E250" s="47"/>
      <c r="F250" s="47"/>
      <c r="G250" s="47"/>
      <c r="H250" s="3"/>
    </row>
    <row r="251" spans="1:8" s="4" customFormat="1" ht="25.5">
      <c r="A251" s="104"/>
      <c r="B251" s="8" t="s">
        <v>235</v>
      </c>
      <c r="C251" s="6" t="s">
        <v>24</v>
      </c>
      <c r="D251" s="18">
        <f>E251+F251+G251</f>
        <v>63000</v>
      </c>
      <c r="E251" s="18">
        <v>21000</v>
      </c>
      <c r="F251" s="18">
        <v>21000</v>
      </c>
      <c r="G251" s="18">
        <v>21000</v>
      </c>
      <c r="H251" s="3"/>
    </row>
    <row r="252" spans="1:8" s="4" customFormat="1" ht="12.75">
      <c r="A252" s="100" t="s">
        <v>130</v>
      </c>
      <c r="B252" s="10"/>
      <c r="C252" s="6"/>
      <c r="D252" s="6"/>
      <c r="E252" s="6"/>
      <c r="F252" s="6"/>
      <c r="G252" s="6"/>
      <c r="H252" s="3"/>
    </row>
    <row r="253" spans="1:8" s="4" customFormat="1" ht="25.5">
      <c r="A253" s="100"/>
      <c r="B253" s="8" t="s">
        <v>181</v>
      </c>
      <c r="C253" s="6" t="s">
        <v>121</v>
      </c>
      <c r="D253" s="6">
        <f>E253</f>
        <v>256.513</v>
      </c>
      <c r="E253" s="6">
        <f>256.513</f>
        <v>256.513</v>
      </c>
      <c r="F253" s="6"/>
      <c r="G253" s="6"/>
      <c r="H253" s="3"/>
    </row>
    <row r="254" spans="1:8" s="4" customFormat="1" ht="12.75">
      <c r="A254" s="101" t="s">
        <v>104</v>
      </c>
      <c r="B254" s="101"/>
      <c r="C254" s="101"/>
      <c r="D254" s="101"/>
      <c r="E254" s="101"/>
      <c r="F254" s="101"/>
      <c r="G254" s="101"/>
      <c r="H254" s="3"/>
    </row>
    <row r="255" spans="1:8" s="4" customFormat="1" ht="12.75">
      <c r="A255" s="102" t="s">
        <v>70</v>
      </c>
      <c r="B255" s="10"/>
      <c r="C255" s="3"/>
      <c r="D255" s="3"/>
      <c r="E255" s="3"/>
      <c r="F255" s="3"/>
      <c r="G255" s="3"/>
      <c r="H255" s="3"/>
    </row>
    <row r="256" spans="1:8" s="4" customFormat="1" ht="12.75">
      <c r="A256" s="103"/>
      <c r="B256" s="127" t="s">
        <v>161</v>
      </c>
      <c r="C256" s="6" t="s">
        <v>54</v>
      </c>
      <c r="D256" s="6">
        <v>101.294</v>
      </c>
      <c r="E256" s="6">
        <v>101.294</v>
      </c>
      <c r="F256" s="6">
        <v>101.294</v>
      </c>
      <c r="G256" s="6">
        <v>101.294</v>
      </c>
      <c r="H256" s="3"/>
    </row>
    <row r="257" spans="1:8" s="4" customFormat="1" ht="12.75">
      <c r="A257" s="103"/>
      <c r="B257" s="127"/>
      <c r="C257" s="6" t="s">
        <v>54</v>
      </c>
      <c r="D257" s="6">
        <v>10.7</v>
      </c>
      <c r="E257" s="6">
        <v>10.7</v>
      </c>
      <c r="F257" s="6">
        <v>10.7</v>
      </c>
      <c r="G257" s="6">
        <v>10.7</v>
      </c>
      <c r="H257" s="3"/>
    </row>
    <row r="258" spans="1:8" s="4" customFormat="1" ht="25.5">
      <c r="A258" s="103"/>
      <c r="B258" s="8" t="s">
        <v>29</v>
      </c>
      <c r="C258" s="6" t="s">
        <v>52</v>
      </c>
      <c r="D258" s="6">
        <v>1</v>
      </c>
      <c r="E258" s="6">
        <v>1</v>
      </c>
      <c r="F258" s="6">
        <v>1</v>
      </c>
      <c r="G258" s="6">
        <v>1</v>
      </c>
      <c r="H258" s="3"/>
    </row>
    <row r="259" spans="1:8" s="4" customFormat="1" ht="12.75">
      <c r="A259" s="117" t="s">
        <v>80</v>
      </c>
      <c r="B259" s="10"/>
      <c r="C259" s="3"/>
      <c r="D259" s="3"/>
      <c r="E259" s="3"/>
      <c r="F259" s="3"/>
      <c r="G259" s="3"/>
      <c r="H259" s="3"/>
    </row>
    <row r="260" spans="1:8" s="4" customFormat="1" ht="25.5">
      <c r="A260" s="117"/>
      <c r="B260" s="43" t="s">
        <v>45</v>
      </c>
      <c r="C260" s="6" t="s">
        <v>24</v>
      </c>
      <c r="D260" s="39">
        <f>E260+F260+G260</f>
        <v>848.445</v>
      </c>
      <c r="E260" s="38">
        <v>405.005</v>
      </c>
      <c r="F260" s="39">
        <v>221.72</v>
      </c>
      <c r="G260" s="39">
        <v>221.72</v>
      </c>
      <c r="H260" s="3"/>
    </row>
    <row r="261" spans="1:8" s="4" customFormat="1" ht="38.25">
      <c r="A261" s="117"/>
      <c r="B261" s="10" t="s">
        <v>47</v>
      </c>
      <c r="C261" s="6" t="s">
        <v>52</v>
      </c>
      <c r="D261" s="6">
        <f>E261+F261+G261</f>
        <v>144</v>
      </c>
      <c r="E261" s="6">
        <v>48</v>
      </c>
      <c r="F261" s="6">
        <v>48</v>
      </c>
      <c r="G261" s="6">
        <v>48</v>
      </c>
      <c r="H261" s="3"/>
    </row>
    <row r="262" spans="1:8" s="4" customFormat="1" ht="25.5">
      <c r="A262" s="117"/>
      <c r="B262" s="10" t="s">
        <v>31</v>
      </c>
      <c r="C262" s="6" t="s">
        <v>24</v>
      </c>
      <c r="D262" s="38">
        <f>E262+F262+G262</f>
        <v>2143.887</v>
      </c>
      <c r="E262" s="38">
        <v>714.629</v>
      </c>
      <c r="F262" s="38">
        <v>714.629</v>
      </c>
      <c r="G262" s="38">
        <v>714.629</v>
      </c>
      <c r="H262" s="3"/>
    </row>
    <row r="263" spans="1:8" s="4" customFormat="1" ht="25.5">
      <c r="A263" s="117"/>
      <c r="B263" s="10" t="s">
        <v>32</v>
      </c>
      <c r="C263" s="6" t="s">
        <v>52</v>
      </c>
      <c r="D263" s="6">
        <f>E263+F263+G263</f>
        <v>462</v>
      </c>
      <c r="E263" s="6">
        <v>154</v>
      </c>
      <c r="F263" s="6">
        <v>154</v>
      </c>
      <c r="G263" s="6">
        <v>154</v>
      </c>
      <c r="H263" s="3"/>
    </row>
    <row r="264" spans="1:8" s="4" customFormat="1" ht="12.75">
      <c r="A264" s="117" t="s">
        <v>89</v>
      </c>
      <c r="B264" s="8"/>
      <c r="C264" s="3"/>
      <c r="D264" s="3"/>
      <c r="E264" s="3"/>
      <c r="F264" s="3"/>
      <c r="G264" s="3"/>
      <c r="H264" s="3"/>
    </row>
    <row r="265" spans="1:8" s="4" customFormat="1" ht="25.5">
      <c r="A265" s="117"/>
      <c r="B265" s="10" t="s">
        <v>49</v>
      </c>
      <c r="C265" s="6" t="s">
        <v>59</v>
      </c>
      <c r="D265" s="6">
        <f>E265+F265+G265</f>
        <v>202.5</v>
      </c>
      <c r="E265" s="6">
        <v>67.5</v>
      </c>
      <c r="F265" s="6">
        <v>67.5</v>
      </c>
      <c r="G265" s="6">
        <v>67.5</v>
      </c>
      <c r="H265" s="3"/>
    </row>
    <row r="266" spans="1:8" s="4" customFormat="1" ht="25.5">
      <c r="A266" s="117"/>
      <c r="B266" s="10" t="s">
        <v>33</v>
      </c>
      <c r="C266" s="6" t="s">
        <v>57</v>
      </c>
      <c r="D266" s="6">
        <f>E266+F266+G266</f>
        <v>282</v>
      </c>
      <c r="E266" s="6">
        <v>94</v>
      </c>
      <c r="F266" s="6">
        <v>94</v>
      </c>
      <c r="G266" s="6">
        <v>94</v>
      </c>
      <c r="H266" s="3"/>
    </row>
    <row r="267" spans="1:8" s="4" customFormat="1" ht="12.75">
      <c r="A267" s="117"/>
      <c r="B267" s="10" t="s">
        <v>34</v>
      </c>
      <c r="C267" s="6" t="s">
        <v>190</v>
      </c>
      <c r="D267" s="6">
        <f>E267+F267+G267</f>
        <v>1653.0149999999999</v>
      </c>
      <c r="E267" s="67">
        <v>551.005</v>
      </c>
      <c r="F267" s="67">
        <v>551.005</v>
      </c>
      <c r="G267" s="67">
        <v>551.005</v>
      </c>
      <c r="H267" s="3"/>
    </row>
    <row r="268" spans="1:8" s="4" customFormat="1" ht="12.75">
      <c r="A268" s="117" t="s">
        <v>75</v>
      </c>
      <c r="B268" s="8"/>
      <c r="C268" s="3"/>
      <c r="D268" s="3"/>
      <c r="E268" s="13"/>
      <c r="F268" s="3"/>
      <c r="G268" s="3"/>
      <c r="H268" s="3"/>
    </row>
    <row r="269" spans="1:8" s="4" customFormat="1" ht="38.25">
      <c r="A269" s="117"/>
      <c r="B269" s="8" t="s">
        <v>50</v>
      </c>
      <c r="C269" s="6" t="s">
        <v>59</v>
      </c>
      <c r="D269" s="6">
        <f>E269+F269+G269</f>
        <v>505.5</v>
      </c>
      <c r="E269" s="67">
        <v>168.5</v>
      </c>
      <c r="F269" s="67">
        <v>168.5</v>
      </c>
      <c r="G269" s="67">
        <v>168.5</v>
      </c>
      <c r="H269" s="3"/>
    </row>
    <row r="270" spans="1:8" s="4" customFormat="1" ht="12.75">
      <c r="A270" s="100" t="s">
        <v>88</v>
      </c>
      <c r="B270" s="10"/>
      <c r="C270" s="6"/>
      <c r="D270" s="6"/>
      <c r="E270" s="6"/>
      <c r="F270" s="6"/>
      <c r="G270" s="6"/>
      <c r="H270" s="3"/>
    </row>
    <row r="271" spans="1:8" s="4" customFormat="1" ht="12.75">
      <c r="A271" s="100"/>
      <c r="B271" s="8" t="s">
        <v>237</v>
      </c>
      <c r="C271" s="6" t="s">
        <v>25</v>
      </c>
      <c r="D271" s="38">
        <f>E271</f>
        <v>8.989</v>
      </c>
      <c r="E271" s="38">
        <v>8.989</v>
      </c>
      <c r="F271" s="6"/>
      <c r="G271" s="6"/>
      <c r="H271" s="3"/>
    </row>
    <row r="272" spans="1:8" s="4" customFormat="1" ht="25.5">
      <c r="A272" s="100"/>
      <c r="B272" s="10" t="s">
        <v>262</v>
      </c>
      <c r="C272" s="67" t="s">
        <v>52</v>
      </c>
      <c r="D272" s="24">
        <f>E272</f>
        <v>73</v>
      </c>
      <c r="E272" s="24">
        <v>73</v>
      </c>
      <c r="F272" s="6"/>
      <c r="G272" s="6"/>
      <c r="H272" s="3"/>
    </row>
    <row r="273" spans="1:8" s="4" customFormat="1" ht="12.75">
      <c r="A273" s="100" t="s">
        <v>130</v>
      </c>
      <c r="B273" s="10"/>
      <c r="C273" s="6"/>
      <c r="D273" s="6"/>
      <c r="E273" s="6"/>
      <c r="F273" s="6"/>
      <c r="G273" s="6"/>
      <c r="H273" s="3"/>
    </row>
    <row r="274" spans="1:8" s="4" customFormat="1" ht="25.5">
      <c r="A274" s="100"/>
      <c r="B274" s="8" t="s">
        <v>181</v>
      </c>
      <c r="C274" s="6" t="s">
        <v>121</v>
      </c>
      <c r="D274" s="38">
        <v>431.985</v>
      </c>
      <c r="E274" s="38">
        <v>431.985</v>
      </c>
      <c r="F274" s="6"/>
      <c r="G274" s="6"/>
      <c r="H274" s="3"/>
    </row>
    <row r="275" spans="1:8" s="1" customFormat="1" ht="12.75">
      <c r="A275" s="128" t="s">
        <v>93</v>
      </c>
      <c r="B275" s="128"/>
      <c r="C275" s="128"/>
      <c r="D275" s="128"/>
      <c r="E275" s="128"/>
      <c r="F275" s="128"/>
      <c r="G275" s="128"/>
      <c r="H275" s="8"/>
    </row>
    <row r="276" spans="1:8" s="1" customFormat="1" ht="12.75">
      <c r="A276" s="96" t="s">
        <v>51</v>
      </c>
      <c r="B276" s="96"/>
      <c r="C276" s="96"/>
      <c r="D276" s="96"/>
      <c r="E276" s="96"/>
      <c r="F276" s="96"/>
      <c r="G276" s="96"/>
      <c r="H276" s="8"/>
    </row>
    <row r="277" spans="1:8" s="1" customFormat="1" ht="12.75" customHeight="1">
      <c r="A277" s="117" t="s">
        <v>94</v>
      </c>
      <c r="B277" s="5"/>
      <c r="C277" s="3"/>
      <c r="D277" s="37"/>
      <c r="E277" s="37"/>
      <c r="F277" s="37"/>
      <c r="G277" s="37"/>
      <c r="H277" s="8"/>
    </row>
    <row r="278" spans="1:8" s="1" customFormat="1" ht="38.25">
      <c r="A278" s="117"/>
      <c r="B278" s="8" t="s">
        <v>95</v>
      </c>
      <c r="C278" s="3" t="s">
        <v>52</v>
      </c>
      <c r="D278" s="3">
        <f>E278+F278+G278</f>
        <v>3</v>
      </c>
      <c r="E278" s="3">
        <v>1</v>
      </c>
      <c r="F278" s="3">
        <v>1</v>
      </c>
      <c r="G278" s="3">
        <v>1</v>
      </c>
      <c r="H278" s="8"/>
    </row>
    <row r="279" spans="1:8" s="1" customFormat="1" ht="25.5">
      <c r="A279" s="117"/>
      <c r="B279" s="8" t="s">
        <v>181</v>
      </c>
      <c r="C279" s="3" t="s">
        <v>121</v>
      </c>
      <c r="D279" s="3">
        <f>E279</f>
        <v>147.941</v>
      </c>
      <c r="E279" s="3">
        <v>147.941</v>
      </c>
      <c r="F279" s="3"/>
      <c r="G279" s="3"/>
      <c r="H279" s="8"/>
    </row>
    <row r="280" spans="1:8" s="1" customFormat="1" ht="12.75">
      <c r="A280" s="128" t="s">
        <v>96</v>
      </c>
      <c r="B280" s="128"/>
      <c r="C280" s="128"/>
      <c r="D280" s="128"/>
      <c r="E280" s="128"/>
      <c r="F280" s="128"/>
      <c r="G280" s="128"/>
      <c r="H280" s="8"/>
    </row>
    <row r="281" spans="1:8" s="1" customFormat="1" ht="12.75">
      <c r="A281" s="96" t="s">
        <v>51</v>
      </c>
      <c r="B281" s="96"/>
      <c r="C281" s="96"/>
      <c r="D281" s="96"/>
      <c r="E281" s="96"/>
      <c r="F281" s="96"/>
      <c r="G281" s="96"/>
      <c r="H281" s="8"/>
    </row>
    <row r="282" spans="1:8" s="1" customFormat="1" ht="12.75">
      <c r="A282" s="117" t="s">
        <v>97</v>
      </c>
      <c r="B282" s="5"/>
      <c r="C282" s="3"/>
      <c r="D282" s="37"/>
      <c r="E282" s="37"/>
      <c r="F282" s="37"/>
      <c r="G282" s="37"/>
      <c r="H282" s="8"/>
    </row>
    <row r="283" spans="1:8" s="1" customFormat="1" ht="51">
      <c r="A283" s="117"/>
      <c r="B283" s="8" t="s">
        <v>131</v>
      </c>
      <c r="C283" s="3" t="s">
        <v>52</v>
      </c>
      <c r="D283" s="3">
        <f>E283+F283+G283</f>
        <v>300</v>
      </c>
      <c r="E283" s="3">
        <v>100</v>
      </c>
      <c r="F283" s="3">
        <v>100</v>
      </c>
      <c r="G283" s="3">
        <v>100</v>
      </c>
      <c r="H283" s="8"/>
    </row>
    <row r="284" spans="1:8" s="1" customFormat="1" ht="51">
      <c r="A284" s="117"/>
      <c r="B284" s="8" t="s">
        <v>137</v>
      </c>
      <c r="C284" s="6" t="s">
        <v>119</v>
      </c>
      <c r="D284" s="3">
        <f>E284+F284+G284</f>
        <v>5</v>
      </c>
      <c r="E284" s="3">
        <v>5</v>
      </c>
      <c r="F284" s="3"/>
      <c r="G284" s="3"/>
      <c r="H284" s="8"/>
    </row>
    <row r="285" spans="1:8" s="1" customFormat="1" ht="25.5">
      <c r="A285" s="117"/>
      <c r="B285" s="8" t="s">
        <v>181</v>
      </c>
      <c r="C285" s="3" t="s">
        <v>121</v>
      </c>
      <c r="D285" s="3">
        <f>E285</f>
        <v>250.237</v>
      </c>
      <c r="E285" s="45">
        <f>45.343+24.894+180</f>
        <v>250.237</v>
      </c>
      <c r="F285" s="3"/>
      <c r="G285" s="3"/>
      <c r="H285" s="8"/>
    </row>
    <row r="286" spans="1:8" s="1" customFormat="1" ht="12.75" customHeight="1">
      <c r="A286" s="96" t="s">
        <v>209</v>
      </c>
      <c r="B286" s="96"/>
      <c r="C286" s="96"/>
      <c r="D286" s="96"/>
      <c r="E286" s="96"/>
      <c r="F286" s="96"/>
      <c r="G286" s="96"/>
      <c r="H286" s="8"/>
    </row>
    <row r="287" spans="1:8" s="1" customFormat="1" ht="12.75" customHeight="1">
      <c r="A287" s="117" t="s">
        <v>97</v>
      </c>
      <c r="B287" s="5"/>
      <c r="C287" s="3"/>
      <c r="D287" s="37"/>
      <c r="E287" s="37"/>
      <c r="F287" s="37"/>
      <c r="G287" s="37"/>
      <c r="H287" s="8"/>
    </row>
    <row r="288" spans="1:8" s="1" customFormat="1" ht="63.75">
      <c r="A288" s="117"/>
      <c r="B288" s="8" t="s">
        <v>210</v>
      </c>
      <c r="C288" s="3" t="s">
        <v>52</v>
      </c>
      <c r="D288" s="3">
        <f>E288+F288+G288</f>
        <v>1</v>
      </c>
      <c r="E288" s="3">
        <v>1</v>
      </c>
      <c r="F288" s="3"/>
      <c r="G288" s="3"/>
      <c r="H288" s="8"/>
    </row>
    <row r="289" spans="1:8" s="1" customFormat="1" ht="63.75">
      <c r="A289" s="117"/>
      <c r="B289" s="8" t="s">
        <v>243</v>
      </c>
      <c r="C289" s="3" t="s">
        <v>211</v>
      </c>
      <c r="D289" s="3">
        <f>E289+F289+G289</f>
        <v>100</v>
      </c>
      <c r="E289" s="3">
        <v>100</v>
      </c>
      <c r="F289" s="3"/>
      <c r="G289" s="3"/>
      <c r="H289" s="8"/>
    </row>
    <row r="290" spans="1:8" s="1" customFormat="1" ht="12.75" customHeight="1">
      <c r="A290" s="96" t="s">
        <v>212</v>
      </c>
      <c r="B290" s="96"/>
      <c r="C290" s="96"/>
      <c r="D290" s="96"/>
      <c r="E290" s="96"/>
      <c r="F290" s="96"/>
      <c r="G290" s="96"/>
      <c r="H290" s="8"/>
    </row>
    <row r="291" spans="1:8" s="1" customFormat="1" ht="12.75">
      <c r="A291" s="117" t="s">
        <v>97</v>
      </c>
      <c r="B291" s="5"/>
      <c r="C291" s="3"/>
      <c r="D291" s="37"/>
      <c r="E291" s="37"/>
      <c r="F291" s="37"/>
      <c r="G291" s="37"/>
      <c r="H291" s="8"/>
    </row>
    <row r="292" spans="1:8" s="1" customFormat="1" ht="51">
      <c r="A292" s="117"/>
      <c r="B292" s="8" t="s">
        <v>213</v>
      </c>
      <c r="C292" s="3" t="s">
        <v>211</v>
      </c>
      <c r="D292" s="3">
        <f>E292+F292+G292</f>
        <v>100</v>
      </c>
      <c r="E292" s="3">
        <v>100</v>
      </c>
      <c r="F292" s="3"/>
      <c r="G292" s="3"/>
      <c r="H292" s="8"/>
    </row>
    <row r="293" spans="1:8" s="1" customFormat="1" ht="12.75" customHeight="1">
      <c r="A293" s="96" t="s">
        <v>214</v>
      </c>
      <c r="B293" s="96"/>
      <c r="C293" s="96"/>
      <c r="D293" s="96"/>
      <c r="E293" s="96"/>
      <c r="F293" s="96"/>
      <c r="G293" s="96"/>
      <c r="H293" s="8"/>
    </row>
    <row r="294" spans="1:8" s="1" customFormat="1" ht="12.75" customHeight="1">
      <c r="A294" s="117" t="s">
        <v>97</v>
      </c>
      <c r="B294" s="5"/>
      <c r="C294" s="3"/>
      <c r="D294" s="37"/>
      <c r="E294" s="37"/>
      <c r="F294" s="37"/>
      <c r="G294" s="37"/>
      <c r="H294" s="8"/>
    </row>
    <row r="295" spans="1:8" s="1" customFormat="1" ht="63.75">
      <c r="A295" s="117"/>
      <c r="B295" s="8" t="s">
        <v>215</v>
      </c>
      <c r="C295" s="3" t="s">
        <v>211</v>
      </c>
      <c r="D295" s="3">
        <f>E295+F295+G295</f>
        <v>100</v>
      </c>
      <c r="E295" s="3">
        <v>100</v>
      </c>
      <c r="F295" s="3"/>
      <c r="G295" s="3"/>
      <c r="H295" s="8"/>
    </row>
    <row r="296" spans="1:8" ht="12.75" customHeight="1">
      <c r="A296" s="141" t="s">
        <v>90</v>
      </c>
      <c r="B296" s="142"/>
      <c r="C296" s="142"/>
      <c r="D296" s="142"/>
      <c r="E296" s="142"/>
      <c r="F296" s="142"/>
      <c r="G296" s="143"/>
      <c r="H296" s="37"/>
    </row>
    <row r="297" spans="1:8" ht="12.75" customHeight="1">
      <c r="A297" s="138" t="s">
        <v>51</v>
      </c>
      <c r="B297" s="139"/>
      <c r="C297" s="139"/>
      <c r="D297" s="139"/>
      <c r="E297" s="139"/>
      <c r="F297" s="139"/>
      <c r="G297" s="140"/>
      <c r="H297" s="37"/>
    </row>
    <row r="298" spans="1:8" ht="72" customHeight="1">
      <c r="A298" s="117" t="s">
        <v>60</v>
      </c>
      <c r="B298" s="8" t="s">
        <v>91</v>
      </c>
      <c r="C298" s="3" t="s">
        <v>61</v>
      </c>
      <c r="D298" s="3">
        <f>E298+F298+G298</f>
        <v>679</v>
      </c>
      <c r="E298" s="3">
        <f>204+45</f>
        <v>249</v>
      </c>
      <c r="F298" s="3">
        <v>215</v>
      </c>
      <c r="G298" s="3">
        <v>215</v>
      </c>
      <c r="H298" s="42"/>
    </row>
    <row r="299" spans="1:8" ht="25.5">
      <c r="A299" s="117"/>
      <c r="B299" s="8" t="s">
        <v>245</v>
      </c>
      <c r="C299" s="3" t="s">
        <v>61</v>
      </c>
      <c r="D299" s="3">
        <f>E299+F299+G299</f>
        <v>5</v>
      </c>
      <c r="E299" s="3">
        <v>5</v>
      </c>
      <c r="F299" s="3"/>
      <c r="G299" s="3"/>
      <c r="H299" s="42"/>
    </row>
    <row r="300" spans="1:8" ht="25.5">
      <c r="A300" s="117"/>
      <c r="B300" s="8" t="s">
        <v>181</v>
      </c>
      <c r="C300" s="3" t="s">
        <v>121</v>
      </c>
      <c r="D300" s="3">
        <f>E300</f>
        <v>21.861</v>
      </c>
      <c r="E300" s="45">
        <v>21.861</v>
      </c>
      <c r="F300" s="37"/>
      <c r="G300" s="37"/>
      <c r="H300" s="42"/>
    </row>
    <row r="301" spans="1:8" ht="12.75">
      <c r="A301" s="128" t="s">
        <v>264</v>
      </c>
      <c r="B301" s="128"/>
      <c r="C301" s="128"/>
      <c r="D301" s="128"/>
      <c r="E301" s="128"/>
      <c r="F301" s="128"/>
      <c r="G301" s="128"/>
      <c r="H301" s="88"/>
    </row>
    <row r="302" spans="1:8" ht="38.25">
      <c r="A302" s="102" t="s">
        <v>266</v>
      </c>
      <c r="B302" s="8" t="s">
        <v>274</v>
      </c>
      <c r="C302" s="3" t="s">
        <v>121</v>
      </c>
      <c r="D302" s="58">
        <f>E302</f>
        <v>8000</v>
      </c>
      <c r="E302" s="45">
        <v>8000</v>
      </c>
      <c r="F302" s="37"/>
      <c r="G302" s="37"/>
      <c r="H302" s="88"/>
    </row>
    <row r="303" spans="1:8" ht="76.5">
      <c r="A303" s="103"/>
      <c r="B303" s="8" t="s">
        <v>275</v>
      </c>
      <c r="C303" s="3" t="s">
        <v>121</v>
      </c>
      <c r="D303" s="58">
        <f>E303</f>
        <v>600</v>
      </c>
      <c r="E303" s="45">
        <v>600</v>
      </c>
      <c r="F303" s="37"/>
      <c r="G303" s="37"/>
      <c r="H303" s="88"/>
    </row>
    <row r="304" spans="1:8" ht="51">
      <c r="A304" s="103"/>
      <c r="B304" s="8" t="s">
        <v>276</v>
      </c>
      <c r="C304" s="3" t="s">
        <v>121</v>
      </c>
      <c r="D304" s="58">
        <f>E304</f>
        <v>800</v>
      </c>
      <c r="E304" s="45">
        <v>800</v>
      </c>
      <c r="F304" s="37"/>
      <c r="G304" s="37"/>
      <c r="H304" s="88"/>
    </row>
    <row r="305" spans="1:8" ht="76.5">
      <c r="A305" s="78" t="s">
        <v>271</v>
      </c>
      <c r="B305" s="8" t="s">
        <v>275</v>
      </c>
      <c r="C305" s="3" t="s">
        <v>121</v>
      </c>
      <c r="D305" s="58">
        <f>E305</f>
        <v>300</v>
      </c>
      <c r="E305" s="45">
        <v>300</v>
      </c>
      <c r="F305" s="37"/>
      <c r="G305" s="37"/>
      <c r="H305" s="88"/>
    </row>
    <row r="306" spans="1:8" ht="63.75">
      <c r="A306" s="78" t="s">
        <v>272</v>
      </c>
      <c r="B306" s="8" t="s">
        <v>277</v>
      </c>
      <c r="C306" s="3" t="s">
        <v>121</v>
      </c>
      <c r="D306" s="58">
        <f>E306</f>
        <v>3000</v>
      </c>
      <c r="E306" s="58">
        <v>3000</v>
      </c>
      <c r="F306" s="37"/>
      <c r="G306" s="37"/>
      <c r="H306" s="88"/>
    </row>
    <row r="307" spans="1:8" ht="12.75">
      <c r="A307" s="85"/>
      <c r="B307" s="82"/>
      <c r="C307" s="86"/>
      <c r="D307" s="86"/>
      <c r="E307" s="87"/>
      <c r="F307" s="88"/>
      <c r="G307" s="88"/>
      <c r="H307" s="88"/>
    </row>
    <row r="309" spans="1:7" s="33" customFormat="1" ht="18.75">
      <c r="A309" s="33" t="s">
        <v>115</v>
      </c>
      <c r="C309" s="34"/>
      <c r="F309" s="133" t="s">
        <v>116</v>
      </c>
      <c r="G309" s="133"/>
    </row>
    <row r="310" spans="1:7" s="4" customFormat="1" ht="25.5" customHeight="1">
      <c r="A310" s="36"/>
      <c r="B310" s="35"/>
      <c r="D310" s="35"/>
      <c r="E310" s="35"/>
      <c r="F310" s="35"/>
      <c r="G310" s="35"/>
    </row>
    <row r="311" spans="1:7" s="4" customFormat="1" ht="17.25" customHeight="1">
      <c r="A311" s="36"/>
      <c r="B311" s="35"/>
      <c r="D311" s="35"/>
      <c r="E311" s="35"/>
      <c r="F311" s="35"/>
      <c r="G311" s="35"/>
    </row>
    <row r="312" spans="1:7" s="4" customFormat="1" ht="12.75">
      <c r="A312" s="36"/>
      <c r="B312" s="35"/>
      <c r="D312" s="35"/>
      <c r="E312" s="35"/>
      <c r="F312" s="35"/>
      <c r="G312" s="35"/>
    </row>
  </sheetData>
  <sheetProtection/>
  <mergeCells count="114">
    <mergeCell ref="A17:A33"/>
    <mergeCell ref="A36:A49"/>
    <mergeCell ref="A212:A215"/>
    <mergeCell ref="A90:A96"/>
    <mergeCell ref="A70:A71"/>
    <mergeCell ref="A72:G72"/>
    <mergeCell ref="A153:G153"/>
    <mergeCell ref="A154:A157"/>
    <mergeCell ref="B156:B157"/>
    <mergeCell ref="A158:A166"/>
    <mergeCell ref="F309:G309"/>
    <mergeCell ref="A293:G293"/>
    <mergeCell ref="A294:A295"/>
    <mergeCell ref="A287:A289"/>
    <mergeCell ref="A298:A300"/>
    <mergeCell ref="A296:G296"/>
    <mergeCell ref="A301:G301"/>
    <mergeCell ref="A302:A304"/>
    <mergeCell ref="A297:G297"/>
    <mergeCell ref="A97:A101"/>
    <mergeCell ref="A281:G281"/>
    <mergeCell ref="A282:A285"/>
    <mergeCell ref="A290:G290"/>
    <mergeCell ref="A291:A292"/>
    <mergeCell ref="A275:G275"/>
    <mergeCell ref="A216:A217"/>
    <mergeCell ref="A134:A136"/>
    <mergeCell ref="A117:A132"/>
    <mergeCell ref="A35:G35"/>
    <mergeCell ref="A16:G16"/>
    <mergeCell ref="A208:A211"/>
    <mergeCell ref="A286:G286"/>
    <mergeCell ref="B22:B23"/>
    <mergeCell ref="A64:A65"/>
    <mergeCell ref="A199:A201"/>
    <mergeCell ref="A203:A207"/>
    <mergeCell ref="A69:G69"/>
    <mergeCell ref="A34:H34"/>
    <mergeCell ref="D11:G11"/>
    <mergeCell ref="C11:C13"/>
    <mergeCell ref="A276:G276"/>
    <mergeCell ref="A280:G280"/>
    <mergeCell ref="B17:B18"/>
    <mergeCell ref="E12:G12"/>
    <mergeCell ref="A15:H15"/>
    <mergeCell ref="B11:B13"/>
    <mergeCell ref="A11:A13"/>
    <mergeCell ref="D12:D13"/>
    <mergeCell ref="E5:G5"/>
    <mergeCell ref="E6:G6"/>
    <mergeCell ref="A9:G9"/>
    <mergeCell ref="A8:G8"/>
    <mergeCell ref="A52:G52"/>
    <mergeCell ref="A53:G53"/>
    <mergeCell ref="A67:A68"/>
    <mergeCell ref="A57:A62"/>
    <mergeCell ref="A66:G66"/>
    <mergeCell ref="A55:H55"/>
    <mergeCell ref="A50:G50"/>
    <mergeCell ref="A56:G56"/>
    <mergeCell ref="A63:G63"/>
    <mergeCell ref="A277:A279"/>
    <mergeCell ref="A73:G73"/>
    <mergeCell ref="B118:B119"/>
    <mergeCell ref="A139:A143"/>
    <mergeCell ref="B140:B141"/>
    <mergeCell ref="A171:A172"/>
    <mergeCell ref="A218:A219"/>
    <mergeCell ref="A149:A150"/>
    <mergeCell ref="A151:A152"/>
    <mergeCell ref="A102:A116"/>
    <mergeCell ref="A77:A89"/>
    <mergeCell ref="A137:A138"/>
    <mergeCell ref="A133:G133"/>
    <mergeCell ref="A75:G75"/>
    <mergeCell ref="A144:A146"/>
    <mergeCell ref="A147:A148"/>
    <mergeCell ref="A76:G76"/>
    <mergeCell ref="A167:A170"/>
    <mergeCell ref="A175:G175"/>
    <mergeCell ref="A176:A181"/>
    <mergeCell ref="A182:A183"/>
    <mergeCell ref="A173:A174"/>
    <mergeCell ref="A184:A185"/>
    <mergeCell ref="A186:A190"/>
    <mergeCell ref="A191:A193"/>
    <mergeCell ref="B205:B206"/>
    <mergeCell ref="A202:G202"/>
    <mergeCell ref="A194:A196"/>
    <mergeCell ref="A197:A198"/>
    <mergeCell ref="A224:A227"/>
    <mergeCell ref="A252:A253"/>
    <mergeCell ref="A250:A251"/>
    <mergeCell ref="A237:G237"/>
    <mergeCell ref="A238:A240"/>
    <mergeCell ref="A241:A246"/>
    <mergeCell ref="A273:A274"/>
    <mergeCell ref="E1:G1"/>
    <mergeCell ref="E2:G2"/>
    <mergeCell ref="E3:G3"/>
    <mergeCell ref="A259:A263"/>
    <mergeCell ref="A264:A267"/>
    <mergeCell ref="A254:G254"/>
    <mergeCell ref="A228:A230"/>
    <mergeCell ref="A220:G220"/>
    <mergeCell ref="A221:A223"/>
    <mergeCell ref="A247:A249"/>
    <mergeCell ref="A231:A232"/>
    <mergeCell ref="A233:A234"/>
    <mergeCell ref="A235:A236"/>
    <mergeCell ref="A268:A269"/>
    <mergeCell ref="A270:A272"/>
    <mergeCell ref="A255:A258"/>
    <mergeCell ref="B256:B257"/>
  </mergeCells>
  <printOptions/>
  <pageMargins left="1.1811023622047245" right="0.3937007874015748" top="0.7874015748031497" bottom="0.7874015748031497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4" manualBreakCount="4">
    <brk id="62" max="6" man="1"/>
    <brk id="211" max="6" man="1"/>
    <brk id="236" max="6" man="1"/>
    <brk id="3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2014-11-11T11:46:32Z</cp:lastPrinted>
  <dcterms:created xsi:type="dcterms:W3CDTF">1996-10-08T23:32:33Z</dcterms:created>
  <dcterms:modified xsi:type="dcterms:W3CDTF">2014-11-18T07:53:03Z</dcterms:modified>
  <cp:category/>
  <cp:version/>
  <cp:contentType/>
  <cp:contentStatus/>
</cp:coreProperties>
</file>