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1910" windowHeight="9630" tabRatio="612" activeTab="0"/>
  </bookViews>
  <sheets>
    <sheet name="таб.4.1" sheetId="1" r:id="rId1"/>
    <sheet name="таб. 4.2" sheetId="2" r:id="rId2"/>
  </sheets>
  <definedNames>
    <definedName name="_xlnm.Print_Titles" localSheetId="1">'таб. 4.2'!$6:$6</definedName>
    <definedName name="_xlnm.Print_Titles" localSheetId="0">'таб.4.1'!$13:$13</definedName>
    <definedName name="_xlnm.Print_Area" localSheetId="1">'таб. 4.2'!$A$1:$D$125</definedName>
  </definedNames>
  <calcPr fullCalcOnLoad="1"/>
</workbook>
</file>

<file path=xl/sharedStrings.xml><?xml version="1.0" encoding="utf-8"?>
<sst xmlns="http://schemas.openxmlformats.org/spreadsheetml/2006/main" count="1151" uniqueCount="457">
  <si>
    <t>Будівництво мереж зовнішнього освітлення по вул. Свердлова (від вул. Жуковського до вул. Гоголя) (проектні та будівельні роботи)</t>
  </si>
  <si>
    <t>Реконструкція вул.Горького з заміною трамвайної колії від вул.Комунарівської до скверу ім.Пушкіна в Жовтневому районі м. Запоріжжя (проектні роботи)</t>
  </si>
  <si>
    <t>Реконструкція вул. Уральської від вул. Кругової до вул. Чарівної  в Шевченківському районі м. Запоріжжя (проектні роботи)</t>
  </si>
  <si>
    <t xml:space="preserve">Реконструкція вулично- шляхової мережі   по вул. Грибоєдова  від Щасливої до вул. Тобольської у Ленінському районі м. Запоріжжя  (проектні  роботи) </t>
  </si>
  <si>
    <t xml:space="preserve">Реконструкція вул. Жуковського від вул. Чекістів до вул. Залізничної  у Жовтневому районі м. Запоріжжя (проектні  роботи) </t>
  </si>
  <si>
    <t>Будівництво водопропуску через річку Сагайдачку по вул.Скельній в м.Запоріжжя</t>
  </si>
  <si>
    <t>Реконструкція зливової каналізації по вул. Тургєнєва в м. Запоріжжя  (проектні роботи)</t>
  </si>
  <si>
    <t>Будівництво світлофорного об'єкту з пішохідним визивним пристроєм ПВП по вул. Яценка в районі парку Перемоги у м.Запоріжжі (проектні та будівельні роботи)</t>
  </si>
  <si>
    <t>Будівництво світлофорного об'єкту на перехресті вул. Демократичної - вул. Сєченова в м.Запоріжжя (проектні та будівельні роботи)</t>
  </si>
  <si>
    <t>Будівництво двох світлофорних об'єктів з визивним пристроєм в районі зупинкового комплексу "Скворцова" та меморіалу загиблим воїнам по вул. Скворцова в м.Запоріжжя (проектні та будівельні роботи)</t>
  </si>
  <si>
    <t>Будівництво світлофорного об'єкту   з визивним пристроєм на перехресті бул.Шевченка- бул.Гвардійського  в м.Запоріжжя (проектні роботи)</t>
  </si>
  <si>
    <t>Реконструкція світлофорного об'єкту   з визивним пристроєм на перехресті вул.Іванова-вул.Безіменна в м.Запоріжжя (проектні роботи)</t>
  </si>
  <si>
    <t>Внески у статутні капітали комунальних підприємств міста</t>
  </si>
  <si>
    <t>Будівництво зливової каналізації по вул. Іванова у Шевченківському районі м. Запоріжжя ( проектні роботи)</t>
  </si>
  <si>
    <t>Реконструкція вул. Жовтневої від пр. Леніна  до вул.  Жуковського в Жовтневому районі м. Запоріжжя (проектні роботи)</t>
  </si>
  <si>
    <t>Реконструкція зовнішнього електропостачання будівлі Палацу спорту "Юність" (проектні роботи, експертиза)</t>
  </si>
  <si>
    <t>Реконструкція мереж зовнішнього освітлення по пров. Арбатський</t>
  </si>
  <si>
    <t>Реконструкція вул.Героїв Сталінграду від вул.Яценка до вул.Грязнова в Жовтневому районі м. Запоріжжя (проектні роботи)</t>
  </si>
  <si>
    <t xml:space="preserve">Реконструкція будівлі дошкільного навчального закладу № 220 по вул. Давидова, 11 Ленінського району м.Запоріжжя (проектні та будівельні роботи)  </t>
  </si>
  <si>
    <t>Реконструкція ігрового майданчика для дітей середнього віку з благоустроєм прилеглої території в районі житлового будинку по вул. Південноукраїнській, 15 в м.Запоріжжі (проектні роботи та експертиза)</t>
  </si>
  <si>
    <t>Будівництво спортивних майданчиків для занять паркуром в районі будинку №19 по вул. Південноукраїнській в м.Запоріжжі</t>
  </si>
  <si>
    <t>Реконструкція тротуару по вул. Південноукраїнській до вул. Чубаря під пішохідну алею з влаштуванням дитячих майданчиків в м. Запоріжжі</t>
  </si>
  <si>
    <t>Реконструкція житлового будинку  по вул.Республіканській, 88  в м. Запоріжжя</t>
  </si>
  <si>
    <t>Реконструкція житлового будинку по вул.Ракетній, 38а  в м. Запоріжжя</t>
  </si>
  <si>
    <t>130110</t>
  </si>
  <si>
    <t>Фінансова підтримка спортивних споруд</t>
  </si>
  <si>
    <t>46,800</t>
  </si>
  <si>
    <t>091209</t>
  </si>
  <si>
    <t>Фінансова підтримка громадських організацій інвалідів і ветеранів</t>
  </si>
  <si>
    <t>Реконструкція мереж зовнішнього освітлення по вул.Приовражна, 4а-12 (проектні роботи та експертиза)</t>
  </si>
  <si>
    <t>Реконструкція Палацу спорту "Юність" у м.Запоріжжя (проектні  та будівельні роботи)</t>
  </si>
  <si>
    <t>Будівництво дитячих будинків сімейного типу  в сел. Тепличне в районі житлової забудови по вул. Центральній в м. Запоріжжі (проектні роботи, експертиза)</t>
  </si>
  <si>
    <t>Реконструкція водогону з його виносом з-під житлової забудови по вул. Первомайській (від вул. Кооперативної до вул.Української, 92) в м.Запоріжжі</t>
  </si>
  <si>
    <t xml:space="preserve">Ліквідація аварійного стану на ділянці автодороги загального користування державного значення М-18 траса Харків-Сімферополь-Алушта-Ялта (від км 289+665 до км 299+491) у Шевченківському районі (в районі "М'ясокомбінату") у м. Запоріжжя </t>
  </si>
  <si>
    <t>Реконструкція мостового переходу через залізницю по вул. Заводській в м.Запоріжжі</t>
  </si>
  <si>
    <t xml:space="preserve">Реконструкція вул. Гоголя від вул. Української до вул. Грязнова в Жовтневому районі м. Запоріжжя </t>
  </si>
  <si>
    <t>070805</t>
  </si>
  <si>
    <t>070806</t>
  </si>
  <si>
    <t>Групи централізованого господарського обслуговування</t>
  </si>
  <si>
    <t>Реконструкція нежитлового приміщення по вул. Горького, 55 під амбулаторію сімейного лікаря КЗ "Запорізький центр первинної медико-санітарної допомоги № 1" в м.Запоріжжя</t>
  </si>
  <si>
    <t>Будівництво та встановлення оглядових веж</t>
  </si>
  <si>
    <t>Влаштування флагштоків у парку Металургів в м.Запоріжжі на Алеї Пам"яті Героїв, загиблих в АТО - нове будівництво</t>
  </si>
  <si>
    <t>Комунальне підприємство "Експлуатаційне лінійне управління автомобільних шляхів" (придбання тротуароприбиральної машини Джонстон CN 101 - 1 од., підмітально-прибиральної машини Brod Sweeden AB Scandia 2 - 1 од., дорожньо-розміточної машини Graco Line Lazer IV 3900 - 1 од.)</t>
  </si>
  <si>
    <t>Комунальне підприємство "Титан" (придбання пляжеприбиральної машини "Ondina" (SCAM) - 1 од., міні трактори МТ 6112 -  2 од.)</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</si>
  <si>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t>
  </si>
  <si>
    <t>Комунальне підприємство "Міжнародний аеропорт Запоріжжя" (придбання спецтехніки - 2 технологічних автомобілів)</t>
  </si>
  <si>
    <t>Реконструкція скверу з влаштуванням фонтанів на площі Маяковського в м. Запоріжжі, присвячених ліквідаторам Чорнобильської катастрофи (проектні роботи, експертиза) - погашення заборгованості за минулі роки</t>
  </si>
  <si>
    <t xml:space="preserve">Реконструкція скверу, прилеглого до ПК "Заводський" з улаштуванням дитячого майданчику </t>
  </si>
  <si>
    <t>Житловий будинок по вул.Дзержинського, 52 - реконструкція в м. Запоріжжі</t>
  </si>
  <si>
    <t>Реконструкція дороги  вул.  Стешенка від вул. Новокузнецької до вул. Автозаводської в Комунарському районі м. Запоріжжя (проектні роботи, експертиза)</t>
  </si>
  <si>
    <t>Реконструкція прибудови до житлової будівлі під амбулаторію сімейного лікаря по вул. Дорошенко, 3 в Хортицькому районі, м. Запоріжжя</t>
  </si>
  <si>
    <t>Реконструкція мереж зовнішнього освітлення Центрального парку культури і відпочинку "Дубовий гай" в м. Запоріжжі ТП-267 (парк "Дубовий гай")"</t>
  </si>
  <si>
    <t>Будівництво дороги до каналізаційної насосної станції №3 по вул. Лізи Чайкіної  (проектні роботи)</t>
  </si>
  <si>
    <t xml:space="preserve">Реконструкція амбулаторії №6  Центру первинної медико-санітарної допомоги № 2 по вул. Брюллова, 6 в м.Запоріжжя (проектні роботи) </t>
  </si>
  <si>
    <t>вул. Кузнєцова,34б</t>
  </si>
  <si>
    <t>вул. Кузнєцова,34а - погашення заборгованості за минулі роки</t>
  </si>
  <si>
    <t>Нове будівництво гостьової автостоянки КП "Центральний парк культури і відпочинку "Дубовий гай" по Прибережній магістралі в м. Запоріжжі</t>
  </si>
  <si>
    <t>Вертикальне планування території в районі житлових будинків по вул. Нагнибіди, 11, 11а в м.Запоріжжі - нове будівництво</t>
  </si>
  <si>
    <t>Нове будівництво ґрунтової підпірної  стінки в котловані незавершеного будівництва житлового будинку по вул.Горького, 167 в м. Запоріжжі</t>
  </si>
  <si>
    <t>Реконструкція світлофорного об'єкту   з визивним пристроєм на перехресті вул.Чарівна-вул. Цитрусова в м.Запоріжжя (проектні роботи)</t>
  </si>
  <si>
    <t>Будівництво світлофорного об'єкту на перехресті вул. Радгоспної - вул. Магара в м.Запоріжжя (проектні та будівельні роботи)</t>
  </si>
  <si>
    <t>Комунальне підприємство "Експлуатаційне лінійне управління автомобільних шляхів" (придбання навантажувача фронтального В-130 - 1 од., автобусу Богдан А 20110 - 1 од., дорожньо-розміточної машини з самохідним приводом руху - 1 од., газелі вантажопасажирської АС - G 27057-388 ВП6 (4*4) - 3 од., самоскиду на шасі FOTON AUMAN 30т - 2 од.)</t>
  </si>
  <si>
    <t>Комунальне підприємство "Титан" (придбання мобільних туалетних кабін - 50 од., пам'ятні знаки "Запорізьким захисникам України - 2 од.)</t>
  </si>
  <si>
    <t>Будівництво мереж освітлення оглядових веж</t>
  </si>
  <si>
    <t>Управління розвитку підприємництва та дозвільних послуг Запорізької міської ради</t>
  </si>
  <si>
    <t>Реконструкція вул. Сталеварів (від пр. Леніна  до вул. Перемоги)</t>
  </si>
  <si>
    <t>Реконструкція житлового будинку по пл. Профспілок, 4</t>
  </si>
  <si>
    <t>Реконструкція пішохідної частини проспекту Маяковського (проектні роботи)</t>
  </si>
  <si>
    <t>Міське комунальне підприємство "Основаніє" (придбання деревоподрібнюючої машини - 6 од., інструменту для прочистки каналізації "REMS" Кобра - 11 од., вантажопасажирських автомобілів АС - G2752 ВП 6 - 2 од., трактор Беларусь 82.1-10 од., трактор Беларусь 320МУ - 1 од., трактор Борекс - 1 од., кущоріз - 1 од.)</t>
  </si>
  <si>
    <t>Встановлення типових модульних споруд з влаштуванням  електро- та водопостачання для тимчасового перебування переселенців із зони АТО в мікрорайоні № 6 житлового масиву "Південний"                        м. Запоріжжя</t>
  </si>
  <si>
    <t>КП "УКБ", МКП "Основаніє"</t>
  </si>
  <si>
    <t>Будівництво споруд зливової каналізації в межах відновлення берегової території сел. Павло-Кічкас м. Запоріжжя (проектні роботи)</t>
  </si>
  <si>
    <t>Перелік капітальних видатків, які у 2014 році будуть проводитися за рахунок коштів бюджету розвитку  міста</t>
  </si>
  <si>
    <t>05.11.2014 №7</t>
  </si>
  <si>
    <t>Назва головного розпорядника коштів</t>
  </si>
  <si>
    <t>Департамент економічного розвитку Запорізької міської ради</t>
  </si>
  <si>
    <t>Департамент освіти і науки, молоді та спорту Запорізької міської ради</t>
  </si>
  <si>
    <t>Управління соціального захисту населення Запорізької міської ради</t>
  </si>
  <si>
    <t>Районна адміністрація Запорізької міської ради по Орджонікідзевському району</t>
  </si>
  <si>
    <t>Районна адміністрація Запорізької міської ради по Заводському району</t>
  </si>
  <si>
    <t>210105</t>
  </si>
  <si>
    <t>(тис.грн.)</t>
  </si>
  <si>
    <t>Код типової відомчої класифікації видатків місцевих бюджетів</t>
  </si>
  <si>
    <t>Назва об'єктів відповідно до проектно-кошторисної документації, тощо</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</si>
  <si>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</si>
  <si>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бюджетів</t>
  </si>
  <si>
    <t>Всього</t>
  </si>
  <si>
    <t>Видатки на запобігання та ліквідацію надзвичайних ситуацій та наслідків стихійного лиха</t>
  </si>
  <si>
    <t>Таблиця 4.2</t>
  </si>
  <si>
    <t>03</t>
  </si>
  <si>
    <t>010116</t>
  </si>
  <si>
    <t>Органи місцевого самоврядування</t>
  </si>
  <si>
    <t>капітальні видатки</t>
  </si>
  <si>
    <t>Інші видатки</t>
  </si>
  <si>
    <t>070101</t>
  </si>
  <si>
    <t>Дошкільні заклади освіти</t>
  </si>
  <si>
    <t>070201</t>
  </si>
  <si>
    <t xml:space="preserve">Загальноосвітні школи (в т.ч.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</si>
  <si>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</si>
  <si>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</si>
  <si>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</si>
  <si>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</si>
  <si>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</si>
  <si>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</si>
  <si>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</si>
  <si>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</si>
  <si>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</si>
  <si>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</si>
  <si>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</si>
  <si>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</si>
  <si>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</si>
  <si>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</si>
  <si>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</si>
  <si>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</si>
  <si>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</si>
  <si>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</si>
  <si>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</si>
  <si>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</si>
  <si>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100102</t>
  </si>
  <si>
    <t>Капітальний ремонт житлового фонду місцевих органів ради</t>
  </si>
  <si>
    <t>250404</t>
  </si>
  <si>
    <t xml:space="preserve">                                                                                                                                                                                                                                                                                                                                                                                                                                                                                                                                                                                                                                                                                                                                                                                                                                                                                                                                                                                                                                                                                </t>
  </si>
  <si>
    <t>100203</t>
  </si>
  <si>
    <t>Департамент комунальної власності та приватизації Запорізької міської ради</t>
  </si>
  <si>
    <t>Управління з питань земельних відносин Запорізької міської ради</t>
  </si>
  <si>
    <t>65</t>
  </si>
  <si>
    <t>Управління з питань транспортного забезпечення та зв"язку Запорізької міської ради</t>
  </si>
  <si>
    <t>210110</t>
  </si>
  <si>
    <t>Заходи з організації рятування на водах</t>
  </si>
  <si>
    <t>091204</t>
  </si>
  <si>
    <t>Територіальні центри соціального обслуговування (надання соціальних послуг)</t>
  </si>
  <si>
    <t>95</t>
  </si>
  <si>
    <t>Департамент житлово-комунального  господарства Запорізької міської ради</t>
  </si>
  <si>
    <t>Благоустрій міст, сіл, селищ</t>
  </si>
  <si>
    <t xml:space="preserve">Управління з питань попередження надзвичайних ситуацій та цивільного захисту населення Запорізької міської ради </t>
  </si>
  <si>
    <t xml:space="preserve">Виконавчий комітет міської ради </t>
  </si>
  <si>
    <t>92</t>
  </si>
  <si>
    <t>96</t>
  </si>
  <si>
    <t>в тому числі погашення заборгованості за минулі роки</t>
  </si>
  <si>
    <t xml:space="preserve">120201 </t>
  </si>
  <si>
    <t>080500</t>
  </si>
  <si>
    <t>Загальні і спеціалізовані стоматологічні поліклініки</t>
  </si>
  <si>
    <t>Районна адміністрація Запорізької міської ради по Шевченківському району</t>
  </si>
  <si>
    <t>070202</t>
  </si>
  <si>
    <t>Вечірні (змінні) школи</t>
  </si>
  <si>
    <t>130107</t>
  </si>
  <si>
    <t>Утримання та навчально-тренувальна робота дитячо-юнацьких спортивних шкіл</t>
  </si>
  <si>
    <t>Благоустрій міста</t>
  </si>
  <si>
    <t xml:space="preserve">Органи місцевого самоврядування </t>
  </si>
  <si>
    <t>Районна адміністрація Запорізької міської ради по Комунарському  району</t>
  </si>
  <si>
    <t>100106</t>
  </si>
  <si>
    <t>Капітальний ремонт житлового фонду об'єднань співвласників багатоквартирних будинків</t>
  </si>
  <si>
    <t>Районна адміністрація Запорізької міської ради по Ленінському району</t>
  </si>
  <si>
    <t>90</t>
  </si>
  <si>
    <t>91</t>
  </si>
  <si>
    <t>Районна адміністрація Запорізької міської ради по Хортицькому району</t>
  </si>
  <si>
    <t>171000</t>
  </si>
  <si>
    <t>Діяльність і послуги не віднесені до інших категорій</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</si>
  <si>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</si>
  <si>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</si>
  <si>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</si>
  <si>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</si>
  <si>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76</t>
  </si>
  <si>
    <t>Департамент фінансової та бюджетної політики Запорізької міської ради</t>
  </si>
  <si>
    <t>93</t>
  </si>
  <si>
    <t>21,375</t>
  </si>
  <si>
    <t>Районна адміністрація Запорізької міської ради по Жовтневого району</t>
  </si>
  <si>
    <t>Департамент архітектури та містобудування Запорізької міської ради</t>
  </si>
  <si>
    <t>Періодичні видання (газети та журнали)</t>
  </si>
  <si>
    <t>ЗАТВЕРДЖЕНО</t>
  </si>
  <si>
    <t>Рішення міської ради</t>
  </si>
  <si>
    <t>Додаток 4</t>
  </si>
  <si>
    <t>Таблиця 4.1</t>
  </si>
  <si>
    <t>Загальний обсяг фінансування будівництва (інших капітальних вкладень, кошторисна вартість</t>
  </si>
  <si>
    <t xml:space="preserve">Відсоток завершеності будівництва об'єкта на майбутні роки </t>
  </si>
  <si>
    <t>Всього видатків на завершення будівництва об'єктів на майбутні роки</t>
  </si>
  <si>
    <t>Замовник / розпорядник бюджетних коштів нижчого рівня / одержувач бюджетних коштів</t>
  </si>
  <si>
    <t>Капітальні вкладення</t>
  </si>
  <si>
    <t>150101</t>
  </si>
  <si>
    <t>Будівля навчального комплексу "Запорізька Січ" о.Хортиця, м.Запоріжжя - реконструкція</t>
  </si>
  <si>
    <t>КП "УКБ"</t>
  </si>
  <si>
    <t>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</si>
  <si>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</si>
  <si>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Реконструкція будівлі дошкільного навчального закладу №285  по пр. 40-річчя Перемоги, 15а, Комунарського району (проектні та будівельні роботи)</t>
  </si>
  <si>
    <t>Реконструкція будівлі дошкільного навчального закладу №186 по вул.12 Квітня, 2а (проектні та будівельні роботи)</t>
  </si>
  <si>
    <t>Управління з питань охорони здоров"я  Запорізької  міської ради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</si>
  <si>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</si>
  <si>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 xml:space="preserve">Реконструкція частини будівлі під амбулаторію сімейного лікаря по вул. Воронезька, 10 в Хортицькому районі </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</si>
  <si>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t>
  </si>
  <si>
    <t xml:space="preserve">Реконструкція  приміщень комунальної установи  "Міська клінічна лікарня №2", м. Запоріжжя (проектні та будівельні роботи) </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</si>
  <si>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</si>
  <si>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Комунальний заклад "Міська клінічна лікарня №3" - реконструкція відділення очної травми та приймального відділення (проектні роботи)</t>
  </si>
  <si>
    <t>Реконструкція відділення мікрохірургії ока комунальної установи "Запорізька міська багатопрофільна клінічна лікарня №9 м.Запоріжжя"</t>
  </si>
  <si>
    <t>Термомодернізація будівлі комунальної установи "Центральна поліклініка Жовтневого району" по пр. Леніна, 88, м.Запоріжжя - реконструкція</t>
  </si>
  <si>
    <t>Ремонтні та реставраційні роботи по будівлі комунального закладу охорони здоров’я «Студентська поліклініка» по пр. Леніна, 59 м.Запоріжжя</t>
  </si>
  <si>
    <t>Реконструкція будівлі по вул. Таганська, 8 під соціальний готель (проектні та будівельні роботи)</t>
  </si>
  <si>
    <t>Попередження створенню аварійного стану прибудови комунального підприємства Палац культури "Орбіта" (проектні та будівельні роботи)</t>
  </si>
  <si>
    <t xml:space="preserve">Управління розвитку підприємництва та дозвільних послуг Запорізької міської ради </t>
  </si>
  <si>
    <t>Реконструкція ринку Соцміста КП "Запоріжринок" вул. Рекордна, 2, м. Запоріжжя (проектні та будівельні роботи)</t>
  </si>
  <si>
    <t>Департамент житлово-комунального господарства Запорізької міської ради</t>
  </si>
  <si>
    <t>Житловий будинок по пр. Леніна, 133  м. Запоріжжя - ліквідація  аварійного стану надбудови над аркою</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</si>
  <si>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</si>
  <si>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МКП "Основаніє"</t>
  </si>
  <si>
    <t xml:space="preserve">Житловий будинок по бул. Вінтера,50 - реконструкція  </t>
  </si>
  <si>
    <t xml:space="preserve">Реконструкція системи диспетчеризації ліфтового господарства в Комунарському районі м. Запоріжжя </t>
  </si>
  <si>
    <t>Житловий будинок № 149 по вул. Гоголя ІІ корпус - реконструкція нежитлового приміщення в житлове</t>
  </si>
  <si>
    <t>Житловий будинок по вул. Республіканській,185 - реконструкція  системи теплопостачання</t>
  </si>
  <si>
    <t>Будівництво теплової мережі до 3-ої секції житлового будинку по вул.Дзержинського, 114 (проектні та будівельні роботи)</t>
  </si>
  <si>
    <t>150118</t>
  </si>
  <si>
    <t>Житлове будівництво та придбання житла для окремих категорій населення</t>
  </si>
  <si>
    <t>Будівництво дитячих майданчиків  (проектні та будівельні роботи)</t>
  </si>
  <si>
    <t xml:space="preserve">Будівництво спортивних майданчиків </t>
  </si>
  <si>
    <t>Будівництво майданчику для силової гімнастики з благоустроєм в районі будинку №15 по вул. Південноукраїнської в м.Запоріжжі</t>
  </si>
  <si>
    <t>Реконструкція шляхопроводу через р. Мокра Московка на автошляху Харків-Сімферополь (проектні та будівельні роботи)</t>
  </si>
  <si>
    <t>Ліквідація аварійного стану автодороги, зливової та побутової каналізації по вул. М.Судця, м.Запоріжжя</t>
  </si>
  <si>
    <t>Реконструкція автошляхопроводу  по вул. Карпенка-Карого (проектні та будівельні роботи)</t>
  </si>
  <si>
    <t>Будівництво зливової каналізації на проїжджій частині ділянки автодороги загального користування державного значення М-18 Харьків-Сімферополь на 299 км у Комунарському районі м.Запоріжжя (проектні роботи, експертиза)</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</si>
  <si>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</si>
  <si>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Реконструкція розділювальної смуги на Прибрежній магістралі від вул. Української до вул. Глісерної з будівництвом світлофорних об"єктів в м. Запоріжжі (проектні та будівельні роботи)</t>
  </si>
  <si>
    <t xml:space="preserve">Завершення будівництва по вул. Калнишевського, вул. Дорошенко, вул. Рубана (зовнішнє освітлення та дороги) </t>
  </si>
  <si>
    <t>Реконструкція частини центральної пішохідної алеї по пр. Ювілейному в м. Запоріжжі  (проектні роботи, експертиза)</t>
  </si>
  <si>
    <t>Реконструкція пішохідного переходу через балку Маркусова від вул. Історичної до вул. Сеченова в м. Запоріжжі (проектні роботи та експертиза)</t>
  </si>
  <si>
    <t>КП "Титан"</t>
  </si>
  <si>
    <t xml:space="preserve">Будівництво водогону Д=315 мм по вул.Сапожнікова, м.Запоріжжя </t>
  </si>
  <si>
    <t>Реконструкція тротуару по вул. Новокузнецькій (непарна сторона)</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</si>
  <si>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</si>
  <si>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Реконструкція скверу  Театрального  в м. Запоріжжя (проектні та будівельні роботи)</t>
  </si>
  <si>
    <t>Реконструкція площі ім. Леніна в м.Запоріжжя (проектно-вишукувальні роботи)</t>
  </si>
  <si>
    <t>Будівництво трамвайної колії від пр. Леніна до вул. Жовтневої в м. Запоріжжі (проектно-вишукувальні роботи, експертиза)</t>
  </si>
  <si>
    <t>180409</t>
  </si>
  <si>
    <t>Внески органів місцевого самоврядування у статутні капітали суб'єктів підприємницької діяльності</t>
  </si>
  <si>
    <t>в тому числі</t>
  </si>
  <si>
    <t>КП "Зеленбуд"</t>
  </si>
  <si>
    <t>КП "ЕЛУАШ"</t>
  </si>
  <si>
    <t>КП "Запоріжміськсвітло"</t>
  </si>
  <si>
    <t>Управління з питань транспортного забезпечення та зв'язку Запорізької міської ради</t>
  </si>
  <si>
    <t>ЗКПМЕ "Запоріжелектротранс"</t>
  </si>
  <si>
    <t>Комунальне підприємство "Міжнародний аеропорт Запоріжжя" (проведення заходів для проходження чергової  сертифікаційної перевірки, придбання кільцевого багажного транспортера (конвеєра))</t>
  </si>
  <si>
    <t>КП "Міжнародний аеропорт Запоріжжя"</t>
  </si>
  <si>
    <t>Реконструкція хлораторної ДВС-2,  м. Запоріжжя (проектні та будівельні роботи)</t>
  </si>
  <si>
    <r>
      <t>Газифікація житлових будинків по вул. Воєнбуд м.Запоріжжя</t>
    </r>
  </si>
  <si>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</si>
  <si>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</si>
  <si>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</si>
  <si>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Газифікація житлових будинків по вул. Шушенська в Ленінському районі м.Запоріжжя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</si>
  <si>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</si>
  <si>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t>Реконструкція парку "Трудової слави" в м. Запоріжжі</t>
  </si>
  <si>
    <t>Реконструкція дороги по вул. Південноукраїнська та вул. Панфіловців з влаштуванням гостьових автомобільних стоянок (проектні роботи, експертиза)</t>
  </si>
  <si>
    <t>Будівництво декоративних підпірних стін від вул. Правда до вул. Перемога (проектні та будівельні роботи)</t>
  </si>
  <si>
    <t xml:space="preserve">Реконструкція ділянки пішохідної алеї від вул. Правда до вул. Патріотична (проектні та будівельні роботи)  </t>
  </si>
  <si>
    <t>Реконструкція дороги по вул. Чубаря з влаштуванням гостьових автомобільних стоянок (проектні роботи, експертиза)</t>
  </si>
  <si>
    <t>Районна адміністрація Запорізької міської ради по Жовтневому району</t>
  </si>
  <si>
    <t xml:space="preserve">Перелік видатків,  які у 2014 році будуть проводитися за рахунок коштів бюджету розвитку міста </t>
  </si>
  <si>
    <t>до Програми економічного і соціального розвитку                                                                                   м. Запоріжжя на 2014 рік</t>
  </si>
  <si>
    <t xml:space="preserve">Перелік першочергових об'єктів будівництва, реконструкції та ліквідації аварійного стану об'єктів, видатки на які у 2014 році будуть проводитися за рахунок коштів бюджету розвитку міста </t>
  </si>
  <si>
    <t>Видатки на 2014 рік</t>
  </si>
  <si>
    <t xml:space="preserve">Реконструкція будівлі Міського Палацу дитячої та юнацької творчості по пл. Леніна, 1 </t>
  </si>
  <si>
    <t xml:space="preserve">Комунальна установа «Міська клінічна лікарня екстреної та швидкої медичної допомоги м.Запоріжжя» -  реконструкція травматологічного відділення (проектні та будівельні роботи) </t>
  </si>
  <si>
    <t>Реконструкція пр. Леніна на ділянці від вул. Кірова до залізничній станції «Запоріжжя-1» (ділянка від вул. Кірова до вул. Космічної)</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</si>
  <si>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t>
  </si>
  <si>
    <t>Реконструкція контактної мережі тролейбусу на греблі "Дніпрогес" і на дільниці від площі Леніна до естакади через шлюзи</t>
  </si>
  <si>
    <t xml:space="preserve">Реконструкція дитячого містечка в районі вул. Південноукраїнська з установкою малих архітектурних форм (проектні та будівельні роботи) </t>
  </si>
  <si>
    <t>Реконструкція зовнішнього освітлення в районі вул. Правда - вул. Чубаря, м.Запоріжжя (проектні та будівельні роботи)</t>
  </si>
  <si>
    <t xml:space="preserve">Внески у статутні капітали комунальних підприємств міста </t>
  </si>
  <si>
    <t>Будівництво зливової каналізації на ділянці автодороги загального користування державного значення М-18 Харьків-Сімферополь  у Шевченківському районі м.Запоріжжя (проектні роботи, експертиза)</t>
  </si>
  <si>
    <t>Реконструкція скверу біля пам"ятника Ф.Е. Дзержинського, в м. Запоріжжі</t>
  </si>
  <si>
    <t>Виконавчий комітет міської ради</t>
  </si>
  <si>
    <t xml:space="preserve">Будівництво систем відеоспостереження у місцях масового перебування громадян </t>
  </si>
  <si>
    <t>в тому числі за адресами:</t>
  </si>
  <si>
    <t>пр. Леніна, 96</t>
  </si>
  <si>
    <t>вул.Перемоги, 131а</t>
  </si>
  <si>
    <t>вул.Дегтярьова, 5а</t>
  </si>
  <si>
    <t>вул. Н.Містечка, 19 гол. фасад.</t>
  </si>
  <si>
    <t>вул.Тенісна, 11</t>
  </si>
  <si>
    <t>пр.Ювілейний,23А</t>
  </si>
  <si>
    <t>вул.Рубана,13</t>
  </si>
  <si>
    <t>вул.Задніпровська, 36</t>
  </si>
  <si>
    <t>вул.Памірська,91</t>
  </si>
  <si>
    <t>пр.40 річчя Перемоги,67</t>
  </si>
  <si>
    <t>вул. 40 років Радянської України, 49</t>
  </si>
  <si>
    <t>бул. Центральний, 3</t>
  </si>
  <si>
    <t>вул.Свердлова, 39</t>
  </si>
  <si>
    <t>вул.Чернівецька, 6</t>
  </si>
  <si>
    <t>вул.Узбекистанська, 5</t>
  </si>
  <si>
    <t>вул. Історична, 29</t>
  </si>
  <si>
    <t>вул.Глазунова,6</t>
  </si>
  <si>
    <t>вул.Ентузіастів,3</t>
  </si>
  <si>
    <t>пр. Моторобудівників, 26</t>
  </si>
  <si>
    <t>пр. Леніна, 192 - погашення заборгованості за минулі роки</t>
  </si>
  <si>
    <t>пр. Леніна, 148 - погашення заборгованості за минулі роки</t>
  </si>
  <si>
    <t>вул. Перемоги, 65- погашення заборгованості за минулі роки</t>
  </si>
  <si>
    <t>вул.Перемоги, 87а - погашення заборгованості за минулі роки</t>
  </si>
  <si>
    <t>вул. Гагаріна, 8 - погашення заборгованості за минулі роки</t>
  </si>
  <si>
    <t>вул. Запорізька, 6 - погашення заборгованості за минулі роки</t>
  </si>
  <si>
    <t>вул. Бочарова, 8 - погашення заборгованості за минулі роки</t>
  </si>
  <si>
    <t>вул. Бочарова, 16-б - погашення заборгованості за минулі роки</t>
  </si>
  <si>
    <t>вул.Косигіна, 9 - погашення заборгованості за минулі роки</t>
  </si>
  <si>
    <t>вул.Авраменко, 7 - погашення заборгованості за минулі роки</t>
  </si>
  <si>
    <t>вул.Центральна, 5 - погашення заборгованості за минулі роки</t>
  </si>
  <si>
    <t>вул.Фільтрова, 25 - погашення заборгованості за минулі роки</t>
  </si>
  <si>
    <t>вул.Фундаментальна, 17 - погашення заборгованості за минулі роки</t>
  </si>
  <si>
    <t>вул.Магнітна, 2 - погашення заборгованості за минулі роки</t>
  </si>
  <si>
    <t>вул.Історична, 73 - погашення заборгованості за минулі роки</t>
  </si>
  <si>
    <t>вул. Історична, 37а - погашення заборгованості за минулі роки</t>
  </si>
  <si>
    <t>вул.Республіканська, 51 - погашення заборгованості за минулі роки</t>
  </si>
  <si>
    <t>вул.Гудименко,9 - погашення заборгованості за минулі роки</t>
  </si>
  <si>
    <t>пр.Ювілейний,29 - погашення заборгованості за минулі роки</t>
  </si>
  <si>
    <t>пр.Ювілейний, 24/1 - погашення заборгованості за минулі роки</t>
  </si>
  <si>
    <t>вул.Задніпровська,21 - погашення заборгованості за минулі роки</t>
  </si>
  <si>
    <t>вул.Задніпровська,27 - погашення заборгованості за минулі роки</t>
  </si>
  <si>
    <t>вул.Зестафонська,10-б - погашення заборгованості за минулі роки</t>
  </si>
  <si>
    <t>вул.Дніпровські пороги,21 - погашення заборгованості за минулі роки</t>
  </si>
  <si>
    <t>вул.Зернова,30а - погашення заборгованості за минулі роки</t>
  </si>
  <si>
    <t>вул.Кремлівська, 17 - погашення заборгованості за минулі роки</t>
  </si>
  <si>
    <t>вул.Кремлівська,81 - погашення заборгованості за минулі роки</t>
  </si>
  <si>
    <t xml:space="preserve">вул. Портова, буд. 2  - погашення заборгованості за минулі роки                                                                                                     </t>
  </si>
  <si>
    <t>вул.Військбуд,84 - погашення заборгованості за минулі роки</t>
  </si>
  <si>
    <t>вул.Чарівна,95 - погашення заборгованості за минулі роки</t>
  </si>
  <si>
    <t>вул.Космічна,101 - погашення заборгованості за минулі роки</t>
  </si>
  <si>
    <t>вул.Космічна,112 б - погашення заборгованості за минулі роки</t>
  </si>
  <si>
    <t>вул.Новокузнецька,36а - погашення заборгованості за минулі роки</t>
  </si>
  <si>
    <t>вул.Чумаченко,13 - погашення заборгованості за минулі роки</t>
  </si>
  <si>
    <t>вул.Чумаченко,36а - погашення заборгованості за минулі роки</t>
  </si>
  <si>
    <t>вул.Автозаводська,4 - погашення заборгованості за минулі роки</t>
  </si>
  <si>
    <t>пр.40 річчя Перемоги,63 - погашення заборгованості за минулі роки</t>
  </si>
  <si>
    <t>вул.Олімпійська,10 - погашення заборгованості за минулі роки</t>
  </si>
  <si>
    <t>вул.Антарктична,15а - погашення заборгованості за минулі роки</t>
  </si>
  <si>
    <t>вул.Садова,101 - погашення заборгованості за минулі роки</t>
  </si>
  <si>
    <t>вул. Миру, 5 - погашення заборгованості за минулі роки</t>
  </si>
  <si>
    <t>вул. Лермонтова, 6 - погашення заборгованості за минулі роки</t>
  </si>
  <si>
    <t>вул. Грязнова, 2 - погашення заборгованості за минулі роки</t>
  </si>
  <si>
    <t>вул.Грязнова, 90а - погашення заборгованості за минулі роки</t>
  </si>
  <si>
    <t>вул. Козача, 47 - погашення заборгованості за минулі роки</t>
  </si>
  <si>
    <t>вул. Комунарівська, 64 - погашення заборгованості за минулі роки</t>
  </si>
  <si>
    <t>вул.Молодіжна, 85 - погашення заборгованості за минулі роки</t>
  </si>
  <si>
    <t>вул.Дніпропетровське шосе, 54 - погашення заборгованості за минулі роки</t>
  </si>
  <si>
    <t>вул. Ладозька, 14 - погашення заборгованості за минулі роки</t>
  </si>
  <si>
    <t>вул.Гребельна, 1 - погашення заборгованості за минулі роки</t>
  </si>
  <si>
    <t>вул.14 Жовтня, 9 - погашення заборгованості за минулі роки</t>
  </si>
  <si>
    <t>вул.Лахтинська, 7 - погашення заборгованості за минулі роки</t>
  </si>
  <si>
    <t>пр.Моторобудівників, 3 - погашення заборгованості за минулі роки</t>
  </si>
  <si>
    <t>вул.Уральська, 27 - погашення заборгованості за минулі роки</t>
  </si>
  <si>
    <t>вул.Деповська, 85 - погашення заборгованості за минулі роки</t>
  </si>
  <si>
    <t>вул.Ніжинська, 68-а - погашення заборгованості за минулі роки</t>
  </si>
  <si>
    <t>вул. Перемоги, 119-б  - погашення заборгованості за минулі роки</t>
  </si>
  <si>
    <t>вул. Магістральна,  72а - погашення заборгованості за минулі роки</t>
  </si>
  <si>
    <t>вул. Магістральна, 92а - погашення заборгованості за минулі роки</t>
  </si>
  <si>
    <t>вул. Чарівна, 127 - погашення заборгованості за минулі роки</t>
  </si>
  <si>
    <t>вул.Ніжинська,66 - погашення заборгованості за минулі роки</t>
  </si>
  <si>
    <t>вул. Історична, 20 а - погашення заборгованості за минулі роки</t>
  </si>
  <si>
    <t>вул.Історична,34 - погашення заборгованості за минулі роки</t>
  </si>
  <si>
    <t>вул. М.Чуйкова,32 - погашення заборгованості за минулі роки</t>
  </si>
  <si>
    <t>вул. Дудикіна,9а - погашення заборгованості за минулі роки</t>
  </si>
  <si>
    <t>вул. Верхня, 10 - погашення заборгованості за минулі роки</t>
  </si>
  <si>
    <t>вул.Вороніхіна,8   - погашення заборгованості за минулі роки</t>
  </si>
  <si>
    <t>вул.Чумаченко,37 - погашення заборгованості за минулі роки</t>
  </si>
  <si>
    <t>вул.Дослідна станція,84 - погашення заборгованості за минулі роки</t>
  </si>
  <si>
    <t>вул.Рязанська,11 - погашення заборгованості за минулі роки</t>
  </si>
  <si>
    <t>пр.40 річчя Перемоги,57 - погашення заборгованості за минулі роки</t>
  </si>
  <si>
    <t>вул.Космічна,130 б - погашення заборгованості за минулі роки</t>
  </si>
  <si>
    <t>вул. Українська, 8 - погашення заборгованості за минулі роки</t>
  </si>
  <si>
    <t>вул. Гоголя, 124 - погашення заборгованості за минулі роки</t>
  </si>
  <si>
    <t>вул. Горького, 55 - погашення заборгованості за минулі роки</t>
  </si>
  <si>
    <t>вул. Грязнова, 1а - погашення заборгованості за минулі роки</t>
  </si>
  <si>
    <t>вул. Грязнова, 4 - погашення заборгованості за минулі роки</t>
  </si>
  <si>
    <t>вул. Зестафонівська, 1 - погашення заборгованості за минулі роки</t>
  </si>
  <si>
    <t>вул.Ладозька, 32 - погашення заборгованості за минулі роки</t>
  </si>
  <si>
    <t>вул. Руставі, 3а - погашення заборгованості за минулі роки</t>
  </si>
  <si>
    <t>бул. Гвардійський, 136 - погашення заборгованості за минулі роки</t>
  </si>
  <si>
    <t>вул. Запорізького козацтва, 3 - погашення заборгованості за минулі роки</t>
  </si>
  <si>
    <t xml:space="preserve">вул. Лермонтова, 14 - погашення заборгованості за минулі роки                                                                                                                 </t>
  </si>
  <si>
    <t xml:space="preserve">Реконструкція мереж зовнішнього освітлення на внутрішньоквартальній території по вул. Малиновського ТП-118 </t>
  </si>
  <si>
    <t>Реконструкція мереж зовнішнього освітлення на внутрішньоквартальній території по вул. Малиновського ТП-153</t>
  </si>
  <si>
    <t xml:space="preserve">Реконструкція мереж зовнішнього освітлення на внутрішньоквартальній території по вул. Малиновського ТП-158 </t>
  </si>
  <si>
    <t>Реконструкція мереж зовнішнього освітлення по. вул.Трегубова в м.Запоріжжя</t>
  </si>
  <si>
    <t>Реконструкція мереж зовнішнього освітлення вздовж автодорожнього проїзду по спорудах греблі Дніпрогес</t>
  </si>
  <si>
    <t>Реконструкція мереж зовнішнього освітлення в сквері по вул.Космічній,22 (біля Комунарського РВ ЗМУ) в м.Запоріжжя</t>
  </si>
  <si>
    <t>Реконструкція мереж зовнішнього освітлення по вул. Крилова</t>
  </si>
  <si>
    <t>Реконструкція мереж зовнішнього освітлення по вул. Новгородська (гуртожиток по вул. Новгородська)</t>
  </si>
  <si>
    <t>Реконструкція мереж зовнішнього освітлення на внутрішньоквартальній території по пр. Радянський (5 мікрорайон) ТП-612</t>
  </si>
  <si>
    <t>Реконструкція мереж зовнішнього освітлення на внутрішньоквартальній території по вул. Бородинська 2 етап ТП-885</t>
  </si>
  <si>
    <t xml:space="preserve">Реконструкція мереж зовнішнього освітлення по вул. Третьої п’ятирічки </t>
  </si>
  <si>
    <t>Реконструкція мереж зовнішнього освітлення по вул. Метрополітенівській</t>
  </si>
  <si>
    <t>Реконструкція мереж зовнішнього освітлення по вул. Ризька</t>
  </si>
  <si>
    <t>Реконструкція мереж зовнішнього освітлення по вул. Станіславського</t>
  </si>
  <si>
    <t>Реконструкція мереж зовнішнього освітлення по бул. Шевченка (центральна алея від пр. Леніна до вул. Перемоги)</t>
  </si>
  <si>
    <t xml:space="preserve">Реконструкція мереж зовнішнього освітлення по вул. Теплова </t>
  </si>
  <si>
    <t>Реконструкція мереж зовнішнього освітлення по вул. Деповська</t>
  </si>
  <si>
    <t xml:space="preserve">Реконструкція мереж зовнішнього освітлення по вул. Автодорівська </t>
  </si>
  <si>
    <t>Реконструкція мереж зовнішнього освітлення по вул. Армавірська</t>
  </si>
  <si>
    <t>Реконструкція мереж зовнішнього освітлення по вул. Кустанайська</t>
  </si>
  <si>
    <t>Будівництво мереж зовнішнього освітлення І мосту ім. Преображенського (новий Дніпро) у м.Запоріжжі (проектні та будівельні роботи)</t>
  </si>
  <si>
    <t>Будівництво мереж зовнішнього освітлення по вул. Вогнетривка, 1-11 (проектні роботи та експертиза)</t>
  </si>
  <si>
    <t>Реконструкція мереж зовнішнього освітлення дитячого майданчика по вул. Дорошенка, 6 у м.Запоріжжя  (проектні роботи, експертиза)</t>
  </si>
  <si>
    <t>150202</t>
  </si>
  <si>
    <t xml:space="preserve">Розробка схем та проектних рішень масового застосування </t>
  </si>
  <si>
    <t>Управління з питань екологічної безпеки  Запорізької міської ради</t>
  </si>
  <si>
    <t>6,975</t>
  </si>
  <si>
    <t xml:space="preserve">150101 </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</si>
  <si>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</si>
  <si>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</si>
  <si>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Управління з питань правового забезпечення роботи галузей міського господарства Запорізької міської ради</t>
  </si>
  <si>
    <t>081002</t>
  </si>
  <si>
    <t>Реконструкція мереж зовнішнього освітлення по вул. Тополіна  у м. Запоріжжя</t>
  </si>
  <si>
    <t>Будівництво дитячого будинку сімейного типу в сел. Тепличне по вул. Центральній між будинками №№ 7а та 7 в м.Запоріжжі (проектні роботи, експертиза, будівельні роботи)</t>
  </si>
  <si>
    <t>Міське комунальне підприємство "Основаніє" (придбання  піскорозкидувачу - 5 од., відбійних молотків "Макіта" - 13 од., мотокоси "Husqvarna" - 26 од., бензорізів абразивних "Мотор Січ МБА - 300" - 35 од., візків "Мотор Січ ТС - 1" - 40 од., мотоблоків "Мотор Січ МБ - 4,05" - 40 од., інструментів для роботи з трубами ПВХ - 11 од., наборів інструментів слюсаря-сантехніка - 18 од.)</t>
  </si>
  <si>
    <t>Комунальне підприємство "Запоріжміськсвітло" (придбання автомобілів)</t>
  </si>
  <si>
    <t>Реконструкція будівлі загальноосвітньої школи І-ІІІ ступенів № 75 по вул.Історична,92 Заводського району - погашення заборгованості за минулі роки</t>
  </si>
  <si>
    <t>Будівництво теплиці "Запорізького міського ботанічного саду" І черга (проектні роботи та будівництво)  - погашення заборгованості за минулі роки</t>
  </si>
  <si>
    <t>Інші заходи по охороні здоров"я</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</si>
  <si>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 - погашення заборгованості за минулі роки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</si>
  <si>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</si>
  <si>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</si>
  <si>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090203</t>
  </si>
  <si>
    <t>Реконструкція будівлі по вул. 40 років Радянської України, 41а - погашення заборгованості за минулі роки</t>
  </si>
  <si>
    <t>Комунальне підприємство "Запоріжміськсвітло" (придбання комп'ютерної техніки)</t>
  </si>
  <si>
    <t>Внески у статутні капітали комунальних підприємств міста - погашення заборгованості за минулі роки</t>
  </si>
  <si>
    <t>Реконструкція вулично-шляхової мережі по вул. Квітучій в межах від вул. Братської до вул. Вінницької в Ленінському районі - погашення заборгованості за минулі роки</t>
  </si>
  <si>
    <t>пр.Леніна, 143 - погашення заборгованості за минулі роки</t>
  </si>
  <si>
    <t>070802</t>
  </si>
  <si>
    <t>Методична робота, інші заходи у сфері народної освіти</t>
  </si>
  <si>
    <t xml:space="preserve">Секретар міської ради </t>
  </si>
  <si>
    <t>Р.О. Таран</t>
  </si>
  <si>
    <t xml:space="preserve">Реконструкція будівель та інженерних мереж комунальної установи "Міська клінічна лікарня екстреної та швидкої медичної допомоги м.Запоріжжя" по вул.Перемоги, 80  м. Запоріжжя (проектні, будівельні роботи та експертиза) </t>
  </si>
  <si>
    <t>Реконструкція мереж зовнішнього освітлення по вул. Володарського - погашення заборгованості за минулі роки</t>
  </si>
  <si>
    <t>Реконструкція мереж зовнішнього освітлення на внутрішньоквартальній території по пр. Радянський (5 мікрорайон) ТП-611  - погашення заборгованості за минулі роки</t>
  </si>
  <si>
    <t>Реконструкція мереж зовнішнього освітлення скверу кінотеатру "Южний" (сквер по вул. Калініна - вул. Культурна) - погашення заборгованості за минулі роки</t>
  </si>
  <si>
    <t xml:space="preserve">Будівництво мереж зовнішнього освітлення ІІ мосту ім. Преображенського (старий Дніпро) у м.Запоріжжі (проектні та будівельні роботи) </t>
  </si>
  <si>
    <t>Реконструкція інженерних мереж на перехресті пр.Леніна та пр.Металургів м.Запоріжжя (проектні та будівельні роботи) - погашення заборгованості за минулі роки</t>
  </si>
  <si>
    <t>Реконструкція автодороги Запоріжжя-Підпорожнянка в районі шлакових відвалів ВАТ "Запоріжсталь" - погашення заборгованості за минулі роки</t>
  </si>
  <si>
    <t>Реконструкція вул. Лермонтова (від вул.Правди до вул.Заводської) м.Запоріжжя (проектні та будівельні роботи) - погашення заборгованості за минулі роки</t>
  </si>
  <si>
    <t>Реконструкція скверу на пл. Театральній зі спорудженням пам"ятника Т.Г. Шевченку (проектні роботи та експертиза) - погашення заборгованості за минулі роки</t>
  </si>
  <si>
    <t>Будівництво світлофорного об'єкту на перехресті вул.Чумаченка - вул.Олімпійська - погашення заборгованості за минулі роки</t>
  </si>
  <si>
    <t>Інженерне забезпечення (електропостачання) об'єкту "Будівництво та облаштування притулку для утримання безпритульних тварин м.Запоріжжя" - погашення заборгованості за минулі роки</t>
  </si>
  <si>
    <t>Будівництво малих архітектурних форм по пр. Леніна, 204 з влаштуванням підсвітлення в  м.Запоріжжя - погашення заборгованості за минулі роки</t>
  </si>
  <si>
    <t>Реконструкція дороги по вул. Нагнибіди в Комунарському районі (проектні роботи, експертиза)  - погашення заборгованості за минулі роки</t>
  </si>
  <si>
    <t>Реконструкція вул.Рекордної від вул. Портова до вул. Алюмінева (проектні роботи) - погашення заборгованості за минулі роки</t>
  </si>
  <si>
    <t>Реконструкція скверу ім. 60-річчя СРСР та прилеглої території в м. Запоріжжі (ескізний проект)  - погашення заборгованості за минулі роки</t>
  </si>
  <si>
    <t>Комунальне підприємство "Зеленбуд" (придбання бензопил "STIHL"  - 6 од., бензопил  "Мотор-Січ" - 2 од.,  мотоножиць "STIHL" - 4 од., мотокіс "STIHL"  - 15 од., високорізів "STIHL"  - 8 од.)</t>
  </si>
  <si>
    <t>Будівництво житлового будинку № 10 в мікрорайоні 5 житлового масиву "Південний", м. Запоріжжя (пілотний проект) - погашення заборгованості за минулі роки</t>
  </si>
  <si>
    <t>Реконструкція  центральної алеї парку "Дубовий гай" в м.Запоріжжя - погашення заборгованості за минулі роки</t>
  </si>
  <si>
    <t xml:space="preserve">Комунальна установа «Міська клінічна лікарня екстреної та швидкої медичної допомоги м.Запоріжжя» - реконструкція резервного джерела енергопостачання </t>
  </si>
  <si>
    <t>Реконструкція будівлі під центр реінтеграції бездомних осіб по вул. Перспективна, 2А в м.Запоріжжі (проектні роботи та експертиза)</t>
  </si>
  <si>
    <t xml:space="preserve">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 та експертиза) </t>
  </si>
  <si>
    <t>Реконструкція внутрішньобудинкових інженерних мереж житлових будинків по пр. Леніна, 171</t>
  </si>
  <si>
    <t>Реконструкція внутрішньобудинкових інженерних мереж житлових будинків по пр. Леніна, 171а</t>
  </si>
  <si>
    <t>Реконструкція внутрішньобудинкових інженерних мереж житлових будинків по пр. Леніна, 173</t>
  </si>
  <si>
    <t xml:space="preserve">Реконструкція мереж зовнішнього освітлення по вул. Логінова </t>
  </si>
  <si>
    <t xml:space="preserve">Реконструкція мереж зовнішнього освітлення по вул. Оборонна </t>
  </si>
  <si>
    <t>Реконструкція мереж зовнішнього освітлення на внутрішньоквартальній території по вул. Задніпровська - вул. Гудименка</t>
  </si>
  <si>
    <t>Реконструкція будівлі  насосної станції (літера А) з розташуванням в ній котельної та насосної групи по вул. Софіївській, 232б в м. Запоріжжі</t>
  </si>
  <si>
    <t>Будівництво світлофорного об'єкту на перехресті вул. Леппіка - вул. Дзержинського</t>
  </si>
  <si>
    <t>Будівництво світлофорного об'єкту на перехресті вул. Гоголя - вул. Комунарівська</t>
  </si>
  <si>
    <t xml:space="preserve">Будівництво світлофорного об'єкту на перехресті вул. Сєдова - виїзд з 7 медсанчастини </t>
  </si>
  <si>
    <t xml:space="preserve">Будівництво світлофорного об'єкту на перехресті вул. Північне шосе - дорога на Сталепрокатний завод </t>
  </si>
  <si>
    <t>Гуртожиток по вул.Жовтнева,2 - реконструкція системи теплопостачання</t>
  </si>
  <si>
    <t>Будівництво мереж зовнішнього освітлення по вул. Горького (від вул. Радянської до вул. Червоногвардійської) в м.Запоріжжя  (проектні та будівельні  роботи )</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</si>
</sst>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
    <numFmt numFmtId="183" formatCode="#&quot; &quot;##0.000"/>
    <numFmt numFmtId="184" formatCode="0.00000"/>
    <numFmt numFmtId="185" formatCode="0.000000000"/>
    <numFmt numFmtId="186" formatCode="0.0000000000"/>
    <numFmt numFmtId="187" formatCode="0.00000000000"/>
    <numFmt numFmtId="188" formatCode="0.00000000"/>
    <numFmt numFmtId="189" formatCode="0.0000000"/>
    <numFmt numFmtId="190" formatCode="0.000000"/>
    <numFmt numFmtId="191" formatCode="0.0000"/>
    <numFmt numFmtId="192" formatCode="#,##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00"/>
    <numFmt numFmtId="198" formatCode="#,##0.00000"/>
    <numFmt numFmtId="199" formatCode="[$-422]d\ mmmm\ yyyy&quot; р.&quot;"/>
    <numFmt numFmtId="200" formatCode="#,##0.000_р_."/>
    <numFmt numFmtId="201" formatCode="_-* #,##0.0_р_._-;\-* #,##0.0_р_._-;_-* &quot;-&quot;??_р_._-;_-@_-"/>
    <numFmt numFmtId="202" formatCode="_-* #,##0.000_р_._-;\-* #,##0.000_р_._-;_-* &quot;-&quot;??_р_._-;_-@_-"/>
  </numFmts>
  <fonts count="31">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name val="Times New Roman"/>
      <family val="1"/>
    </font>
    <font>
      <sz val="14"/>
      <name val="Times New Roman"/>
      <family val="1"/>
    </font>
    <font>
      <sz val="11"/>
      <name val="Times New Roman"/>
      <family val="1"/>
    </font>
    <font>
      <sz val="8"/>
      <name val="Calibri"/>
      <family val="2"/>
    </font>
    <font>
      <b/>
      <sz val="13"/>
      <name val="Times New Roman"/>
      <family val="1"/>
    </font>
    <font>
      <sz val="12"/>
      <name val="Times New Roman"/>
      <family val="1"/>
    </font>
    <font>
      <sz val="10"/>
      <name val="Times New Roman"/>
      <family val="1"/>
    </font>
    <font>
      <sz val="16"/>
      <name val="Times New Roman"/>
      <family val="1"/>
    </font>
    <font>
      <sz val="11"/>
      <name val="Calibri"/>
      <family val="2"/>
    </font>
    <font>
      <sz val="15"/>
      <name val="Times New Roman"/>
      <family val="1"/>
    </font>
    <font>
      <u val="single"/>
      <sz val="11"/>
      <color indexed="12"/>
      <name val="Calibri"/>
      <family val="2"/>
    </font>
    <font>
      <u val="single"/>
      <sz val="11"/>
      <color indexed="20"/>
      <name val="Calibri"/>
      <family val="2"/>
    </font>
    <font>
      <b/>
      <u val="single"/>
      <sz val="16"/>
      <name val="Times New Roman"/>
      <family val="1"/>
    </font>
  </fonts>
  <fills count="4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medium"/>
      <right style="thin"/>
      <top style="thin"/>
      <bottom style="medium"/>
    </border>
    <border>
      <left style="thin"/>
      <right style="medium"/>
      <top style="thin"/>
      <bottom>
        <color indexed="63"/>
      </bottom>
    </border>
  </borders>
  <cellStyleXfs count="9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0" fillId="0" borderId="0">
      <alignment/>
      <protection/>
    </xf>
    <xf numFmtId="0" fontId="0" fillId="0" borderId="0">
      <alignment/>
      <protection/>
    </xf>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3" borderId="1"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9" borderId="2"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9"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1" borderId="7"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29"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5"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cellStyleXfs>
  <cellXfs count="121">
    <xf numFmtId="0" fontId="0" fillId="0" borderId="0" xfId="0" applyAlignment="1">
      <alignment/>
    </xf>
    <xf numFmtId="0" fontId="19" fillId="0" borderId="10" xfId="0" applyFont="1" applyFill="1" applyBorder="1" applyAlignment="1">
      <alignment horizontal="left" vertical="center" wrapText="1"/>
    </xf>
    <xf numFmtId="181" fontId="19" fillId="0" borderId="10"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180" fontId="19" fillId="0" borderId="1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180" fontId="19"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19" fillId="0" borderId="0" xfId="0" applyFont="1" applyFill="1" applyAlignment="1">
      <alignment horizontal="center" vertical="center" wrapText="1"/>
    </xf>
    <xf numFmtId="0" fontId="19" fillId="0" borderId="0" xfId="0" applyFont="1" applyFill="1" applyAlignment="1">
      <alignment horizontal="left" vertical="center" wrapText="1"/>
    </xf>
    <xf numFmtId="0" fontId="19" fillId="0" borderId="0" xfId="0" applyFont="1" applyFill="1" applyAlignment="1">
      <alignment wrapText="1"/>
    </xf>
    <xf numFmtId="0" fontId="19" fillId="0" borderId="0" xfId="0" applyFont="1" applyFill="1" applyAlignment="1">
      <alignment vertical="center" wrapText="1"/>
    </xf>
    <xf numFmtId="49" fontId="25" fillId="0" borderId="0" xfId="0" applyNumberFormat="1" applyFont="1" applyFill="1" applyBorder="1" applyAlignment="1">
      <alignment horizontal="center" vertical="center" wrapText="1"/>
    </xf>
    <xf numFmtId="49" fontId="25" fillId="0" borderId="0" xfId="0" applyNumberFormat="1" applyFont="1" applyFill="1" applyBorder="1" applyAlignment="1">
      <alignment horizontal="left" vertical="center" wrapText="1"/>
    </xf>
    <xf numFmtId="49" fontId="25" fillId="0" borderId="0" xfId="0" applyNumberFormat="1" applyFont="1" applyFill="1" applyBorder="1" applyAlignment="1">
      <alignment vertical="center" wrapText="1"/>
    </xf>
    <xf numFmtId="180" fontId="25" fillId="0" borderId="0" xfId="0" applyNumberFormat="1" applyFont="1" applyFill="1" applyBorder="1" applyAlignment="1">
      <alignment horizontal="center" vertical="center" wrapText="1"/>
    </xf>
    <xf numFmtId="0" fontId="24"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192" fontId="19" fillId="0" borderId="10" xfId="0" applyNumberFormat="1" applyFont="1" applyFill="1" applyBorder="1" applyAlignment="1">
      <alignment horizontal="center" vertical="center" wrapText="1"/>
    </xf>
    <xf numFmtId="182" fontId="19" fillId="0" borderId="10" xfId="869" applyNumberFormat="1" applyFont="1" applyFill="1" applyBorder="1" applyAlignment="1">
      <alignment horizontal="center" vertical="center" wrapText="1"/>
    </xf>
    <xf numFmtId="49" fontId="19" fillId="0" borderId="16" xfId="0" applyNumberFormat="1" applyFont="1" applyFill="1" applyBorder="1" applyAlignment="1">
      <alignment horizontal="center" vertical="center" wrapText="1"/>
    </xf>
    <xf numFmtId="0" fontId="19" fillId="0" borderId="10" xfId="794" applyFont="1" applyFill="1" applyBorder="1" applyAlignment="1">
      <alignment horizontal="left" vertical="center" wrapText="1"/>
      <protection/>
    </xf>
    <xf numFmtId="49" fontId="19" fillId="0" borderId="10" xfId="794" applyNumberFormat="1" applyFont="1" applyFill="1" applyBorder="1" applyAlignment="1">
      <alignment horizontal="left" vertical="center" wrapText="1"/>
      <protection/>
    </xf>
    <xf numFmtId="49" fontId="19" fillId="0" borderId="10" xfId="0" applyNumberFormat="1" applyFont="1" applyFill="1" applyBorder="1" applyAlignment="1">
      <alignment horizontal="left" vertical="center" wrapText="1"/>
    </xf>
    <xf numFmtId="0" fontId="19" fillId="0" borderId="10" xfId="0" applyFont="1" applyFill="1" applyBorder="1" applyAlignment="1">
      <alignment vertical="center" wrapText="1"/>
    </xf>
    <xf numFmtId="0" fontId="19" fillId="0" borderId="16" xfId="0" applyFont="1" applyFill="1" applyBorder="1" applyAlignment="1">
      <alignment horizontal="center" vertical="center" wrapText="1"/>
    </xf>
    <xf numFmtId="0" fontId="19" fillId="0" borderId="10" xfId="0" applyFont="1" applyFill="1" applyBorder="1" applyAlignment="1">
      <alignment horizontal="center" vertical="center" wrapText="1"/>
    </xf>
    <xf numFmtId="3" fontId="19" fillId="0" borderId="10" xfId="0" applyNumberFormat="1" applyFont="1" applyFill="1" applyBorder="1" applyAlignment="1">
      <alignment horizontal="right" wrapText="1"/>
    </xf>
    <xf numFmtId="182" fontId="19" fillId="0" borderId="10" xfId="0" applyNumberFormat="1" applyFont="1" applyFill="1" applyBorder="1" applyAlignment="1">
      <alignment horizontal="right" wrapText="1"/>
    </xf>
    <xf numFmtId="3" fontId="19" fillId="0" borderId="11" xfId="0" applyNumberFormat="1" applyFont="1" applyFill="1" applyBorder="1" applyAlignment="1">
      <alignment horizontal="center" vertical="center" wrapText="1"/>
    </xf>
    <xf numFmtId="0" fontId="19" fillId="0" borderId="10" xfId="0" applyFont="1" applyFill="1" applyBorder="1" applyAlignment="1">
      <alignment horizontal="left" vertical="top" wrapText="1"/>
    </xf>
    <xf numFmtId="0" fontId="26" fillId="0" borderId="11" xfId="0"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182" fontId="19" fillId="0" borderId="10" xfId="0" applyNumberFormat="1" applyFont="1" applyFill="1" applyBorder="1" applyAlignment="1">
      <alignment horizontal="center" vertical="center" wrapText="1"/>
    </xf>
    <xf numFmtId="192" fontId="19" fillId="0" borderId="10" xfId="794" applyNumberFormat="1" applyFont="1" applyFill="1" applyBorder="1" applyAlignment="1">
      <alignment horizontal="center" vertical="center" wrapText="1"/>
      <protection/>
    </xf>
    <xf numFmtId="0" fontId="19" fillId="0" borderId="10" xfId="801" applyFont="1" applyFill="1" applyBorder="1" applyAlignment="1">
      <alignment horizontal="left" vertical="center" wrapText="1"/>
      <protection/>
    </xf>
    <xf numFmtId="192" fontId="19" fillId="0" borderId="10" xfId="801" applyNumberFormat="1" applyFont="1" applyFill="1" applyBorder="1" applyAlignment="1">
      <alignment horizontal="center" vertical="center" wrapText="1"/>
      <protection/>
    </xf>
    <xf numFmtId="0" fontId="19" fillId="0" borderId="10" xfId="785" applyFont="1" applyFill="1" applyBorder="1" applyAlignment="1">
      <alignment horizontal="left" vertical="center" wrapText="1"/>
      <protection/>
    </xf>
    <xf numFmtId="0" fontId="19" fillId="0" borderId="10" xfId="784" applyFont="1" applyFill="1" applyBorder="1" applyAlignment="1">
      <alignment horizontal="left" vertical="center" wrapText="1"/>
      <protection/>
    </xf>
    <xf numFmtId="192" fontId="19" fillId="0" borderId="10" xfId="411" applyNumberFormat="1" applyFont="1" applyFill="1" applyBorder="1" applyAlignment="1">
      <alignment horizontal="center" vertical="center" wrapText="1"/>
      <protection/>
    </xf>
    <xf numFmtId="192" fontId="19" fillId="0" borderId="10" xfId="786" applyNumberFormat="1" applyFont="1" applyFill="1" applyBorder="1" applyAlignment="1">
      <alignment horizontal="center" vertical="center" wrapText="1"/>
      <protection/>
    </xf>
    <xf numFmtId="192" fontId="19" fillId="0" borderId="10" xfId="800" applyNumberFormat="1" applyFont="1" applyFill="1" applyBorder="1" applyAlignment="1">
      <alignment horizontal="center" vertical="center" wrapText="1"/>
      <protection/>
    </xf>
    <xf numFmtId="0" fontId="19" fillId="0" borderId="10" xfId="800" applyFont="1" applyFill="1" applyBorder="1" applyAlignment="1">
      <alignment horizontal="left" vertical="center" wrapText="1"/>
      <protection/>
    </xf>
    <xf numFmtId="0" fontId="19" fillId="0" borderId="10" xfId="786" applyFont="1" applyFill="1" applyBorder="1" applyAlignment="1">
      <alignment horizontal="left" vertical="center" wrapText="1"/>
      <protection/>
    </xf>
    <xf numFmtId="181" fontId="19" fillId="0" borderId="10" xfId="786" applyNumberFormat="1" applyFont="1" applyFill="1" applyBorder="1" applyAlignment="1">
      <alignment horizontal="center" vertical="center" wrapText="1"/>
      <protection/>
    </xf>
    <xf numFmtId="192" fontId="19" fillId="0" borderId="11" xfId="0" applyNumberFormat="1" applyFont="1" applyFill="1" applyBorder="1" applyAlignment="1">
      <alignment horizontal="center" vertical="center" wrapText="1"/>
    </xf>
    <xf numFmtId="192" fontId="23" fillId="0" borderId="11" xfId="0" applyNumberFormat="1" applyFont="1" applyFill="1" applyBorder="1" applyAlignment="1">
      <alignment horizontal="center" vertical="center" wrapText="1"/>
    </xf>
    <xf numFmtId="49" fontId="19" fillId="0" borderId="16" xfId="0" applyNumberFormat="1" applyFont="1" applyFill="1" applyBorder="1" applyAlignment="1">
      <alignment horizontal="center" vertical="center"/>
    </xf>
    <xf numFmtId="192" fontId="19" fillId="0" borderId="10" xfId="0" applyNumberFormat="1" applyFont="1" applyFill="1" applyBorder="1" applyAlignment="1">
      <alignment horizontal="center" vertical="center"/>
    </xf>
    <xf numFmtId="0" fontId="19" fillId="0" borderId="17" xfId="0" applyFont="1" applyFill="1" applyBorder="1" applyAlignment="1">
      <alignment horizontal="left" vertical="center" wrapText="1"/>
    </xf>
    <xf numFmtId="192" fontId="19" fillId="0" borderId="17" xfId="0" applyNumberFormat="1" applyFont="1" applyFill="1" applyBorder="1" applyAlignment="1">
      <alignment horizontal="center" vertical="center"/>
    </xf>
    <xf numFmtId="182" fontId="19" fillId="0" borderId="17" xfId="869" applyNumberFormat="1" applyFont="1" applyFill="1" applyBorder="1" applyAlignment="1">
      <alignment horizontal="center" vertical="center" wrapText="1"/>
    </xf>
    <xf numFmtId="192" fontId="19" fillId="0" borderId="17" xfId="0" applyNumberFormat="1" applyFont="1" applyFill="1" applyBorder="1" applyAlignment="1">
      <alignment horizontal="center" vertical="center" wrapText="1"/>
    </xf>
    <xf numFmtId="181" fontId="19" fillId="0" borderId="17" xfId="0" applyNumberFormat="1" applyFont="1" applyFill="1" applyBorder="1" applyAlignment="1">
      <alignment horizontal="center" vertical="center" wrapText="1"/>
    </xf>
    <xf numFmtId="0" fontId="19" fillId="0" borderId="0" xfId="0" applyFont="1" applyFill="1" applyBorder="1" applyAlignment="1">
      <alignment horizontal="center" vertical="center"/>
    </xf>
    <xf numFmtId="49" fontId="19" fillId="0" borderId="10" xfId="0" applyNumberFormat="1"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center" vertical="center" wrapText="1"/>
    </xf>
    <xf numFmtId="49" fontId="19" fillId="0" borderId="0" xfId="0" applyNumberFormat="1" applyFont="1" applyFill="1" applyBorder="1" applyAlignment="1">
      <alignment horizontal="center" vertical="center" wrapText="1"/>
    </xf>
    <xf numFmtId="2" fontId="19" fillId="0" borderId="0" xfId="0" applyNumberFormat="1"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left" vertical="center" wrapText="1"/>
    </xf>
    <xf numFmtId="192" fontId="19" fillId="0" borderId="22" xfId="0" applyNumberFormat="1" applyFont="1" applyFill="1" applyBorder="1" applyAlignment="1">
      <alignment horizontal="center" vertical="center" wrapText="1"/>
    </xf>
    <xf numFmtId="192" fontId="19" fillId="0" borderId="0" xfId="0" applyNumberFormat="1" applyFont="1" applyFill="1" applyBorder="1" applyAlignment="1">
      <alignment horizontal="center" vertical="center" wrapText="1"/>
    </xf>
    <xf numFmtId="0" fontId="23" fillId="0" borderId="10" xfId="784" applyFont="1" applyFill="1" applyBorder="1" applyAlignment="1">
      <alignment horizontal="left" vertical="center" wrapText="1"/>
      <protection/>
    </xf>
    <xf numFmtId="0" fontId="23" fillId="0" borderId="10" xfId="784" applyFont="1" applyFill="1" applyBorder="1" applyAlignment="1">
      <alignment wrapText="1"/>
      <protection/>
    </xf>
    <xf numFmtId="181" fontId="19" fillId="0" borderId="11" xfId="0" applyNumberFormat="1" applyFont="1" applyFill="1" applyBorder="1" applyAlignment="1">
      <alignment horizontal="center" vertical="center" wrapText="1"/>
    </xf>
    <xf numFmtId="0" fontId="19" fillId="0" borderId="11" xfId="0" applyNumberFormat="1" applyFont="1" applyFill="1" applyBorder="1" applyAlignment="1">
      <alignment horizontal="center" vertical="center" wrapText="1"/>
    </xf>
    <xf numFmtId="49" fontId="19" fillId="0" borderId="11" xfId="0" applyNumberFormat="1"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0" xfId="0" applyFont="1" applyFill="1" applyBorder="1" applyAlignment="1">
      <alignment vertical="center" wrapText="1"/>
    </xf>
    <xf numFmtId="0" fontId="18" fillId="0" borderId="0" xfId="0" applyFont="1" applyFill="1" applyBorder="1" applyAlignment="1">
      <alignment vertical="center" wrapText="1"/>
    </xf>
    <xf numFmtId="0" fontId="18" fillId="0" borderId="0" xfId="0" applyFont="1" applyFill="1" applyAlignment="1">
      <alignment vertical="center" wrapText="1"/>
    </xf>
    <xf numFmtId="0" fontId="26" fillId="0" borderId="0" xfId="0" applyFont="1" applyFill="1" applyAlignment="1">
      <alignment wrapText="1"/>
    </xf>
    <xf numFmtId="192" fontId="19" fillId="0" borderId="0" xfId="0" applyNumberFormat="1" applyFont="1" applyFill="1" applyBorder="1" applyAlignment="1">
      <alignment horizontal="center" vertical="center"/>
    </xf>
    <xf numFmtId="2" fontId="19" fillId="0" borderId="10" xfId="0" applyNumberFormat="1" applyFont="1" applyFill="1" applyBorder="1" applyAlignment="1">
      <alignment horizontal="left" vertical="center" wrapText="1"/>
    </xf>
    <xf numFmtId="0" fontId="19" fillId="0" borderId="10" xfId="412" applyFont="1" applyFill="1" applyBorder="1" applyAlignment="1">
      <alignment horizontal="left" vertical="center" wrapText="1"/>
      <protection/>
    </xf>
    <xf numFmtId="0" fontId="19" fillId="0" borderId="10" xfId="787" applyFont="1" applyFill="1" applyBorder="1" applyAlignment="1">
      <alignment horizontal="left" vertical="center" wrapText="1"/>
      <protection/>
    </xf>
    <xf numFmtId="1" fontId="19" fillId="0" borderId="20" xfId="0" applyNumberFormat="1"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3" xfId="0" applyFont="1" applyFill="1" applyBorder="1" applyAlignment="1">
      <alignment horizontal="left" vertical="center" wrapText="1"/>
    </xf>
    <xf numFmtId="192" fontId="27" fillId="0" borderId="13" xfId="0" applyNumberFormat="1" applyFont="1" applyFill="1" applyBorder="1" applyAlignment="1">
      <alignment horizontal="center" vertical="center" wrapText="1"/>
    </xf>
    <xf numFmtId="192" fontId="27" fillId="0" borderId="22" xfId="0" applyNumberFormat="1" applyFont="1" applyFill="1" applyBorder="1" applyAlignment="1">
      <alignment horizontal="center" vertical="center" wrapText="1"/>
    </xf>
    <xf numFmtId="0" fontId="25" fillId="0" borderId="0" xfId="0" applyFont="1" applyFill="1" applyBorder="1" applyAlignment="1">
      <alignment horizontal="left" wrapText="1"/>
    </xf>
    <xf numFmtId="0" fontId="25" fillId="0" borderId="0" xfId="0" applyFont="1" applyFill="1" applyBorder="1" applyAlignment="1">
      <alignment horizontal="left" vertical="center" wrapText="1"/>
    </xf>
    <xf numFmtId="0" fontId="25" fillId="0" borderId="0" xfId="0" applyFont="1" applyFill="1" applyAlignment="1">
      <alignment horizontal="left" vertical="center" wrapText="1"/>
    </xf>
    <xf numFmtId="0" fontId="25" fillId="0" borderId="0" xfId="0" applyFont="1" applyFill="1" applyAlignment="1">
      <alignment horizontal="left" wrapText="1"/>
    </xf>
    <xf numFmtId="49" fontId="25" fillId="0" borderId="0" xfId="0" applyNumberFormat="1" applyFont="1" applyFill="1" applyBorder="1" applyAlignment="1">
      <alignment horizontal="center" wrapText="1"/>
    </xf>
    <xf numFmtId="49" fontId="25" fillId="0" borderId="0" xfId="0" applyNumberFormat="1" applyFont="1" applyFill="1" applyBorder="1" applyAlignment="1">
      <alignment horizontal="right" wrapText="1"/>
    </xf>
    <xf numFmtId="0" fontId="19" fillId="0" borderId="13" xfId="0" applyFont="1" applyFill="1" applyBorder="1" applyAlignment="1">
      <alignment horizontal="center" vertical="center" wrapText="1"/>
    </xf>
    <xf numFmtId="0" fontId="19" fillId="0" borderId="15" xfId="0" applyFont="1" applyFill="1" applyBorder="1" applyAlignment="1">
      <alignment horizontal="center" vertical="center" wrapText="1"/>
    </xf>
    <xf numFmtId="180" fontId="19" fillId="0" borderId="13" xfId="0" applyNumberFormat="1" applyFont="1" applyFill="1" applyBorder="1" applyAlignment="1">
      <alignment horizontal="center" vertical="center" textRotation="90" wrapText="1"/>
    </xf>
    <xf numFmtId="180" fontId="19" fillId="0" borderId="15" xfId="0" applyNumberFormat="1" applyFont="1" applyFill="1" applyBorder="1" applyAlignment="1">
      <alignment horizontal="center" vertical="center" textRotation="90" wrapText="1"/>
    </xf>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6" xfId="0" applyFont="1" applyFill="1" applyBorder="1" applyAlignment="1">
      <alignment horizontal="center" vertical="center"/>
    </xf>
    <xf numFmtId="0" fontId="19" fillId="0" borderId="10" xfId="0" applyFont="1" applyFill="1" applyBorder="1" applyAlignment="1">
      <alignment horizontal="left" vertical="center" wrapText="1"/>
    </xf>
    <xf numFmtId="49" fontId="19" fillId="0" borderId="16"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6" xfId="0" applyFont="1" applyFill="1" applyBorder="1" applyAlignment="1">
      <alignment horizontal="center" vertical="center" wrapText="1"/>
    </xf>
    <xf numFmtId="3" fontId="19" fillId="0" borderId="11" xfId="0" applyNumberFormat="1" applyFont="1" applyFill="1" applyBorder="1" applyAlignment="1">
      <alignment horizontal="center" vertical="center" wrapText="1"/>
    </xf>
    <xf numFmtId="0" fontId="19" fillId="0" borderId="10" xfId="801" applyFont="1" applyFill="1" applyBorder="1" applyAlignment="1">
      <alignment horizontal="left" vertical="center" wrapText="1"/>
      <protection/>
    </xf>
    <xf numFmtId="0" fontId="23" fillId="0" borderId="10" xfId="0" applyFont="1" applyFill="1" applyBorder="1" applyAlignment="1">
      <alignment horizontal="left" vertical="center" wrapText="1"/>
    </xf>
    <xf numFmtId="49" fontId="19" fillId="0" borderId="23" xfId="0" applyNumberFormat="1" applyFont="1" applyFill="1" applyBorder="1" applyAlignment="1">
      <alignment horizontal="center" vertical="center" wrapText="1"/>
    </xf>
    <xf numFmtId="0" fontId="19" fillId="0" borderId="17" xfId="0" applyFont="1" applyFill="1" applyBorder="1" applyAlignment="1">
      <alignment horizontal="left" vertical="center" wrapText="1"/>
    </xf>
    <xf numFmtId="0" fontId="19" fillId="0" borderId="18"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8" fillId="0" borderId="0" xfId="0" applyFont="1" applyFill="1" applyBorder="1" applyAlignment="1">
      <alignment horizontal="left" wrapText="1"/>
    </xf>
    <xf numFmtId="0" fontId="18" fillId="0" borderId="0" xfId="0" applyFont="1" applyFill="1" applyAlignment="1">
      <alignment horizontal="center" wrapText="1"/>
    </xf>
    <xf numFmtId="0" fontId="19" fillId="0" borderId="0" xfId="0" applyFont="1" applyFill="1" applyBorder="1" applyAlignment="1">
      <alignment horizontal="left" vertical="center" wrapText="1"/>
    </xf>
    <xf numFmtId="49" fontId="19" fillId="0" borderId="0" xfId="0" applyNumberFormat="1" applyFont="1" applyFill="1" applyBorder="1" applyAlignment="1">
      <alignment horizontal="center" wrapText="1"/>
    </xf>
    <xf numFmtId="49" fontId="19" fillId="0" borderId="16" xfId="0" applyNumberFormat="1" applyFont="1" applyFill="1" applyBorder="1" applyAlignment="1">
      <alignment horizontal="center" vertical="center"/>
    </xf>
    <xf numFmtId="0" fontId="30" fillId="0" borderId="0" xfId="0" applyFont="1" applyFill="1" applyAlignment="1">
      <alignment horizontal="left" vertical="center" wrapText="1"/>
    </xf>
  </cellXfs>
  <cellStyles count="951">
    <cellStyle name="Normal" xfId="0"/>
    <cellStyle name="20% - Акцент1" xfId="15"/>
    <cellStyle name="20% - Акцент1 2" xfId="16"/>
    <cellStyle name="20% - Акцент1 2 2" xfId="17"/>
    <cellStyle name="20% - Акцент1 2 3" xfId="18"/>
    <cellStyle name="20% - Акцент1 2 4" xfId="19"/>
    <cellStyle name="20% - Акцент1 2 5" xfId="20"/>
    <cellStyle name="20% - Акцент1 3" xfId="21"/>
    <cellStyle name="20% - Акцент1 3 2" xfId="22"/>
    <cellStyle name="20% - Акцент1 3 3" xfId="23"/>
    <cellStyle name="20% - Акцент1 3 4" xfId="24"/>
    <cellStyle name="20% - Акцент1 3 5" xfId="25"/>
    <cellStyle name="20% - Акцент1 4" xfId="26"/>
    <cellStyle name="20% - Акцент1 4 2" xfId="27"/>
    <cellStyle name="20% - Акцент1 4 3" xfId="28"/>
    <cellStyle name="20% - Акцент1 4 4" xfId="29"/>
    <cellStyle name="20% - Акцент1 4 5" xfId="30"/>
    <cellStyle name="20% - Акцент1 5" xfId="31"/>
    <cellStyle name="20% - Акцент1 5 2" xfId="32"/>
    <cellStyle name="20% - Акцент1 5 3" xfId="33"/>
    <cellStyle name="20% - Акцент1 5 4" xfId="34"/>
    <cellStyle name="20% - Акцент1 5 5" xfId="35"/>
    <cellStyle name="20% - Акцент1 6" xfId="36"/>
    <cellStyle name="20% - Акцент2" xfId="37"/>
    <cellStyle name="20% - Акцент2 2" xfId="38"/>
    <cellStyle name="20% - Акцент2 2 2" xfId="39"/>
    <cellStyle name="20% - Акцент2 2 3" xfId="40"/>
    <cellStyle name="20% - Акцент2 2 4" xfId="41"/>
    <cellStyle name="20% - Акцент2 2 5" xfId="42"/>
    <cellStyle name="20% - Акцент2 3" xfId="43"/>
    <cellStyle name="20% - Акцент2 3 2" xfId="44"/>
    <cellStyle name="20% - Акцент2 3 3" xfId="45"/>
    <cellStyle name="20% - Акцент2 3 4" xfId="46"/>
    <cellStyle name="20% - Акцент2 3 5" xfId="47"/>
    <cellStyle name="20% - Акцент2 4" xfId="48"/>
    <cellStyle name="20% - Акцент2 4 2" xfId="49"/>
    <cellStyle name="20% - Акцент2 4 3" xfId="50"/>
    <cellStyle name="20% - Акцент2 4 4" xfId="51"/>
    <cellStyle name="20% - Акцент2 4 5" xfId="52"/>
    <cellStyle name="20% - Акцент2 5" xfId="53"/>
    <cellStyle name="20% - Акцент2 5 2" xfId="54"/>
    <cellStyle name="20% - Акцент2 5 3" xfId="55"/>
    <cellStyle name="20% - Акцент2 5 4" xfId="56"/>
    <cellStyle name="20% - Акцент2 5 5" xfId="57"/>
    <cellStyle name="20% - Акцент2 6" xfId="58"/>
    <cellStyle name="20% - Акцент3" xfId="59"/>
    <cellStyle name="20% - Акцент3 2" xfId="60"/>
    <cellStyle name="20% - Акцент3 2 2" xfId="61"/>
    <cellStyle name="20% - Акцент3 2 3" xfId="62"/>
    <cellStyle name="20% - Акцент3 2 4" xfId="63"/>
    <cellStyle name="20% - Акцент3 2 5" xfId="64"/>
    <cellStyle name="20% - Акцент3 3" xfId="65"/>
    <cellStyle name="20% - Акцент3 3 2" xfId="66"/>
    <cellStyle name="20% - Акцент3 3 3" xfId="67"/>
    <cellStyle name="20% - Акцент3 3 4" xfId="68"/>
    <cellStyle name="20% - Акцент3 3 5" xfId="69"/>
    <cellStyle name="20% - Акцент3 4" xfId="70"/>
    <cellStyle name="20% - Акцент3 4 2" xfId="71"/>
    <cellStyle name="20% - Акцент3 4 3" xfId="72"/>
    <cellStyle name="20% - Акцент3 4 4" xfId="73"/>
    <cellStyle name="20% - Акцент3 4 5" xfId="74"/>
    <cellStyle name="20% - Акцент3 5" xfId="75"/>
    <cellStyle name="20% - Акцент3 5 2" xfId="76"/>
    <cellStyle name="20% - Акцент3 5 3" xfId="77"/>
    <cellStyle name="20% - Акцент3 5 4" xfId="78"/>
    <cellStyle name="20% - Акцент3 5 5" xfId="79"/>
    <cellStyle name="20% - Акцент3 6" xfId="80"/>
    <cellStyle name="20% - Акцент4" xfId="81"/>
    <cellStyle name="20% - Акцент4 2" xfId="82"/>
    <cellStyle name="20% - Акцент4 2 2" xfId="83"/>
    <cellStyle name="20% - Акцент4 2 3" xfId="84"/>
    <cellStyle name="20% - Акцент4 2 4" xfId="85"/>
    <cellStyle name="20% - Акцент4 2 5" xfId="86"/>
    <cellStyle name="20% - Акцент4 3" xfId="87"/>
    <cellStyle name="20% - Акцент4 3 2" xfId="88"/>
    <cellStyle name="20% - Акцент4 3 3" xfId="89"/>
    <cellStyle name="20% - Акцент4 3 4" xfId="90"/>
    <cellStyle name="20% - Акцент4 3 5" xfId="91"/>
    <cellStyle name="20% - Акцент4 4" xfId="92"/>
    <cellStyle name="20% - Акцент4 4 2" xfId="93"/>
    <cellStyle name="20% - Акцент4 4 3" xfId="94"/>
    <cellStyle name="20% - Акцент4 4 4" xfId="95"/>
    <cellStyle name="20% - Акцент4 4 5" xfId="96"/>
    <cellStyle name="20% - Акцент4 5" xfId="97"/>
    <cellStyle name="20% - Акцент4 5 2" xfId="98"/>
    <cellStyle name="20% - Акцент4 5 3" xfId="99"/>
    <cellStyle name="20% - Акцент4 5 4" xfId="100"/>
    <cellStyle name="20% - Акцент4 5 5" xfId="101"/>
    <cellStyle name="20% - Акцент4 6" xfId="102"/>
    <cellStyle name="20% - Акцент5" xfId="103"/>
    <cellStyle name="20% - Акцент5 2" xfId="104"/>
    <cellStyle name="20% - Акцент5 2 2" xfId="105"/>
    <cellStyle name="20% - Акцент5 2 3" xfId="106"/>
    <cellStyle name="20% - Акцент5 2 4" xfId="107"/>
    <cellStyle name="20% - Акцент5 2 5" xfId="108"/>
    <cellStyle name="20% - Акцент5 3" xfId="109"/>
    <cellStyle name="20% - Акцент5 3 2" xfId="110"/>
    <cellStyle name="20% - Акцент5 3 3" xfId="111"/>
    <cellStyle name="20% - Акцент5 3 4" xfId="112"/>
    <cellStyle name="20% - Акцент5 3 5" xfId="113"/>
    <cellStyle name="20% - Акцент5 4" xfId="114"/>
    <cellStyle name="20% - Акцент5 4 2" xfId="115"/>
    <cellStyle name="20% - Акцент5 4 3" xfId="116"/>
    <cellStyle name="20% - Акцент5 4 4" xfId="117"/>
    <cellStyle name="20% - Акцент5 4 5" xfId="118"/>
    <cellStyle name="20% - Акцент5 5" xfId="119"/>
    <cellStyle name="20% - Акцент5 5 2" xfId="120"/>
    <cellStyle name="20% - Акцент5 5 3" xfId="121"/>
    <cellStyle name="20% - Акцент5 5 4" xfId="122"/>
    <cellStyle name="20% - Акцент5 5 5" xfId="123"/>
    <cellStyle name="20% - Акцент5 6" xfId="124"/>
    <cellStyle name="20% - Акцент6" xfId="125"/>
    <cellStyle name="20% - Акцент6 2" xfId="126"/>
    <cellStyle name="20% - Акцент6 2 2" xfId="127"/>
    <cellStyle name="20% - Акцент6 2 3" xfId="128"/>
    <cellStyle name="20% - Акцент6 2 4" xfId="129"/>
    <cellStyle name="20% - Акцент6 2 5" xfId="130"/>
    <cellStyle name="20% - Акцент6 3" xfId="131"/>
    <cellStyle name="20% - Акцент6 3 2" xfId="132"/>
    <cellStyle name="20% - Акцент6 3 3" xfId="133"/>
    <cellStyle name="20% - Акцент6 3 4" xfId="134"/>
    <cellStyle name="20% - Акцент6 3 5" xfId="135"/>
    <cellStyle name="20% - Акцент6 4" xfId="136"/>
    <cellStyle name="20% - Акцент6 4 2" xfId="137"/>
    <cellStyle name="20% - Акцент6 4 3" xfId="138"/>
    <cellStyle name="20% - Акцент6 4 4" xfId="139"/>
    <cellStyle name="20% - Акцент6 4 5" xfId="140"/>
    <cellStyle name="20% - Акцент6 5" xfId="141"/>
    <cellStyle name="20% - Акцент6 5 2" xfId="142"/>
    <cellStyle name="20% - Акцент6 5 3" xfId="143"/>
    <cellStyle name="20% - Акцент6 5 4" xfId="144"/>
    <cellStyle name="20% - Акцент6 5 5" xfId="145"/>
    <cellStyle name="20% - Акцент6 6" xfId="146"/>
    <cellStyle name="40% - Акцент1" xfId="147"/>
    <cellStyle name="40% - Акцент1 2" xfId="148"/>
    <cellStyle name="40% - Акцент1 2 2" xfId="149"/>
    <cellStyle name="40% - Акцент1 2 3" xfId="150"/>
    <cellStyle name="40% - Акцент1 2 4" xfId="151"/>
    <cellStyle name="40% - Акцент1 2 5" xfId="152"/>
    <cellStyle name="40% - Акцент1 3" xfId="153"/>
    <cellStyle name="40% - Акцент1 3 2" xfId="154"/>
    <cellStyle name="40% - Акцент1 3 3" xfId="155"/>
    <cellStyle name="40% - Акцент1 3 4" xfId="156"/>
    <cellStyle name="40% - Акцент1 3 5" xfId="157"/>
    <cellStyle name="40% - Акцент1 4" xfId="158"/>
    <cellStyle name="40% - Акцент1 4 2" xfId="159"/>
    <cellStyle name="40% - Акцент1 4 3" xfId="160"/>
    <cellStyle name="40% - Акцент1 4 4" xfId="161"/>
    <cellStyle name="40% - Акцент1 4 5" xfId="162"/>
    <cellStyle name="40% - Акцент1 5" xfId="163"/>
    <cellStyle name="40% - Акцент1 5 2" xfId="164"/>
    <cellStyle name="40% - Акцент1 5 3" xfId="165"/>
    <cellStyle name="40% - Акцент1 5 4" xfId="166"/>
    <cellStyle name="40% - Акцент1 5 5" xfId="167"/>
    <cellStyle name="40% - Акцент1 6" xfId="168"/>
    <cellStyle name="40% - Акцент2" xfId="169"/>
    <cellStyle name="40% - Акцент2 2" xfId="170"/>
    <cellStyle name="40% - Акцент2 2 2" xfId="171"/>
    <cellStyle name="40% - Акцент2 2 3" xfId="172"/>
    <cellStyle name="40% - Акцент2 2 4" xfId="173"/>
    <cellStyle name="40% - Акцент2 2 5" xfId="174"/>
    <cellStyle name="40% - Акцент2 3" xfId="175"/>
    <cellStyle name="40% - Акцент2 3 2" xfId="176"/>
    <cellStyle name="40% - Акцент2 3 3" xfId="177"/>
    <cellStyle name="40% - Акцент2 3 4" xfId="178"/>
    <cellStyle name="40% - Акцент2 3 5" xfId="179"/>
    <cellStyle name="40% - Акцент2 4" xfId="180"/>
    <cellStyle name="40% - Акцент2 4 2" xfId="181"/>
    <cellStyle name="40% - Акцент2 4 3" xfId="182"/>
    <cellStyle name="40% - Акцент2 4 4" xfId="183"/>
    <cellStyle name="40% - Акцент2 4 5" xfId="184"/>
    <cellStyle name="40% - Акцент2 5" xfId="185"/>
    <cellStyle name="40% - Акцент2 5 2" xfId="186"/>
    <cellStyle name="40% - Акцент2 5 3" xfId="187"/>
    <cellStyle name="40% - Акцент2 5 4" xfId="188"/>
    <cellStyle name="40% - Акцент2 5 5" xfId="189"/>
    <cellStyle name="40% - Акцент2 6" xfId="190"/>
    <cellStyle name="40% - Акцент3" xfId="191"/>
    <cellStyle name="40% - Акцент3 2" xfId="192"/>
    <cellStyle name="40% - Акцент3 2 2" xfId="193"/>
    <cellStyle name="40% - Акцент3 2 3" xfId="194"/>
    <cellStyle name="40% - Акцент3 2 4" xfId="195"/>
    <cellStyle name="40% - Акцент3 2 5" xfId="196"/>
    <cellStyle name="40% - Акцент3 3" xfId="197"/>
    <cellStyle name="40% - Акцент3 3 2" xfId="198"/>
    <cellStyle name="40% - Акцент3 3 3" xfId="199"/>
    <cellStyle name="40% - Акцент3 3 4" xfId="200"/>
    <cellStyle name="40% - Акцент3 3 5" xfId="201"/>
    <cellStyle name="40% - Акцент3 4" xfId="202"/>
    <cellStyle name="40% - Акцент3 4 2" xfId="203"/>
    <cellStyle name="40% - Акцент3 4 3" xfId="204"/>
    <cellStyle name="40% - Акцент3 4 4" xfId="205"/>
    <cellStyle name="40% - Акцент3 4 5" xfId="206"/>
    <cellStyle name="40% - Акцент3 5" xfId="207"/>
    <cellStyle name="40% - Акцент3 5 2" xfId="208"/>
    <cellStyle name="40% - Акцент3 5 3" xfId="209"/>
    <cellStyle name="40% - Акцент3 5 4" xfId="210"/>
    <cellStyle name="40% - Акцент3 5 5" xfId="211"/>
    <cellStyle name="40% - Акцент3 6" xfId="212"/>
    <cellStyle name="40% - Акцент4" xfId="213"/>
    <cellStyle name="40% - Акцент4 2" xfId="214"/>
    <cellStyle name="40% - Акцент4 2 2" xfId="215"/>
    <cellStyle name="40% - Акцент4 2 3" xfId="216"/>
    <cellStyle name="40% - Акцент4 2 4" xfId="217"/>
    <cellStyle name="40% - Акцент4 2 5" xfId="218"/>
    <cellStyle name="40% - Акцент4 3" xfId="219"/>
    <cellStyle name="40% - Акцент4 3 2" xfId="220"/>
    <cellStyle name="40% - Акцент4 3 3" xfId="221"/>
    <cellStyle name="40% - Акцент4 3 4" xfId="222"/>
    <cellStyle name="40% - Акцент4 3 5" xfId="223"/>
    <cellStyle name="40% - Акцент4 4" xfId="224"/>
    <cellStyle name="40% - Акцент4 4 2" xfId="225"/>
    <cellStyle name="40% - Акцент4 4 3" xfId="226"/>
    <cellStyle name="40% - Акцент4 4 4" xfId="227"/>
    <cellStyle name="40% - Акцент4 4 5" xfId="228"/>
    <cellStyle name="40% - Акцент4 5" xfId="229"/>
    <cellStyle name="40% - Акцент4 5 2" xfId="230"/>
    <cellStyle name="40% - Акцент4 5 3" xfId="231"/>
    <cellStyle name="40% - Акцент4 5 4" xfId="232"/>
    <cellStyle name="40% - Акцент4 5 5" xfId="233"/>
    <cellStyle name="40% - Акцент4 6" xfId="234"/>
    <cellStyle name="40% - Акцент5" xfId="235"/>
    <cellStyle name="40% - Акцент5 2" xfId="236"/>
    <cellStyle name="40% - Акцент5 2 2" xfId="237"/>
    <cellStyle name="40% - Акцент5 2 3" xfId="238"/>
    <cellStyle name="40% - Акцент5 2 4" xfId="239"/>
    <cellStyle name="40% - Акцент5 2 5" xfId="240"/>
    <cellStyle name="40% - Акцент5 3" xfId="241"/>
    <cellStyle name="40% - Акцент5 3 2" xfId="242"/>
    <cellStyle name="40% - Акцент5 3 3" xfId="243"/>
    <cellStyle name="40% - Акцент5 3 4" xfId="244"/>
    <cellStyle name="40% - Акцент5 3 5" xfId="245"/>
    <cellStyle name="40% - Акцент5 4" xfId="246"/>
    <cellStyle name="40% - Акцент5 4 2" xfId="247"/>
    <cellStyle name="40% - Акцент5 4 3" xfId="248"/>
    <cellStyle name="40% - Акцент5 4 4" xfId="249"/>
    <cellStyle name="40% - Акцент5 4 5" xfId="250"/>
    <cellStyle name="40% - Акцент5 5" xfId="251"/>
    <cellStyle name="40% - Акцент5 5 2" xfId="252"/>
    <cellStyle name="40% - Акцент5 5 3" xfId="253"/>
    <cellStyle name="40% - Акцент5 5 4" xfId="254"/>
    <cellStyle name="40% - Акцент5 5 5" xfId="255"/>
    <cellStyle name="40% - Акцент5 6" xfId="256"/>
    <cellStyle name="40% - Акцент6" xfId="257"/>
    <cellStyle name="40% - Акцент6 2" xfId="258"/>
    <cellStyle name="40% - Акцент6 2 2" xfId="259"/>
    <cellStyle name="40% - Акцент6 2 3" xfId="260"/>
    <cellStyle name="40% - Акцент6 2 4" xfId="261"/>
    <cellStyle name="40% - Акцент6 2 5" xfId="262"/>
    <cellStyle name="40% - Акцент6 3" xfId="263"/>
    <cellStyle name="40% - Акцент6 3 2" xfId="264"/>
    <cellStyle name="40% - Акцент6 3 3" xfId="265"/>
    <cellStyle name="40% - Акцент6 3 4" xfId="266"/>
    <cellStyle name="40% - Акцент6 3 5" xfId="267"/>
    <cellStyle name="40% - Акцент6 4" xfId="268"/>
    <cellStyle name="40% - Акцент6 4 2" xfId="269"/>
    <cellStyle name="40% - Акцент6 4 3" xfId="270"/>
    <cellStyle name="40% - Акцент6 4 4" xfId="271"/>
    <cellStyle name="40% - Акцент6 4 5" xfId="272"/>
    <cellStyle name="40% - Акцент6 5" xfId="273"/>
    <cellStyle name="40% - Акцент6 5 2" xfId="274"/>
    <cellStyle name="40% - Акцент6 5 3" xfId="275"/>
    <cellStyle name="40% - Акцент6 5 4" xfId="276"/>
    <cellStyle name="40% - Акцент6 5 5" xfId="277"/>
    <cellStyle name="40% - Акцент6 6" xfId="278"/>
    <cellStyle name="60% - Акцент1" xfId="279"/>
    <cellStyle name="60% - Акцент1 2" xfId="280"/>
    <cellStyle name="60% - Акцент1 2 2" xfId="281"/>
    <cellStyle name="60% - Акцент1 2 3" xfId="282"/>
    <cellStyle name="60% - Акцент1 2 4" xfId="283"/>
    <cellStyle name="60% - Акцент1 2 5" xfId="284"/>
    <cellStyle name="60% - Акцент1 3" xfId="285"/>
    <cellStyle name="60% - Акцент1 3 2" xfId="286"/>
    <cellStyle name="60% - Акцент1 3 3" xfId="287"/>
    <cellStyle name="60% - Акцент1 3 4" xfId="288"/>
    <cellStyle name="60% - Акцент1 3 5" xfId="289"/>
    <cellStyle name="60% - Акцент1 4" xfId="290"/>
    <cellStyle name="60% - Акцент1 4 2" xfId="291"/>
    <cellStyle name="60% - Акцент1 4 3" xfId="292"/>
    <cellStyle name="60% - Акцент1 4 4" xfId="293"/>
    <cellStyle name="60% - Акцент1 4 5" xfId="294"/>
    <cellStyle name="60% - Акцент1 5" xfId="295"/>
    <cellStyle name="60% - Акцент1 5 2" xfId="296"/>
    <cellStyle name="60% - Акцент1 5 3" xfId="297"/>
    <cellStyle name="60% - Акцент1 5 4" xfId="298"/>
    <cellStyle name="60% - Акцент1 5 5" xfId="299"/>
    <cellStyle name="60% - Акцент1 6" xfId="300"/>
    <cellStyle name="60% - Акцент2" xfId="301"/>
    <cellStyle name="60% - Акцент2 2" xfId="302"/>
    <cellStyle name="60% - Акцент2 2 2" xfId="303"/>
    <cellStyle name="60% - Акцент2 2 3" xfId="304"/>
    <cellStyle name="60% - Акцент2 2 4" xfId="305"/>
    <cellStyle name="60% - Акцент2 2 5" xfId="306"/>
    <cellStyle name="60% - Акцент2 3" xfId="307"/>
    <cellStyle name="60% - Акцент2 3 2" xfId="308"/>
    <cellStyle name="60% - Акцент2 3 3" xfId="309"/>
    <cellStyle name="60% - Акцент2 3 4" xfId="310"/>
    <cellStyle name="60% - Акцент2 3 5" xfId="311"/>
    <cellStyle name="60% - Акцент2 4" xfId="312"/>
    <cellStyle name="60% - Акцент2 4 2" xfId="313"/>
    <cellStyle name="60% - Акцент2 4 3" xfId="314"/>
    <cellStyle name="60% - Акцент2 4 4" xfId="315"/>
    <cellStyle name="60% - Акцент2 4 5" xfId="316"/>
    <cellStyle name="60% - Акцент2 5" xfId="317"/>
    <cellStyle name="60% - Акцент2 5 2" xfId="318"/>
    <cellStyle name="60% - Акцент2 5 3" xfId="319"/>
    <cellStyle name="60% - Акцент2 5 4" xfId="320"/>
    <cellStyle name="60% - Акцент2 5 5" xfId="321"/>
    <cellStyle name="60% - Акцент2 6" xfId="322"/>
    <cellStyle name="60% - Акцент3" xfId="323"/>
    <cellStyle name="60% - Акцент3 2" xfId="324"/>
    <cellStyle name="60% - Акцент3 2 2" xfId="325"/>
    <cellStyle name="60% - Акцент3 2 3" xfId="326"/>
    <cellStyle name="60% - Акцент3 2 4" xfId="327"/>
    <cellStyle name="60% - Акцент3 2 5" xfId="328"/>
    <cellStyle name="60% - Акцент3 3" xfId="329"/>
    <cellStyle name="60% - Акцент3 3 2" xfId="330"/>
    <cellStyle name="60% - Акцент3 3 3" xfId="331"/>
    <cellStyle name="60% - Акцент3 3 4" xfId="332"/>
    <cellStyle name="60% - Акцент3 3 5" xfId="333"/>
    <cellStyle name="60% - Акцент3 4" xfId="334"/>
    <cellStyle name="60% - Акцент3 4 2" xfId="335"/>
    <cellStyle name="60% - Акцент3 4 3" xfId="336"/>
    <cellStyle name="60% - Акцент3 4 4" xfId="337"/>
    <cellStyle name="60% - Акцент3 4 5" xfId="338"/>
    <cellStyle name="60% - Акцент3 5" xfId="339"/>
    <cellStyle name="60% - Акцент3 5 2" xfId="340"/>
    <cellStyle name="60% - Акцент3 5 3" xfId="341"/>
    <cellStyle name="60% - Акцент3 5 4" xfId="342"/>
    <cellStyle name="60% - Акцент3 5 5" xfId="343"/>
    <cellStyle name="60% - Акцент3 6" xfId="344"/>
    <cellStyle name="60% - Акцент4" xfId="345"/>
    <cellStyle name="60% - Акцент4 2" xfId="346"/>
    <cellStyle name="60% - Акцент4 2 2" xfId="347"/>
    <cellStyle name="60% - Акцент4 2 3" xfId="348"/>
    <cellStyle name="60% - Акцент4 2 4" xfId="349"/>
    <cellStyle name="60% - Акцент4 2 5" xfId="350"/>
    <cellStyle name="60% - Акцент4 3" xfId="351"/>
    <cellStyle name="60% - Акцент4 3 2" xfId="352"/>
    <cellStyle name="60% - Акцент4 3 3" xfId="353"/>
    <cellStyle name="60% - Акцент4 3 4" xfId="354"/>
    <cellStyle name="60% - Акцент4 3 5" xfId="355"/>
    <cellStyle name="60% - Акцент4 4" xfId="356"/>
    <cellStyle name="60% - Акцент4 4 2" xfId="357"/>
    <cellStyle name="60% - Акцент4 4 3" xfId="358"/>
    <cellStyle name="60% - Акцент4 4 4" xfId="359"/>
    <cellStyle name="60% - Акцент4 4 5" xfId="360"/>
    <cellStyle name="60% - Акцент4 5" xfId="361"/>
    <cellStyle name="60% - Акцент4 5 2" xfId="362"/>
    <cellStyle name="60% - Акцент4 5 3" xfId="363"/>
    <cellStyle name="60% - Акцент4 5 4" xfId="364"/>
    <cellStyle name="60% - Акцент4 5 5" xfId="365"/>
    <cellStyle name="60% - Акцент4 6" xfId="366"/>
    <cellStyle name="60% - Акцент5" xfId="367"/>
    <cellStyle name="60% - Акцент5 2" xfId="368"/>
    <cellStyle name="60% - Акцент5 2 2" xfId="369"/>
    <cellStyle name="60% - Акцент5 2 3" xfId="370"/>
    <cellStyle name="60% - Акцент5 2 4" xfId="371"/>
    <cellStyle name="60% - Акцент5 2 5" xfId="372"/>
    <cellStyle name="60% - Акцент5 3" xfId="373"/>
    <cellStyle name="60% - Акцент5 3 2" xfId="374"/>
    <cellStyle name="60% - Акцент5 3 3" xfId="375"/>
    <cellStyle name="60% - Акцент5 3 4" xfId="376"/>
    <cellStyle name="60% - Акцент5 3 5" xfId="377"/>
    <cellStyle name="60% - Акцент5 4" xfId="378"/>
    <cellStyle name="60% - Акцент5 4 2" xfId="379"/>
    <cellStyle name="60% - Акцент5 4 3" xfId="380"/>
    <cellStyle name="60% - Акцент5 4 4" xfId="381"/>
    <cellStyle name="60% - Акцент5 4 5" xfId="382"/>
    <cellStyle name="60% - Акцент5 5" xfId="383"/>
    <cellStyle name="60% - Акцент5 5 2" xfId="384"/>
    <cellStyle name="60% - Акцент5 5 3" xfId="385"/>
    <cellStyle name="60% - Акцент5 5 4" xfId="386"/>
    <cellStyle name="60% - Акцент5 5 5" xfId="387"/>
    <cellStyle name="60% - Акцент5 6" xfId="388"/>
    <cellStyle name="60% - Акцент6" xfId="389"/>
    <cellStyle name="60% - Акцент6 2" xfId="390"/>
    <cellStyle name="60% - Акцент6 2 2" xfId="391"/>
    <cellStyle name="60% - Акцент6 2 3" xfId="392"/>
    <cellStyle name="60% - Акцент6 2 4" xfId="393"/>
    <cellStyle name="60% - Акцент6 2 5" xfId="394"/>
    <cellStyle name="60% - Акцент6 3" xfId="395"/>
    <cellStyle name="60% - Акцент6 3 2" xfId="396"/>
    <cellStyle name="60% - Акцент6 3 3" xfId="397"/>
    <cellStyle name="60% - Акцент6 3 4" xfId="398"/>
    <cellStyle name="60% - Акцент6 3 5" xfId="399"/>
    <cellStyle name="60% - Акцент6 4" xfId="400"/>
    <cellStyle name="60% - Акцент6 4 2" xfId="401"/>
    <cellStyle name="60% - Акцент6 4 3" xfId="402"/>
    <cellStyle name="60% - Акцент6 4 4" xfId="403"/>
    <cellStyle name="60% - Акцент6 4 5" xfId="404"/>
    <cellStyle name="60% - Акцент6 5" xfId="405"/>
    <cellStyle name="60% - Акцент6 5 2" xfId="406"/>
    <cellStyle name="60% - Акцент6 5 3" xfId="407"/>
    <cellStyle name="60% - Акцент6 5 4" xfId="408"/>
    <cellStyle name="60% - Акцент6 5 5" xfId="409"/>
    <cellStyle name="60% - Акцент6 6" xfId="410"/>
    <cellStyle name="Excel Built-in Normal" xfId="411"/>
    <cellStyle name="Excel Built-in Normal 2" xfId="412"/>
    <cellStyle name="Акцент1" xfId="413"/>
    <cellStyle name="Акцент1 2" xfId="414"/>
    <cellStyle name="Акцент1 2 2" xfId="415"/>
    <cellStyle name="Акцент1 2 3" xfId="416"/>
    <cellStyle name="Акцент1 2 4" xfId="417"/>
    <cellStyle name="Акцент1 2 5" xfId="418"/>
    <cellStyle name="Акцент1 3" xfId="419"/>
    <cellStyle name="Акцент1 3 2" xfId="420"/>
    <cellStyle name="Акцент1 3 3" xfId="421"/>
    <cellStyle name="Акцент1 3 4" xfId="422"/>
    <cellStyle name="Акцент1 3 5" xfId="423"/>
    <cellStyle name="Акцент1 4" xfId="424"/>
    <cellStyle name="Акцент1 4 2" xfId="425"/>
    <cellStyle name="Акцент1 4 3" xfId="426"/>
    <cellStyle name="Акцент1 4 4" xfId="427"/>
    <cellStyle name="Акцент1 4 5" xfId="428"/>
    <cellStyle name="Акцент1 5" xfId="429"/>
    <cellStyle name="Акцент1 5 2" xfId="430"/>
    <cellStyle name="Акцент1 5 3" xfId="431"/>
    <cellStyle name="Акцент1 5 4" xfId="432"/>
    <cellStyle name="Акцент1 5 5" xfId="433"/>
    <cellStyle name="Акцент1 6" xfId="434"/>
    <cellStyle name="Акцент2" xfId="435"/>
    <cellStyle name="Акцент2 2" xfId="436"/>
    <cellStyle name="Акцент2 2 2" xfId="437"/>
    <cellStyle name="Акцент2 2 3" xfId="438"/>
    <cellStyle name="Акцент2 2 4" xfId="439"/>
    <cellStyle name="Акцент2 2 5" xfId="440"/>
    <cellStyle name="Акцент2 3" xfId="441"/>
    <cellStyle name="Акцент2 3 2" xfId="442"/>
    <cellStyle name="Акцент2 3 3" xfId="443"/>
    <cellStyle name="Акцент2 3 4" xfId="444"/>
    <cellStyle name="Акцент2 3 5" xfId="445"/>
    <cellStyle name="Акцент2 4" xfId="446"/>
    <cellStyle name="Акцент2 4 2" xfId="447"/>
    <cellStyle name="Акцент2 4 3" xfId="448"/>
    <cellStyle name="Акцент2 4 4" xfId="449"/>
    <cellStyle name="Акцент2 4 5" xfId="450"/>
    <cellStyle name="Акцент2 5" xfId="451"/>
    <cellStyle name="Акцент2 5 2" xfId="452"/>
    <cellStyle name="Акцент2 5 3" xfId="453"/>
    <cellStyle name="Акцент2 5 4" xfId="454"/>
    <cellStyle name="Акцент2 5 5" xfId="455"/>
    <cellStyle name="Акцент2 6" xfId="456"/>
    <cellStyle name="Акцент3" xfId="457"/>
    <cellStyle name="Акцент3 2" xfId="458"/>
    <cellStyle name="Акцент3 2 2" xfId="459"/>
    <cellStyle name="Акцент3 2 3" xfId="460"/>
    <cellStyle name="Акцент3 2 4" xfId="461"/>
    <cellStyle name="Акцент3 2 5" xfId="462"/>
    <cellStyle name="Акцент3 3" xfId="463"/>
    <cellStyle name="Акцент3 3 2" xfId="464"/>
    <cellStyle name="Акцент3 3 3" xfId="465"/>
    <cellStyle name="Акцент3 3 4" xfId="466"/>
    <cellStyle name="Акцент3 3 5" xfId="467"/>
    <cellStyle name="Акцент3 4" xfId="468"/>
    <cellStyle name="Акцент3 4 2" xfId="469"/>
    <cellStyle name="Акцент3 4 3" xfId="470"/>
    <cellStyle name="Акцент3 4 4" xfId="471"/>
    <cellStyle name="Акцент3 4 5" xfId="472"/>
    <cellStyle name="Акцент3 5" xfId="473"/>
    <cellStyle name="Акцент3 5 2" xfId="474"/>
    <cellStyle name="Акцент3 5 3" xfId="475"/>
    <cellStyle name="Акцент3 5 4" xfId="476"/>
    <cellStyle name="Акцент3 5 5" xfId="477"/>
    <cellStyle name="Акцент3 6" xfId="478"/>
    <cellStyle name="Акцент4" xfId="479"/>
    <cellStyle name="Акцент4 2" xfId="480"/>
    <cellStyle name="Акцент4 2 2" xfId="481"/>
    <cellStyle name="Акцент4 2 3" xfId="482"/>
    <cellStyle name="Акцент4 2 4" xfId="483"/>
    <cellStyle name="Акцент4 2 5" xfId="484"/>
    <cellStyle name="Акцент4 3" xfId="485"/>
    <cellStyle name="Акцент4 3 2" xfId="486"/>
    <cellStyle name="Акцент4 3 3" xfId="487"/>
    <cellStyle name="Акцент4 3 4" xfId="488"/>
    <cellStyle name="Акцент4 3 5" xfId="489"/>
    <cellStyle name="Акцент4 4" xfId="490"/>
    <cellStyle name="Акцент4 4 2" xfId="491"/>
    <cellStyle name="Акцент4 4 3" xfId="492"/>
    <cellStyle name="Акцент4 4 4" xfId="493"/>
    <cellStyle name="Акцент4 4 5" xfId="494"/>
    <cellStyle name="Акцент4 5" xfId="495"/>
    <cellStyle name="Акцент4 5 2" xfId="496"/>
    <cellStyle name="Акцент4 5 3" xfId="497"/>
    <cellStyle name="Акцент4 5 4" xfId="498"/>
    <cellStyle name="Акцент4 5 5" xfId="499"/>
    <cellStyle name="Акцент4 6" xfId="500"/>
    <cellStyle name="Акцент5" xfId="501"/>
    <cellStyle name="Акцент5 2" xfId="502"/>
    <cellStyle name="Акцент5 2 2" xfId="503"/>
    <cellStyle name="Акцент5 2 3" xfId="504"/>
    <cellStyle name="Акцент5 2 4" xfId="505"/>
    <cellStyle name="Акцент5 2 5" xfId="506"/>
    <cellStyle name="Акцент5 3" xfId="507"/>
    <cellStyle name="Акцент5 3 2" xfId="508"/>
    <cellStyle name="Акцент5 3 3" xfId="509"/>
    <cellStyle name="Акцент5 3 4" xfId="510"/>
    <cellStyle name="Акцент5 3 5" xfId="511"/>
    <cellStyle name="Акцент5 4" xfId="512"/>
    <cellStyle name="Акцент5 4 2" xfId="513"/>
    <cellStyle name="Акцент5 4 3" xfId="514"/>
    <cellStyle name="Акцент5 4 4" xfId="515"/>
    <cellStyle name="Акцент5 4 5" xfId="516"/>
    <cellStyle name="Акцент5 5" xfId="517"/>
    <cellStyle name="Акцент5 5 2" xfId="518"/>
    <cellStyle name="Акцент5 5 3" xfId="519"/>
    <cellStyle name="Акцент5 5 4" xfId="520"/>
    <cellStyle name="Акцент5 5 5" xfId="521"/>
    <cellStyle name="Акцент5 6" xfId="522"/>
    <cellStyle name="Акцент6" xfId="523"/>
    <cellStyle name="Акцент6 2" xfId="524"/>
    <cellStyle name="Акцент6 2 2" xfId="525"/>
    <cellStyle name="Акцент6 2 3" xfId="526"/>
    <cellStyle name="Акцент6 2 4" xfId="527"/>
    <cellStyle name="Акцент6 2 5" xfId="528"/>
    <cellStyle name="Акцент6 3" xfId="529"/>
    <cellStyle name="Акцент6 3 2" xfId="530"/>
    <cellStyle name="Акцент6 3 3" xfId="531"/>
    <cellStyle name="Акцент6 3 4" xfId="532"/>
    <cellStyle name="Акцент6 3 5" xfId="533"/>
    <cellStyle name="Акцент6 4" xfId="534"/>
    <cellStyle name="Акцент6 4 2" xfId="535"/>
    <cellStyle name="Акцент6 4 3" xfId="536"/>
    <cellStyle name="Акцент6 4 4" xfId="537"/>
    <cellStyle name="Акцент6 4 5" xfId="538"/>
    <cellStyle name="Акцент6 5" xfId="539"/>
    <cellStyle name="Акцент6 5 2" xfId="540"/>
    <cellStyle name="Акцент6 5 3" xfId="541"/>
    <cellStyle name="Акцент6 5 4" xfId="542"/>
    <cellStyle name="Акцент6 5 5" xfId="543"/>
    <cellStyle name="Акцент6 6" xfId="544"/>
    <cellStyle name="Ввод " xfId="545"/>
    <cellStyle name="Ввод  2" xfId="546"/>
    <cellStyle name="Ввод  2 2" xfId="547"/>
    <cellStyle name="Ввод  2 3" xfId="548"/>
    <cellStyle name="Ввод  2 4" xfId="549"/>
    <cellStyle name="Ввод  2 5" xfId="550"/>
    <cellStyle name="Ввод  3" xfId="551"/>
    <cellStyle name="Ввод  3 2" xfId="552"/>
    <cellStyle name="Ввод  3 3" xfId="553"/>
    <cellStyle name="Ввод  3 4" xfId="554"/>
    <cellStyle name="Ввод  3 5" xfId="555"/>
    <cellStyle name="Ввод  4" xfId="556"/>
    <cellStyle name="Ввод  4 2" xfId="557"/>
    <cellStyle name="Ввод  4 3" xfId="558"/>
    <cellStyle name="Ввод  4 4" xfId="559"/>
    <cellStyle name="Ввод  4 5" xfId="560"/>
    <cellStyle name="Ввод  5" xfId="561"/>
    <cellStyle name="Ввод  5 2" xfId="562"/>
    <cellStyle name="Ввод  5 3" xfId="563"/>
    <cellStyle name="Ввод  5 4" xfId="564"/>
    <cellStyle name="Ввод  5 5" xfId="565"/>
    <cellStyle name="Ввод  6" xfId="566"/>
    <cellStyle name="Вывод" xfId="567"/>
    <cellStyle name="Вывод 2" xfId="568"/>
    <cellStyle name="Вывод 2 2" xfId="569"/>
    <cellStyle name="Вывод 2 3" xfId="570"/>
    <cellStyle name="Вывод 2 4" xfId="571"/>
    <cellStyle name="Вывод 2 5" xfId="572"/>
    <cellStyle name="Вывод 3" xfId="573"/>
    <cellStyle name="Вывод 3 2" xfId="574"/>
    <cellStyle name="Вывод 3 3" xfId="575"/>
    <cellStyle name="Вывод 3 4" xfId="576"/>
    <cellStyle name="Вывод 3 5" xfId="577"/>
    <cellStyle name="Вывод 4" xfId="578"/>
    <cellStyle name="Вывод 4 2" xfId="579"/>
    <cellStyle name="Вывод 4 3" xfId="580"/>
    <cellStyle name="Вывод 4 4" xfId="581"/>
    <cellStyle name="Вывод 4 5" xfId="582"/>
    <cellStyle name="Вывод 5" xfId="583"/>
    <cellStyle name="Вывод 5 2" xfId="584"/>
    <cellStyle name="Вывод 5 3" xfId="585"/>
    <cellStyle name="Вывод 5 4" xfId="586"/>
    <cellStyle name="Вывод 5 5" xfId="587"/>
    <cellStyle name="Вывод 6" xfId="588"/>
    <cellStyle name="Вычисление" xfId="589"/>
    <cellStyle name="Вычисление 2" xfId="590"/>
    <cellStyle name="Вычисление 2 2" xfId="591"/>
    <cellStyle name="Вычисление 2 3" xfId="592"/>
    <cellStyle name="Вычисление 2 4" xfId="593"/>
    <cellStyle name="Вычисление 2 5" xfId="594"/>
    <cellStyle name="Вычисление 3" xfId="595"/>
    <cellStyle name="Вычисление 3 2" xfId="596"/>
    <cellStyle name="Вычисление 3 3" xfId="597"/>
    <cellStyle name="Вычисление 3 4" xfId="598"/>
    <cellStyle name="Вычисление 3 5" xfId="599"/>
    <cellStyle name="Вычисление 4" xfId="600"/>
    <cellStyle name="Вычисление 4 2" xfId="601"/>
    <cellStyle name="Вычисление 4 3" xfId="602"/>
    <cellStyle name="Вычисление 4 4" xfId="603"/>
    <cellStyle name="Вычисление 4 5" xfId="604"/>
    <cellStyle name="Вычисление 5" xfId="605"/>
    <cellStyle name="Вычисление 5 2" xfId="606"/>
    <cellStyle name="Вычисление 5 3" xfId="607"/>
    <cellStyle name="Вычисление 5 4" xfId="608"/>
    <cellStyle name="Вычисление 5 5" xfId="609"/>
    <cellStyle name="Вычисление 6" xfId="610"/>
    <cellStyle name="Hyperlink" xfId="611"/>
    <cellStyle name="Currency" xfId="612"/>
    <cellStyle name="Currency [0]" xfId="613"/>
    <cellStyle name="Заголовок 1" xfId="614"/>
    <cellStyle name="Заголовок 1 2" xfId="615"/>
    <cellStyle name="Заголовок 1 2 2" xfId="616"/>
    <cellStyle name="Заголовок 1 2 3" xfId="617"/>
    <cellStyle name="Заголовок 1 2 4" xfId="618"/>
    <cellStyle name="Заголовок 1 2 5" xfId="619"/>
    <cellStyle name="Заголовок 1 3" xfId="620"/>
    <cellStyle name="Заголовок 1 3 2" xfId="621"/>
    <cellStyle name="Заголовок 1 3 3" xfId="622"/>
    <cellStyle name="Заголовок 1 3 4" xfId="623"/>
    <cellStyle name="Заголовок 1 3 5" xfId="624"/>
    <cellStyle name="Заголовок 1 4" xfId="625"/>
    <cellStyle name="Заголовок 1 4 2" xfId="626"/>
    <cellStyle name="Заголовок 1 4 3" xfId="627"/>
    <cellStyle name="Заголовок 1 4 4" xfId="628"/>
    <cellStyle name="Заголовок 1 4 5" xfId="629"/>
    <cellStyle name="Заголовок 1 5" xfId="630"/>
    <cellStyle name="Заголовок 1 5 2" xfId="631"/>
    <cellStyle name="Заголовок 1 5 3" xfId="632"/>
    <cellStyle name="Заголовок 1 5 4" xfId="633"/>
    <cellStyle name="Заголовок 1 5 5" xfId="634"/>
    <cellStyle name="Заголовок 2" xfId="635"/>
    <cellStyle name="Заголовок 2 2" xfId="636"/>
    <cellStyle name="Заголовок 2 2 2" xfId="637"/>
    <cellStyle name="Заголовок 2 2 3" xfId="638"/>
    <cellStyle name="Заголовок 2 2 4" xfId="639"/>
    <cellStyle name="Заголовок 2 2 5" xfId="640"/>
    <cellStyle name="Заголовок 2 3" xfId="641"/>
    <cellStyle name="Заголовок 2 3 2" xfId="642"/>
    <cellStyle name="Заголовок 2 3 3" xfId="643"/>
    <cellStyle name="Заголовок 2 3 4" xfId="644"/>
    <cellStyle name="Заголовок 2 3 5" xfId="645"/>
    <cellStyle name="Заголовок 2 4" xfId="646"/>
    <cellStyle name="Заголовок 2 4 2" xfId="647"/>
    <cellStyle name="Заголовок 2 4 3" xfId="648"/>
    <cellStyle name="Заголовок 2 4 4" xfId="649"/>
    <cellStyle name="Заголовок 2 4 5" xfId="650"/>
    <cellStyle name="Заголовок 2 5" xfId="651"/>
    <cellStyle name="Заголовок 2 5 2" xfId="652"/>
    <cellStyle name="Заголовок 2 5 3" xfId="653"/>
    <cellStyle name="Заголовок 2 5 4" xfId="654"/>
    <cellStyle name="Заголовок 2 5 5" xfId="655"/>
    <cellStyle name="Заголовок 3" xfId="656"/>
    <cellStyle name="Заголовок 3 2" xfId="657"/>
    <cellStyle name="Заголовок 3 2 2" xfId="658"/>
    <cellStyle name="Заголовок 3 2 3" xfId="659"/>
    <cellStyle name="Заголовок 3 2 4" xfId="660"/>
    <cellStyle name="Заголовок 3 2 5" xfId="661"/>
    <cellStyle name="Заголовок 3 3" xfId="662"/>
    <cellStyle name="Заголовок 3 3 2" xfId="663"/>
    <cellStyle name="Заголовок 3 3 3" xfId="664"/>
    <cellStyle name="Заголовок 3 3 4" xfId="665"/>
    <cellStyle name="Заголовок 3 3 5" xfId="666"/>
    <cellStyle name="Заголовок 3 4" xfId="667"/>
    <cellStyle name="Заголовок 3 4 2" xfId="668"/>
    <cellStyle name="Заголовок 3 4 3" xfId="669"/>
    <cellStyle name="Заголовок 3 4 4" xfId="670"/>
    <cellStyle name="Заголовок 3 4 5" xfId="671"/>
    <cellStyle name="Заголовок 3 5" xfId="672"/>
    <cellStyle name="Заголовок 3 5 2" xfId="673"/>
    <cellStyle name="Заголовок 3 5 3" xfId="674"/>
    <cellStyle name="Заголовок 3 5 4" xfId="675"/>
    <cellStyle name="Заголовок 3 5 5" xfId="676"/>
    <cellStyle name="Заголовок 4" xfId="677"/>
    <cellStyle name="Заголовок 4 2" xfId="678"/>
    <cellStyle name="Заголовок 4 2 2" xfId="679"/>
    <cellStyle name="Заголовок 4 2 3" xfId="680"/>
    <cellStyle name="Заголовок 4 2 4" xfId="681"/>
    <cellStyle name="Заголовок 4 2 5" xfId="682"/>
    <cellStyle name="Заголовок 4 3" xfId="683"/>
    <cellStyle name="Заголовок 4 3 2" xfId="684"/>
    <cellStyle name="Заголовок 4 3 3" xfId="685"/>
    <cellStyle name="Заголовок 4 3 4" xfId="686"/>
    <cellStyle name="Заголовок 4 3 5" xfId="687"/>
    <cellStyle name="Заголовок 4 4" xfId="688"/>
    <cellStyle name="Заголовок 4 4 2" xfId="689"/>
    <cellStyle name="Заголовок 4 4 3" xfId="690"/>
    <cellStyle name="Заголовок 4 4 4" xfId="691"/>
    <cellStyle name="Заголовок 4 4 5" xfId="692"/>
    <cellStyle name="Заголовок 4 5" xfId="693"/>
    <cellStyle name="Заголовок 4 5 2" xfId="694"/>
    <cellStyle name="Заголовок 4 5 3" xfId="695"/>
    <cellStyle name="Заголовок 4 5 4" xfId="696"/>
    <cellStyle name="Заголовок 4 5 5" xfId="697"/>
    <cellStyle name="Итог" xfId="698"/>
    <cellStyle name="Итог 2" xfId="699"/>
    <cellStyle name="Итог 2 2" xfId="700"/>
    <cellStyle name="Итог 2 3" xfId="701"/>
    <cellStyle name="Итог 2 4" xfId="702"/>
    <cellStyle name="Итог 2 5" xfId="703"/>
    <cellStyle name="Итог 3" xfId="704"/>
    <cellStyle name="Итог 3 2" xfId="705"/>
    <cellStyle name="Итог 3 3" xfId="706"/>
    <cellStyle name="Итог 3 4" xfId="707"/>
    <cellStyle name="Итог 3 5" xfId="708"/>
    <cellStyle name="Итог 4" xfId="709"/>
    <cellStyle name="Итог 4 2" xfId="710"/>
    <cellStyle name="Итог 4 3" xfId="711"/>
    <cellStyle name="Итог 4 4" xfId="712"/>
    <cellStyle name="Итог 4 5" xfId="713"/>
    <cellStyle name="Итог 5" xfId="714"/>
    <cellStyle name="Итог 5 2" xfId="715"/>
    <cellStyle name="Итог 5 3" xfId="716"/>
    <cellStyle name="Итог 5 4" xfId="717"/>
    <cellStyle name="Итог 5 5" xfId="718"/>
    <cellStyle name="Контрольная ячейка" xfId="719"/>
    <cellStyle name="Контрольная ячейка 2" xfId="720"/>
    <cellStyle name="Контрольная ячейка 2 2" xfId="721"/>
    <cellStyle name="Контрольная ячейка 2 3" xfId="722"/>
    <cellStyle name="Контрольная ячейка 2 4" xfId="723"/>
    <cellStyle name="Контрольная ячейка 2 5" xfId="724"/>
    <cellStyle name="Контрольная ячейка 3" xfId="725"/>
    <cellStyle name="Контрольная ячейка 3 2" xfId="726"/>
    <cellStyle name="Контрольная ячейка 3 3" xfId="727"/>
    <cellStyle name="Контрольная ячейка 3 4" xfId="728"/>
    <cellStyle name="Контрольная ячейка 3 5" xfId="729"/>
    <cellStyle name="Контрольная ячейка 4" xfId="730"/>
    <cellStyle name="Контрольная ячейка 4 2" xfId="731"/>
    <cellStyle name="Контрольная ячейка 4 3" xfId="732"/>
    <cellStyle name="Контрольная ячейка 4 4" xfId="733"/>
    <cellStyle name="Контрольная ячейка 4 5" xfId="734"/>
    <cellStyle name="Контрольная ячейка 5" xfId="735"/>
    <cellStyle name="Контрольная ячейка 5 2" xfId="736"/>
    <cellStyle name="Контрольная ячейка 5 3" xfId="737"/>
    <cellStyle name="Контрольная ячейка 5 4" xfId="738"/>
    <cellStyle name="Контрольная ячейка 5 5" xfId="739"/>
    <cellStyle name="Контрольная ячейка 6" xfId="740"/>
    <cellStyle name="Название" xfId="741"/>
    <cellStyle name="Название 2" xfId="742"/>
    <cellStyle name="Название 2 2" xfId="743"/>
    <cellStyle name="Название 2 3" xfId="744"/>
    <cellStyle name="Название 2 4" xfId="745"/>
    <cellStyle name="Название 2 5" xfId="746"/>
    <cellStyle name="Название 3" xfId="747"/>
    <cellStyle name="Название 3 2" xfId="748"/>
    <cellStyle name="Название 3 3" xfId="749"/>
    <cellStyle name="Название 3 4" xfId="750"/>
    <cellStyle name="Название 3 5" xfId="751"/>
    <cellStyle name="Название 4" xfId="752"/>
    <cellStyle name="Название 4 2" xfId="753"/>
    <cellStyle name="Название 4 3" xfId="754"/>
    <cellStyle name="Название 4 4" xfId="755"/>
    <cellStyle name="Название 4 5" xfId="756"/>
    <cellStyle name="Название 5" xfId="757"/>
    <cellStyle name="Название 5 2" xfId="758"/>
    <cellStyle name="Название 5 3" xfId="759"/>
    <cellStyle name="Название 5 4" xfId="760"/>
    <cellStyle name="Название 5 5" xfId="761"/>
    <cellStyle name="Нейтральный" xfId="762"/>
    <cellStyle name="Нейтральный 2" xfId="763"/>
    <cellStyle name="Нейтральный 2 2" xfId="764"/>
    <cellStyle name="Нейтральный 2 3" xfId="765"/>
    <cellStyle name="Нейтральный 2 4" xfId="766"/>
    <cellStyle name="Нейтральный 2 5" xfId="767"/>
    <cellStyle name="Нейтральный 3" xfId="768"/>
    <cellStyle name="Нейтральный 3 2" xfId="769"/>
    <cellStyle name="Нейтральный 3 3" xfId="770"/>
    <cellStyle name="Нейтральный 3 4" xfId="771"/>
    <cellStyle name="Нейтральный 3 5" xfId="772"/>
    <cellStyle name="Нейтральный 4" xfId="773"/>
    <cellStyle name="Нейтральный 4 2" xfId="774"/>
    <cellStyle name="Нейтральный 4 3" xfId="775"/>
    <cellStyle name="Нейтральный 4 4" xfId="776"/>
    <cellStyle name="Нейтральный 4 5" xfId="777"/>
    <cellStyle name="Нейтральный 5" xfId="778"/>
    <cellStyle name="Нейтральный 5 2" xfId="779"/>
    <cellStyle name="Нейтральный 5 3" xfId="780"/>
    <cellStyle name="Нейтральный 5 4" xfId="781"/>
    <cellStyle name="Нейтральный 5 5" xfId="782"/>
    <cellStyle name="Нейтральный 6" xfId="783"/>
    <cellStyle name="Обычный 10" xfId="784"/>
    <cellStyle name="Обычный 11" xfId="785"/>
    <cellStyle name="Обычный 12" xfId="786"/>
    <cellStyle name="Обычный 2" xfId="787"/>
    <cellStyle name="Обычный 2 2" xfId="788"/>
    <cellStyle name="Обычный 2 3" xfId="789"/>
    <cellStyle name="Обычный 2 4" xfId="790"/>
    <cellStyle name="Обычный 2 5" xfId="791"/>
    <cellStyle name="Обычный 3" xfId="792"/>
    <cellStyle name="Обычный 4" xfId="793"/>
    <cellStyle name="Обычный 5" xfId="794"/>
    <cellStyle name="Обычный 5 2" xfId="795"/>
    <cellStyle name="Обычный 6" xfId="796"/>
    <cellStyle name="Обычный 7" xfId="797"/>
    <cellStyle name="Обычный 8" xfId="798"/>
    <cellStyle name="Обычный 9" xfId="799"/>
    <cellStyle name="Обычный_Бюджет розвитку 2014_17.09.2013 2" xfId="800"/>
    <cellStyle name="Обычный_ПЛАН Бюджету розвитку на 2013_деп.економіки" xfId="801"/>
    <cellStyle name="Followed Hyperlink" xfId="802"/>
    <cellStyle name="Плохой" xfId="803"/>
    <cellStyle name="Плохой 2" xfId="804"/>
    <cellStyle name="Плохой 2 2" xfId="805"/>
    <cellStyle name="Плохой 2 3" xfId="806"/>
    <cellStyle name="Плохой 2 4" xfId="807"/>
    <cellStyle name="Плохой 2 5" xfId="808"/>
    <cellStyle name="Плохой 3" xfId="809"/>
    <cellStyle name="Плохой 3 2" xfId="810"/>
    <cellStyle name="Плохой 3 3" xfId="811"/>
    <cellStyle name="Плохой 3 4" xfId="812"/>
    <cellStyle name="Плохой 3 5" xfId="813"/>
    <cellStyle name="Плохой 4" xfId="814"/>
    <cellStyle name="Плохой 4 2" xfId="815"/>
    <cellStyle name="Плохой 4 3" xfId="816"/>
    <cellStyle name="Плохой 4 4" xfId="817"/>
    <cellStyle name="Плохой 4 5" xfId="818"/>
    <cellStyle name="Плохой 5" xfId="819"/>
    <cellStyle name="Плохой 5 2" xfId="820"/>
    <cellStyle name="Плохой 5 3" xfId="821"/>
    <cellStyle name="Плохой 5 4" xfId="822"/>
    <cellStyle name="Плохой 5 5" xfId="823"/>
    <cellStyle name="Плохой 6" xfId="824"/>
    <cellStyle name="Пояснение" xfId="825"/>
    <cellStyle name="Пояснение 2" xfId="826"/>
    <cellStyle name="Пояснение 2 2" xfId="827"/>
    <cellStyle name="Пояснение 2 3" xfId="828"/>
    <cellStyle name="Пояснение 2 4" xfId="829"/>
    <cellStyle name="Пояснение 2 5" xfId="830"/>
    <cellStyle name="Пояснение 3" xfId="831"/>
    <cellStyle name="Пояснение 3 2" xfId="832"/>
    <cellStyle name="Пояснение 3 3" xfId="833"/>
    <cellStyle name="Пояснение 3 4" xfId="834"/>
    <cellStyle name="Пояснение 3 5" xfId="835"/>
    <cellStyle name="Пояснение 4" xfId="836"/>
    <cellStyle name="Пояснение 4 2" xfId="837"/>
    <cellStyle name="Пояснение 4 3" xfId="838"/>
    <cellStyle name="Пояснение 4 4" xfId="839"/>
    <cellStyle name="Пояснение 4 5" xfId="840"/>
    <cellStyle name="Пояснение 5" xfId="841"/>
    <cellStyle name="Пояснение 5 2" xfId="842"/>
    <cellStyle name="Пояснение 5 3" xfId="843"/>
    <cellStyle name="Пояснение 5 4" xfId="844"/>
    <cellStyle name="Пояснение 5 5" xfId="845"/>
    <cellStyle name="Примечание" xfId="846"/>
    <cellStyle name="Примечание 2" xfId="847"/>
    <cellStyle name="Примечание 2 2" xfId="848"/>
    <cellStyle name="Примечание 2 3" xfId="849"/>
    <cellStyle name="Примечание 2 4" xfId="850"/>
    <cellStyle name="Примечание 2 5" xfId="851"/>
    <cellStyle name="Примечание 3" xfId="852"/>
    <cellStyle name="Примечание 3 2" xfId="853"/>
    <cellStyle name="Примечание 3 3" xfId="854"/>
    <cellStyle name="Примечание 3 4" xfId="855"/>
    <cellStyle name="Примечание 3 5" xfId="856"/>
    <cellStyle name="Примечание 4" xfId="857"/>
    <cellStyle name="Примечание 4 2" xfId="858"/>
    <cellStyle name="Примечание 4 3" xfId="859"/>
    <cellStyle name="Примечание 4 4" xfId="860"/>
    <cellStyle name="Примечание 4 5" xfId="861"/>
    <cellStyle name="Примечание 5" xfId="862"/>
    <cellStyle name="Примечание 5 2" xfId="863"/>
    <cellStyle name="Примечание 5 3" xfId="864"/>
    <cellStyle name="Примечание 5 4" xfId="865"/>
    <cellStyle name="Примечание 5 5" xfId="866"/>
    <cellStyle name="Примечание 6" xfId="867"/>
    <cellStyle name="Percent" xfId="868"/>
    <cellStyle name="Процентный 2" xfId="869"/>
    <cellStyle name="Процентный 2 10" xfId="870"/>
    <cellStyle name="Процентный 2 11" xfId="871"/>
    <cellStyle name="Процентный 2 12" xfId="872"/>
    <cellStyle name="Процентный 2 13" xfId="873"/>
    <cellStyle name="Процентный 2 14" xfId="874"/>
    <cellStyle name="Процентный 2 15" xfId="875"/>
    <cellStyle name="Процентный 2 16" xfId="876"/>
    <cellStyle name="Процентный 2 17" xfId="877"/>
    <cellStyle name="Процентный 2 18" xfId="878"/>
    <cellStyle name="Процентный 2 19" xfId="879"/>
    <cellStyle name="Процентный 2 2" xfId="880"/>
    <cellStyle name="Процентный 2 20" xfId="881"/>
    <cellStyle name="Процентный 2 21" xfId="882"/>
    <cellStyle name="Процентный 2 22" xfId="883"/>
    <cellStyle name="Процентный 2 23" xfId="884"/>
    <cellStyle name="Процентный 2 24" xfId="885"/>
    <cellStyle name="Процентный 2 25" xfId="886"/>
    <cellStyle name="Процентный 2 26" xfId="887"/>
    <cellStyle name="Процентный 2 27" xfId="888"/>
    <cellStyle name="Процентный 2 3" xfId="889"/>
    <cellStyle name="Процентный 2 3 2" xfId="890"/>
    <cellStyle name="Процентный 2 4" xfId="891"/>
    <cellStyle name="Процентный 2 5" xfId="892"/>
    <cellStyle name="Процентный 2 6" xfId="893"/>
    <cellStyle name="Процентный 2 7" xfId="894"/>
    <cellStyle name="Процентный 2 8" xfId="895"/>
    <cellStyle name="Процентный 2 9" xfId="896"/>
    <cellStyle name="Процентный 5" xfId="897"/>
    <cellStyle name="Процентный 5 2" xfId="898"/>
    <cellStyle name="Связанная ячейка" xfId="899"/>
    <cellStyle name="Связанная ячейка 2" xfId="900"/>
    <cellStyle name="Связанная ячейка 2 2" xfId="901"/>
    <cellStyle name="Связанная ячейка 2 3" xfId="902"/>
    <cellStyle name="Связанная ячейка 2 4" xfId="903"/>
    <cellStyle name="Связанная ячейка 2 5" xfId="904"/>
    <cellStyle name="Связанная ячейка 3" xfId="905"/>
    <cellStyle name="Связанная ячейка 3 2" xfId="906"/>
    <cellStyle name="Связанная ячейка 3 3" xfId="907"/>
    <cellStyle name="Связанная ячейка 3 4" xfId="908"/>
    <cellStyle name="Связанная ячейка 3 5" xfId="909"/>
    <cellStyle name="Связанная ячейка 4" xfId="910"/>
    <cellStyle name="Связанная ячейка 4 2" xfId="911"/>
    <cellStyle name="Связанная ячейка 4 3" xfId="912"/>
    <cellStyle name="Связанная ячейка 4 4" xfId="913"/>
    <cellStyle name="Связанная ячейка 4 5" xfId="914"/>
    <cellStyle name="Связанная ячейка 5" xfId="915"/>
    <cellStyle name="Связанная ячейка 5 2" xfId="916"/>
    <cellStyle name="Связанная ячейка 5 3" xfId="917"/>
    <cellStyle name="Связанная ячейка 5 4" xfId="918"/>
    <cellStyle name="Связанная ячейка 5 5" xfId="919"/>
    <cellStyle name="Текст предупреждения" xfId="920"/>
    <cellStyle name="Текст предупреждения 2" xfId="921"/>
    <cellStyle name="Текст предупреждения 2 2" xfId="922"/>
    <cellStyle name="Текст предупреждения 2 3" xfId="923"/>
    <cellStyle name="Текст предупреждения 2 4" xfId="924"/>
    <cellStyle name="Текст предупреждения 2 5" xfId="925"/>
    <cellStyle name="Текст предупреждения 3" xfId="926"/>
    <cellStyle name="Текст предупреждения 3 2" xfId="927"/>
    <cellStyle name="Текст предупреждения 3 3" xfId="928"/>
    <cellStyle name="Текст предупреждения 3 4" xfId="929"/>
    <cellStyle name="Текст предупреждения 3 5" xfId="930"/>
    <cellStyle name="Текст предупреждения 4" xfId="931"/>
    <cellStyle name="Текст предупреждения 4 2" xfId="932"/>
    <cellStyle name="Текст предупреждения 4 3" xfId="933"/>
    <cellStyle name="Текст предупреждения 4 4" xfId="934"/>
    <cellStyle name="Текст предупреждения 4 5" xfId="935"/>
    <cellStyle name="Текст предупреждения 5" xfId="936"/>
    <cellStyle name="Текст предупреждения 5 2" xfId="937"/>
    <cellStyle name="Текст предупреждения 5 3" xfId="938"/>
    <cellStyle name="Текст предупреждения 5 4" xfId="939"/>
    <cellStyle name="Текст предупреждения 5 5" xfId="940"/>
    <cellStyle name="Comma" xfId="941"/>
    <cellStyle name="Comma [0]" xfId="942"/>
    <cellStyle name="Хороший" xfId="943"/>
    <cellStyle name="Хороший 2" xfId="944"/>
    <cellStyle name="Хороший 2 2" xfId="945"/>
    <cellStyle name="Хороший 2 3" xfId="946"/>
    <cellStyle name="Хороший 2 4" xfId="947"/>
    <cellStyle name="Хороший 2 5" xfId="948"/>
    <cellStyle name="Хороший 3" xfId="949"/>
    <cellStyle name="Хороший 3 2" xfId="950"/>
    <cellStyle name="Хороший 3 3" xfId="951"/>
    <cellStyle name="Хороший 3 4" xfId="952"/>
    <cellStyle name="Хороший 3 5" xfId="953"/>
    <cellStyle name="Хороший 4" xfId="954"/>
    <cellStyle name="Хороший 4 2" xfId="955"/>
    <cellStyle name="Хороший 4 3" xfId="956"/>
    <cellStyle name="Хороший 4 4" xfId="957"/>
    <cellStyle name="Хороший 4 5" xfId="958"/>
    <cellStyle name="Хороший 5" xfId="959"/>
    <cellStyle name="Хороший 5 2" xfId="960"/>
    <cellStyle name="Хороший 5 3" xfId="961"/>
    <cellStyle name="Хороший 5 4" xfId="962"/>
    <cellStyle name="Хороший 5 5" xfId="963"/>
    <cellStyle name="Хороший 6" xfId="9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I418"/>
  <sheetViews>
    <sheetView tabSelected="1" view="pageBreakPreview" zoomScale="80" zoomScaleSheetLayoutView="80" workbookViewId="0" topLeftCell="A1">
      <selection activeCell="F4" sqref="F4:H4"/>
    </sheetView>
  </sheetViews>
  <sheetFormatPr defaultColWidth="9.140625" defaultRowHeight="15"/>
  <cols>
    <col min="1" max="1" width="13.00390625" style="5" customWidth="1"/>
    <col min="2" max="2" width="27.57421875" style="6" customWidth="1"/>
    <col min="3" max="3" width="60.7109375" style="6" customWidth="1"/>
    <col min="4" max="4" width="17.8515625" style="5" customWidth="1"/>
    <col min="5" max="5" width="10.8515625" style="5" customWidth="1"/>
    <col min="6" max="6" width="16.140625" style="7" customWidth="1"/>
    <col min="7" max="7" width="17.00390625" style="5" customWidth="1"/>
    <col min="8" max="8" width="16.00390625" style="5" customWidth="1"/>
    <col min="9" max="9" width="27.57421875" style="5" customWidth="1"/>
    <col min="10" max="16384" width="9.140625" style="5" customWidth="1"/>
  </cols>
  <sheetData>
    <row r="1" spans="5:8" ht="24" customHeight="1">
      <c r="E1" s="7"/>
      <c r="F1" s="91" t="s">
        <v>169</v>
      </c>
      <c r="G1" s="91"/>
      <c r="H1" s="8"/>
    </row>
    <row r="2" spans="5:8" ht="21" customHeight="1">
      <c r="E2" s="7"/>
      <c r="F2" s="92" t="s">
        <v>170</v>
      </c>
      <c r="G2" s="92"/>
      <c r="H2" s="8"/>
    </row>
    <row r="3" spans="5:8" ht="24.75" customHeight="1">
      <c r="E3" s="7"/>
      <c r="F3" s="120" t="s">
        <v>73</v>
      </c>
      <c r="G3" s="93"/>
      <c r="H3" s="93"/>
    </row>
    <row r="4" spans="1:8" s="11" customFormat="1" ht="23.25" customHeight="1">
      <c r="A4" s="9"/>
      <c r="B4" s="10"/>
      <c r="C4" s="10"/>
      <c r="D4" s="9"/>
      <c r="F4" s="94" t="s">
        <v>171</v>
      </c>
      <c r="G4" s="94"/>
      <c r="H4" s="94"/>
    </row>
    <row r="5" spans="1:8" s="11" customFormat="1" ht="27.75" customHeight="1">
      <c r="A5" s="9"/>
      <c r="B5" s="10"/>
      <c r="C5" s="10"/>
      <c r="D5" s="9"/>
      <c r="F5" s="93" t="s">
        <v>253</v>
      </c>
      <c r="G5" s="93"/>
      <c r="H5" s="93"/>
    </row>
    <row r="6" spans="1:8" s="11" customFormat="1" ht="35.25" customHeight="1">
      <c r="A6" s="9"/>
      <c r="B6" s="10"/>
      <c r="C6" s="10"/>
      <c r="D6" s="9"/>
      <c r="E6" s="12"/>
      <c r="F6" s="93"/>
      <c r="G6" s="93"/>
      <c r="H6" s="93"/>
    </row>
    <row r="7" spans="1:8" ht="41.25" customHeight="1">
      <c r="A7" s="95" t="s">
        <v>252</v>
      </c>
      <c r="B7" s="95"/>
      <c r="C7" s="95"/>
      <c r="D7" s="95"/>
      <c r="E7" s="95"/>
      <c r="F7" s="95"/>
      <c r="G7" s="95"/>
      <c r="H7" s="95"/>
    </row>
    <row r="8" spans="1:8" ht="30.75" customHeight="1">
      <c r="A8" s="13"/>
      <c r="B8" s="14"/>
      <c r="C8" s="14"/>
      <c r="D8" s="13"/>
      <c r="E8" s="8"/>
      <c r="F8" s="15"/>
      <c r="G8" s="96" t="s">
        <v>172</v>
      </c>
      <c r="H8" s="96"/>
    </row>
    <row r="9" spans="1:8" ht="40.5" customHeight="1">
      <c r="A9" s="95" t="s">
        <v>254</v>
      </c>
      <c r="B9" s="95"/>
      <c r="C9" s="95"/>
      <c r="D9" s="95"/>
      <c r="E9" s="95"/>
      <c r="F9" s="95"/>
      <c r="G9" s="95"/>
      <c r="H9" s="95"/>
    </row>
    <row r="10" spans="1:8" ht="19.5" customHeight="1" thickBot="1">
      <c r="A10" s="8"/>
      <c r="B10" s="92"/>
      <c r="C10" s="92"/>
      <c r="D10" s="8"/>
      <c r="E10" s="16"/>
      <c r="F10" s="8"/>
      <c r="G10" s="8"/>
      <c r="H10" s="8" t="s">
        <v>81</v>
      </c>
    </row>
    <row r="11" spans="1:8" ht="85.5" customHeight="1">
      <c r="A11" s="17" t="s">
        <v>82</v>
      </c>
      <c r="B11" s="18" t="s">
        <v>74</v>
      </c>
      <c r="C11" s="97" t="s">
        <v>83</v>
      </c>
      <c r="D11" s="97" t="s">
        <v>173</v>
      </c>
      <c r="E11" s="99" t="s">
        <v>174</v>
      </c>
      <c r="F11" s="97" t="s">
        <v>175</v>
      </c>
      <c r="G11" s="97" t="s">
        <v>255</v>
      </c>
      <c r="H11" s="101" t="s">
        <v>176</v>
      </c>
    </row>
    <row r="12" spans="1:8" ht="100.5" customHeight="1" thickBot="1">
      <c r="A12" s="19" t="s">
        <v>84</v>
      </c>
      <c r="B12" s="20" t="s">
        <v>85</v>
      </c>
      <c r="C12" s="98"/>
      <c r="D12" s="98"/>
      <c r="E12" s="100"/>
      <c r="F12" s="98"/>
      <c r="G12" s="98"/>
      <c r="H12" s="102"/>
    </row>
    <row r="13" spans="1:8" ht="18.75" customHeight="1" thickBot="1">
      <c r="A13" s="65">
        <v>1</v>
      </c>
      <c r="B13" s="66">
        <v>2</v>
      </c>
      <c r="C13" s="66">
        <v>3</v>
      </c>
      <c r="D13" s="66">
        <v>4</v>
      </c>
      <c r="E13" s="86">
        <v>5</v>
      </c>
      <c r="F13" s="66">
        <v>6</v>
      </c>
      <c r="G13" s="66">
        <v>7</v>
      </c>
      <c r="H13" s="67">
        <v>8</v>
      </c>
    </row>
    <row r="14" spans="1:8" ht="36.75" customHeight="1">
      <c r="A14" s="87"/>
      <c r="B14" s="88"/>
      <c r="C14" s="88" t="s">
        <v>86</v>
      </c>
      <c r="D14" s="89">
        <f>SUM(D15+D18+D36+D62+D66+D69+D72+D373+D385+D396+D412+D416)</f>
        <v>539746.2849899998</v>
      </c>
      <c r="E14" s="89"/>
      <c r="F14" s="89">
        <f>SUM(F15+F18+F36+F62+F66+F69+F72+F373+F385+F396+F412+F416)</f>
        <v>429486.38906</v>
      </c>
      <c r="G14" s="89">
        <f>SUM(G15+G18+G36+G62+G66+G69+G72+G373+G385+G396+G412+G416)</f>
        <v>92718.18198999997</v>
      </c>
      <c r="H14" s="90"/>
    </row>
    <row r="15" spans="1:8" s="57" customFormat="1" ht="36" customHeight="1">
      <c r="A15" s="50" t="s">
        <v>89</v>
      </c>
      <c r="B15" s="1" t="s">
        <v>266</v>
      </c>
      <c r="C15" s="1"/>
      <c r="D15" s="21">
        <f>SUM(D16:D17)</f>
        <v>2498.718</v>
      </c>
      <c r="E15" s="21"/>
      <c r="F15" s="21">
        <f>SUM(F16:F17)</f>
        <v>2159.57026</v>
      </c>
      <c r="G15" s="21">
        <f>SUM(G16)</f>
        <v>415.76</v>
      </c>
      <c r="H15" s="48"/>
    </row>
    <row r="16" spans="1:8" s="57" customFormat="1" ht="42.75" customHeight="1">
      <c r="A16" s="103">
        <v>150101</v>
      </c>
      <c r="B16" s="104" t="s">
        <v>177</v>
      </c>
      <c r="C16" s="1" t="s">
        <v>267</v>
      </c>
      <c r="D16" s="21">
        <v>2498.718</v>
      </c>
      <c r="E16" s="22">
        <f>100-(F16/D16)*100</f>
        <v>13.572869767616837</v>
      </c>
      <c r="F16" s="21">
        <f>D16-1.09968-338.04806</f>
        <v>2159.57026</v>
      </c>
      <c r="G16" s="21">
        <f>SUM(G17)</f>
        <v>415.76</v>
      </c>
      <c r="H16" s="3"/>
    </row>
    <row r="17" spans="1:8" s="57" customFormat="1" ht="37.5" customHeight="1">
      <c r="A17" s="103"/>
      <c r="B17" s="104"/>
      <c r="C17" s="1" t="s">
        <v>138</v>
      </c>
      <c r="D17" s="21"/>
      <c r="E17" s="22"/>
      <c r="F17" s="21"/>
      <c r="G17" s="21">
        <v>415.76</v>
      </c>
      <c r="H17" s="3"/>
    </row>
    <row r="18" spans="1:8" ht="75" customHeight="1">
      <c r="A18" s="28">
        <v>10</v>
      </c>
      <c r="B18" s="1" t="s">
        <v>76</v>
      </c>
      <c r="C18" s="1"/>
      <c r="D18" s="21">
        <f>SUM(D19+D22+D24+D26+D31+D33+D35+D21+D28+D30)</f>
        <v>163476.636</v>
      </c>
      <c r="E18" s="22"/>
      <c r="F18" s="21">
        <f>SUM(F19+F22+F24+F26+F31+F33+F35+F21+F28+F30)</f>
        <v>125491.47308000001</v>
      </c>
      <c r="G18" s="21">
        <f>SUM(G19+G22+G24+G26+G31+G33+G35+G21+G28+G30)</f>
        <v>22411.798</v>
      </c>
      <c r="H18" s="3"/>
    </row>
    <row r="19" spans="1:8" ht="39.75" customHeight="1">
      <c r="A19" s="105" t="s">
        <v>178</v>
      </c>
      <c r="B19" s="104" t="s">
        <v>177</v>
      </c>
      <c r="C19" s="24" t="s">
        <v>179</v>
      </c>
      <c r="D19" s="21">
        <v>6379.139</v>
      </c>
      <c r="E19" s="22">
        <f>100-(F19/D19)*100</f>
        <v>67.11595483340307</v>
      </c>
      <c r="F19" s="21">
        <f>D19-(1687.311+344.04021+44.9761+181.131+636.19824+755.9243+631.8392)</f>
        <v>2097.7189500000004</v>
      </c>
      <c r="G19" s="21">
        <f>831.335+G20+134.558+865.442-1366</f>
        <v>731.719</v>
      </c>
      <c r="H19" s="106" t="s">
        <v>180</v>
      </c>
    </row>
    <row r="20" spans="1:8" s="57" customFormat="1" ht="36" customHeight="1">
      <c r="A20" s="105"/>
      <c r="B20" s="104"/>
      <c r="C20" s="1" t="s">
        <v>138</v>
      </c>
      <c r="D20" s="21"/>
      <c r="E20" s="22"/>
      <c r="F20" s="21"/>
      <c r="G20" s="21">
        <v>266.384</v>
      </c>
      <c r="H20" s="106"/>
    </row>
    <row r="21" spans="1:8" ht="56.25" customHeight="1">
      <c r="A21" s="23" t="s">
        <v>178</v>
      </c>
      <c r="B21" s="1" t="s">
        <v>177</v>
      </c>
      <c r="C21" s="1" t="s">
        <v>407</v>
      </c>
      <c r="D21" s="21">
        <v>9880.23</v>
      </c>
      <c r="E21" s="22">
        <f>100-(F21/D21)*100</f>
        <v>13.027971008772056</v>
      </c>
      <c r="F21" s="21">
        <f>D21-(1069.7+206.46924+0.13313+10.89113)</f>
        <v>8593.0365</v>
      </c>
      <c r="G21" s="21">
        <v>1.704</v>
      </c>
      <c r="H21" s="3" t="s">
        <v>180</v>
      </c>
    </row>
    <row r="22" spans="1:8" ht="93.75" customHeight="1">
      <c r="A22" s="105" t="s">
        <v>178</v>
      </c>
      <c r="B22" s="104" t="s">
        <v>177</v>
      </c>
      <c r="C22" s="1" t="s">
        <v>181</v>
      </c>
      <c r="D22" s="21">
        <v>619.012</v>
      </c>
      <c r="E22" s="22">
        <f>100-(F22/D22)*100</f>
        <v>3.225659599490811</v>
      </c>
      <c r="F22" s="21">
        <f>D22-19.96722</f>
        <v>599.04478</v>
      </c>
      <c r="G22" s="21">
        <v>599.045</v>
      </c>
      <c r="H22" s="106" t="s">
        <v>180</v>
      </c>
    </row>
    <row r="23" spans="1:8" s="57" customFormat="1" ht="35.25" customHeight="1">
      <c r="A23" s="105"/>
      <c r="B23" s="104"/>
      <c r="C23" s="1" t="s">
        <v>138</v>
      </c>
      <c r="D23" s="21"/>
      <c r="E23" s="22"/>
      <c r="F23" s="21"/>
      <c r="G23" s="21">
        <f>180.426-15.521+0.194</f>
        <v>165.09899999999996</v>
      </c>
      <c r="H23" s="106"/>
    </row>
    <row r="24" spans="1:8" ht="61.5" customHeight="1">
      <c r="A24" s="105" t="s">
        <v>178</v>
      </c>
      <c r="B24" s="104" t="s">
        <v>177</v>
      </c>
      <c r="C24" s="24" t="s">
        <v>182</v>
      </c>
      <c r="D24" s="21">
        <v>1001.743</v>
      </c>
      <c r="E24" s="22">
        <f>100-(F24/D24)*100</f>
        <v>75.90313982728105</v>
      </c>
      <c r="F24" s="21">
        <f>D24-(21.29719+527.40245+211.65475)</f>
        <v>241.38860999999997</v>
      </c>
      <c r="G24" s="21">
        <f>320.825+G25-134.558</f>
        <v>241.389</v>
      </c>
      <c r="H24" s="106" t="s">
        <v>180</v>
      </c>
    </row>
    <row r="25" spans="1:8" s="57" customFormat="1" ht="35.25" customHeight="1">
      <c r="A25" s="105"/>
      <c r="B25" s="104"/>
      <c r="C25" s="1" t="s">
        <v>138</v>
      </c>
      <c r="D25" s="21"/>
      <c r="E25" s="22"/>
      <c r="F25" s="21"/>
      <c r="G25" s="21">
        <v>55.122</v>
      </c>
      <c r="H25" s="106"/>
    </row>
    <row r="26" spans="1:8" ht="74.25" customHeight="1">
      <c r="A26" s="105" t="s">
        <v>178</v>
      </c>
      <c r="B26" s="104" t="s">
        <v>177</v>
      </c>
      <c r="C26" s="1" t="s">
        <v>183</v>
      </c>
      <c r="D26" s="21">
        <v>18053.4</v>
      </c>
      <c r="E26" s="22">
        <f>100-(F26/D26)*100</f>
        <v>38.37191974918852</v>
      </c>
      <c r="F26" s="21">
        <f>D26-(202.12564+117.93706+2239.71048+4367.66298)</f>
        <v>11125.96384</v>
      </c>
      <c r="G26" s="21">
        <f>11125.964-1400</f>
        <v>9725.964</v>
      </c>
      <c r="H26" s="106" t="s">
        <v>180</v>
      </c>
    </row>
    <row r="27" spans="1:8" s="57" customFormat="1" ht="37.5" customHeight="1">
      <c r="A27" s="105"/>
      <c r="B27" s="104"/>
      <c r="C27" s="1" t="s">
        <v>138</v>
      </c>
      <c r="D27" s="21"/>
      <c r="E27" s="22"/>
      <c r="F27" s="21"/>
      <c r="G27" s="21">
        <f>2214.185-1402.182</f>
        <v>812.0029999999999</v>
      </c>
      <c r="H27" s="106"/>
    </row>
    <row r="28" spans="1:8" ht="62.25" customHeight="1">
      <c r="A28" s="105" t="s">
        <v>178</v>
      </c>
      <c r="B28" s="104" t="s">
        <v>177</v>
      </c>
      <c r="C28" s="1" t="s">
        <v>18</v>
      </c>
      <c r="D28" s="21">
        <v>4860</v>
      </c>
      <c r="E28" s="22">
        <f>100-(F28/D28)*100</f>
        <v>3.0492106995884853</v>
      </c>
      <c r="F28" s="21">
        <f>D28-148.19164</f>
        <v>4711.80836</v>
      </c>
      <c r="G28" s="21">
        <f>0.754+147.438</f>
        <v>148.19199999999998</v>
      </c>
      <c r="H28" s="106" t="s">
        <v>180</v>
      </c>
    </row>
    <row r="29" spans="1:8" ht="39.75" customHeight="1">
      <c r="A29" s="105"/>
      <c r="B29" s="104"/>
      <c r="C29" s="1" t="s">
        <v>138</v>
      </c>
      <c r="D29" s="21"/>
      <c r="E29" s="22"/>
      <c r="F29" s="21"/>
      <c r="G29" s="21">
        <v>0.754</v>
      </c>
      <c r="H29" s="106"/>
    </row>
    <row r="30" spans="1:8" ht="75">
      <c r="A30" s="23" t="s">
        <v>178</v>
      </c>
      <c r="B30" s="1" t="s">
        <v>177</v>
      </c>
      <c r="C30" s="1" t="s">
        <v>408</v>
      </c>
      <c r="D30" s="21">
        <v>906.755</v>
      </c>
      <c r="E30" s="22">
        <f>100-(F30/D30)*100</f>
        <v>33.15051143914289</v>
      </c>
      <c r="F30" s="21">
        <f>D30-300-0.59492+0.001</f>
        <v>606.16108</v>
      </c>
      <c r="G30" s="21">
        <v>299.406</v>
      </c>
      <c r="H30" s="3" t="s">
        <v>180</v>
      </c>
    </row>
    <row r="31" spans="1:8" ht="62.25" customHeight="1">
      <c r="A31" s="105" t="s">
        <v>178</v>
      </c>
      <c r="B31" s="104" t="s">
        <v>177</v>
      </c>
      <c r="C31" s="1" t="s">
        <v>184</v>
      </c>
      <c r="D31" s="21">
        <v>7650.634</v>
      </c>
      <c r="E31" s="22">
        <f>100-(F31/D31)*100</f>
        <v>23.45771030217888</v>
      </c>
      <c r="F31" s="21">
        <f>SUM(D31-1794.66356)</f>
        <v>5855.97044</v>
      </c>
      <c r="G31" s="21">
        <f>2639.632+G32+2910.665-5000-477</f>
        <v>378.97000000000025</v>
      </c>
      <c r="H31" s="106" t="s">
        <v>180</v>
      </c>
    </row>
    <row r="32" spans="1:8" s="57" customFormat="1" ht="21" customHeight="1">
      <c r="A32" s="105"/>
      <c r="B32" s="104"/>
      <c r="C32" s="1" t="s">
        <v>138</v>
      </c>
      <c r="D32" s="21"/>
      <c r="E32" s="22"/>
      <c r="F32" s="21"/>
      <c r="G32" s="21">
        <v>305.673</v>
      </c>
      <c r="H32" s="106"/>
    </row>
    <row r="33" spans="1:8" ht="42" customHeight="1">
      <c r="A33" s="105" t="s">
        <v>178</v>
      </c>
      <c r="B33" s="104" t="s">
        <v>177</v>
      </c>
      <c r="C33" s="1" t="s">
        <v>30</v>
      </c>
      <c r="D33" s="21">
        <v>99995.818</v>
      </c>
      <c r="E33" s="22">
        <f>100-(F33/D33)*100</f>
        <v>21.4663506027822</v>
      </c>
      <c r="F33" s="21">
        <f>SUM(D33-941.16388-1592.174-18932.115)</f>
        <v>78530.36512</v>
      </c>
      <c r="G33" s="21">
        <f>1000+G34+8869.564</f>
        <v>9935.409</v>
      </c>
      <c r="H33" s="106" t="s">
        <v>180</v>
      </c>
    </row>
    <row r="34" spans="1:8" s="57" customFormat="1" ht="36.75" customHeight="1">
      <c r="A34" s="105"/>
      <c r="B34" s="104"/>
      <c r="C34" s="1" t="s">
        <v>138</v>
      </c>
      <c r="D34" s="21"/>
      <c r="E34" s="22"/>
      <c r="F34" s="21"/>
      <c r="G34" s="21">
        <v>65.845</v>
      </c>
      <c r="H34" s="106"/>
    </row>
    <row r="35" spans="1:8" ht="42.75" customHeight="1">
      <c r="A35" s="23" t="s">
        <v>178</v>
      </c>
      <c r="B35" s="1" t="s">
        <v>177</v>
      </c>
      <c r="C35" s="1" t="s">
        <v>256</v>
      </c>
      <c r="D35" s="21">
        <v>14129.905</v>
      </c>
      <c r="E35" s="22">
        <f>100-(F35/D35)*100</f>
        <v>7.07640709544755</v>
      </c>
      <c r="F35" s="21">
        <f>SUM(D35-299.89-699.9996)</f>
        <v>13130.015400000002</v>
      </c>
      <c r="G35" s="21">
        <v>350</v>
      </c>
      <c r="H35" s="3" t="s">
        <v>180</v>
      </c>
    </row>
    <row r="36" spans="1:8" ht="79.5" customHeight="1">
      <c r="A36" s="28">
        <v>14</v>
      </c>
      <c r="B36" s="1" t="s">
        <v>185</v>
      </c>
      <c r="C36" s="1"/>
      <c r="D36" s="21">
        <f>SUM(D37+D38+D40+D41+D43+D45+D46+D48+D49+D51+D54+D55+D57+D60+D53+D61)</f>
        <v>70701.74100000001</v>
      </c>
      <c r="E36" s="22"/>
      <c r="F36" s="21">
        <f>SUM(F37+F38+F40+F41+F43+F45+F46+F48+F49+F51+F54+F55+F57+F60+F53+F61)</f>
        <v>51604.73335000001</v>
      </c>
      <c r="G36" s="21">
        <f>SUM(G37+G38+G40+G41+G43+G45+G46+G48+G49+G51+G54+G55+G57+G60+G53+G61+G59)</f>
        <v>9214.011999999999</v>
      </c>
      <c r="H36" s="3"/>
    </row>
    <row r="37" spans="1:8" ht="97.5" customHeight="1">
      <c r="A37" s="23" t="s">
        <v>178</v>
      </c>
      <c r="B37" s="1" t="s">
        <v>177</v>
      </c>
      <c r="C37" s="25" t="s">
        <v>410</v>
      </c>
      <c r="D37" s="21">
        <v>8930.226</v>
      </c>
      <c r="E37" s="22">
        <f>100-(F37/D37)*100</f>
        <v>34.88813362618146</v>
      </c>
      <c r="F37" s="21">
        <f>D37-(1.65492+3.86148+683.13948+758.24118+1668.69212)</f>
        <v>5814.636820000001</v>
      </c>
      <c r="G37" s="21">
        <v>858.524</v>
      </c>
      <c r="H37" s="3" t="s">
        <v>180</v>
      </c>
    </row>
    <row r="38" spans="1:8" ht="75.75" customHeight="1">
      <c r="A38" s="105" t="s">
        <v>178</v>
      </c>
      <c r="B38" s="104" t="s">
        <v>177</v>
      </c>
      <c r="C38" s="26" t="s">
        <v>190</v>
      </c>
      <c r="D38" s="21">
        <v>8142.051</v>
      </c>
      <c r="E38" s="22">
        <f>100-(F38/D38)*100</f>
        <v>81.205556683445</v>
      </c>
      <c r="F38" s="21">
        <f>D38-(1388.68+1250+594.39965+183.85879+1020+1166.7+415.61717+592.54223)</f>
        <v>1530.2531600000002</v>
      </c>
      <c r="G38" s="21">
        <f>1279.91+G39-0.73</f>
        <v>1530.2530000000002</v>
      </c>
      <c r="H38" s="106" t="s">
        <v>180</v>
      </c>
    </row>
    <row r="39" spans="1:8" s="57" customFormat="1" ht="39.75" customHeight="1">
      <c r="A39" s="105"/>
      <c r="B39" s="104"/>
      <c r="C39" s="1" t="s">
        <v>138</v>
      </c>
      <c r="D39" s="21"/>
      <c r="E39" s="22"/>
      <c r="F39" s="21"/>
      <c r="G39" s="21">
        <v>251.073</v>
      </c>
      <c r="H39" s="106"/>
    </row>
    <row r="40" spans="1:8" ht="78.75" customHeight="1">
      <c r="A40" s="23" t="s">
        <v>178</v>
      </c>
      <c r="B40" s="1" t="s">
        <v>177</v>
      </c>
      <c r="C40" s="26" t="s">
        <v>257</v>
      </c>
      <c r="D40" s="21">
        <v>7053.562</v>
      </c>
      <c r="E40" s="22">
        <f>100-(F40/D40)*100</f>
        <v>84.43011913696938</v>
      </c>
      <c r="F40" s="21">
        <f>D40-(1131.01602+23.73674+2.4632+1732.00326+753.14493+789.54642+1523.42023)</f>
        <v>1098.2312000000002</v>
      </c>
      <c r="G40" s="21">
        <f>1098.231-1098.231</f>
        <v>0</v>
      </c>
      <c r="H40" s="3" t="s">
        <v>180</v>
      </c>
    </row>
    <row r="41" spans="1:8" ht="92.25" customHeight="1">
      <c r="A41" s="105" t="s">
        <v>178</v>
      </c>
      <c r="B41" s="104" t="s">
        <v>177</v>
      </c>
      <c r="C41" s="26" t="s">
        <v>423</v>
      </c>
      <c r="D41" s="21">
        <v>27395.31</v>
      </c>
      <c r="E41" s="22">
        <f>100-(F41/D41)*100</f>
        <v>2.9271758195107083</v>
      </c>
      <c r="F41" s="21">
        <f>SUM(D41-767.38333-34.52556)</f>
        <v>26593.401110000003</v>
      </c>
      <c r="G41" s="21">
        <f>100+G42</f>
        <v>300</v>
      </c>
      <c r="H41" s="106" t="s">
        <v>180</v>
      </c>
    </row>
    <row r="42" spans="1:8" s="57" customFormat="1" ht="40.5" customHeight="1">
      <c r="A42" s="105"/>
      <c r="B42" s="104"/>
      <c r="C42" s="1" t="s">
        <v>138</v>
      </c>
      <c r="D42" s="21"/>
      <c r="E42" s="22"/>
      <c r="F42" s="21"/>
      <c r="G42" s="21">
        <v>200</v>
      </c>
      <c r="H42" s="106"/>
    </row>
    <row r="43" spans="1:8" ht="77.25" customHeight="1">
      <c r="A43" s="105" t="s">
        <v>178</v>
      </c>
      <c r="B43" s="104" t="s">
        <v>177</v>
      </c>
      <c r="C43" s="26" t="s">
        <v>186</v>
      </c>
      <c r="D43" s="21">
        <v>3575.299</v>
      </c>
      <c r="E43" s="22">
        <f>100-(F43/D43)*100</f>
        <v>35.42972405944231</v>
      </c>
      <c r="F43" s="21">
        <f>D43-(30.1488+136.05183+2.41403+1098.10391)</f>
        <v>2308.58043</v>
      </c>
      <c r="G43" s="21">
        <v>1017.862</v>
      </c>
      <c r="H43" s="106" t="s">
        <v>180</v>
      </c>
    </row>
    <row r="44" spans="1:8" s="57" customFormat="1" ht="37.5">
      <c r="A44" s="105"/>
      <c r="B44" s="104"/>
      <c r="C44" s="1" t="s">
        <v>138</v>
      </c>
      <c r="D44" s="21"/>
      <c r="E44" s="22"/>
      <c r="F44" s="21"/>
      <c r="G44" s="21">
        <f>17.862-8.371</f>
        <v>9.490999999999998</v>
      </c>
      <c r="H44" s="106"/>
    </row>
    <row r="45" spans="1:8" ht="64.5" customHeight="1">
      <c r="A45" s="23" t="s">
        <v>178</v>
      </c>
      <c r="B45" s="1" t="s">
        <v>177</v>
      </c>
      <c r="C45" s="1" t="s">
        <v>50</v>
      </c>
      <c r="D45" s="21">
        <v>2351.685</v>
      </c>
      <c r="E45" s="22">
        <f>100-(F45/D45)*100</f>
        <v>8.038622944824667</v>
      </c>
      <c r="F45" s="21">
        <f>SUM(D45-129.97194-59.07115)</f>
        <v>2162.64191</v>
      </c>
      <c r="G45" s="21">
        <f>1162.642+1000-1500-500</f>
        <v>162.64199999999983</v>
      </c>
      <c r="H45" s="3" t="s">
        <v>180</v>
      </c>
    </row>
    <row r="46" spans="1:8" ht="58.5" customHeight="1">
      <c r="A46" s="105" t="s">
        <v>178</v>
      </c>
      <c r="B46" s="104" t="s">
        <v>177</v>
      </c>
      <c r="C46" s="1" t="s">
        <v>187</v>
      </c>
      <c r="D46" s="21">
        <v>2581.403</v>
      </c>
      <c r="E46" s="22">
        <f>100-(F46/D46)*100</f>
        <v>7.747724783770678</v>
      </c>
      <c r="F46" s="21">
        <f>SUM(D46-141.81762-58.18238)</f>
        <v>2381.403</v>
      </c>
      <c r="G46" s="21">
        <f>1000+G47+0.73+99.82+1269.118-1534.696-500+184.727-0.35</f>
        <v>531.0840000000003</v>
      </c>
      <c r="H46" s="106" t="s">
        <v>180</v>
      </c>
    </row>
    <row r="47" spans="1:8" ht="50.25" customHeight="1">
      <c r="A47" s="105"/>
      <c r="B47" s="104"/>
      <c r="C47" s="1" t="s">
        <v>138</v>
      </c>
      <c r="D47" s="21"/>
      <c r="E47" s="22"/>
      <c r="F47" s="21"/>
      <c r="G47" s="21">
        <v>11.735</v>
      </c>
      <c r="H47" s="106"/>
    </row>
    <row r="48" spans="1:8" ht="80.25" customHeight="1">
      <c r="A48" s="23" t="s">
        <v>178</v>
      </c>
      <c r="B48" s="1" t="s">
        <v>177</v>
      </c>
      <c r="C48" s="1" t="s">
        <v>188</v>
      </c>
      <c r="D48" s="21">
        <v>1801.032</v>
      </c>
      <c r="E48" s="22">
        <f>100-(F48/D48)*100</f>
        <v>8.126401973979355</v>
      </c>
      <c r="F48" s="21">
        <f>SUM(D48-100.44048-45.91862)</f>
        <v>1654.6729</v>
      </c>
      <c r="G48" s="21">
        <f>723.448+931.225-1500</f>
        <v>154.673</v>
      </c>
      <c r="H48" s="3" t="s">
        <v>180</v>
      </c>
    </row>
    <row r="49" spans="1:8" ht="60" customHeight="1">
      <c r="A49" s="105" t="s">
        <v>178</v>
      </c>
      <c r="B49" s="104" t="s">
        <v>177</v>
      </c>
      <c r="C49" s="26" t="s">
        <v>189</v>
      </c>
      <c r="D49" s="21">
        <f>300+20.647</f>
        <v>320.647</v>
      </c>
      <c r="E49" s="22">
        <f>100-(F49/D49)*100</f>
        <v>41.377255985554214</v>
      </c>
      <c r="F49" s="21">
        <f>SUM(D49-30.81-101.86493)</f>
        <v>187.97206999999997</v>
      </c>
      <c r="G49" s="21">
        <f>200.825+G50-99.821</f>
        <v>187.972</v>
      </c>
      <c r="H49" s="106" t="s">
        <v>180</v>
      </c>
    </row>
    <row r="50" spans="1:8" s="57" customFormat="1" ht="39.75" customHeight="1">
      <c r="A50" s="105"/>
      <c r="B50" s="104"/>
      <c r="C50" s="1" t="s">
        <v>138</v>
      </c>
      <c r="D50" s="21"/>
      <c r="E50" s="22"/>
      <c r="F50" s="21"/>
      <c r="G50" s="21">
        <v>86.968</v>
      </c>
      <c r="H50" s="106"/>
    </row>
    <row r="51" spans="1:8" ht="99.75" customHeight="1">
      <c r="A51" s="107">
        <v>150101</v>
      </c>
      <c r="B51" s="104" t="s">
        <v>177</v>
      </c>
      <c r="C51" s="1" t="s">
        <v>443</v>
      </c>
      <c r="D51" s="21">
        <v>157.51</v>
      </c>
      <c r="E51" s="22">
        <f>100-(F51/D51)*100</f>
        <v>0</v>
      </c>
      <c r="F51" s="21">
        <f>SUM(D51)</f>
        <v>157.51</v>
      </c>
      <c r="G51" s="21">
        <f>20+137.51</f>
        <v>157.51</v>
      </c>
      <c r="H51" s="106" t="s">
        <v>180</v>
      </c>
    </row>
    <row r="52" spans="1:8" ht="37.5" customHeight="1">
      <c r="A52" s="107"/>
      <c r="B52" s="104"/>
      <c r="C52" s="1" t="s">
        <v>138</v>
      </c>
      <c r="D52" s="21"/>
      <c r="E52" s="22"/>
      <c r="F52" s="21"/>
      <c r="G52" s="21">
        <v>20</v>
      </c>
      <c r="H52" s="106"/>
    </row>
    <row r="53" spans="1:8" s="57" customFormat="1" ht="60.75" customHeight="1">
      <c r="A53" s="23" t="s">
        <v>178</v>
      </c>
      <c r="B53" s="1" t="s">
        <v>177</v>
      </c>
      <c r="C53" s="1" t="s">
        <v>191</v>
      </c>
      <c r="D53" s="21">
        <v>185</v>
      </c>
      <c r="E53" s="22">
        <f>100-(F53/D53)*100</f>
        <v>65.40081081081081</v>
      </c>
      <c r="F53" s="21">
        <f>SUM(D53-120.9915)</f>
        <v>64.0085</v>
      </c>
      <c r="G53" s="21">
        <v>64.009</v>
      </c>
      <c r="H53" s="3" t="s">
        <v>180</v>
      </c>
    </row>
    <row r="54" spans="1:8" s="57" customFormat="1" ht="63" customHeight="1">
      <c r="A54" s="23" t="s">
        <v>178</v>
      </c>
      <c r="B54" s="1" t="s">
        <v>177</v>
      </c>
      <c r="C54" s="1" t="s">
        <v>192</v>
      </c>
      <c r="D54" s="21">
        <v>4431.452</v>
      </c>
      <c r="E54" s="22">
        <f>100-(F54/D54)*100</f>
        <v>3.599783772903322</v>
      </c>
      <c r="F54" s="21">
        <f>SUM(D54-159.52269)</f>
        <v>4271.92931</v>
      </c>
      <c r="G54" s="21">
        <v>19.32</v>
      </c>
      <c r="H54" s="3" t="s">
        <v>180</v>
      </c>
    </row>
    <row r="55" spans="1:8" s="57" customFormat="1" ht="57.75" customHeight="1">
      <c r="A55" s="105" t="s">
        <v>178</v>
      </c>
      <c r="B55" s="104" t="s">
        <v>177</v>
      </c>
      <c r="C55" s="1" t="s">
        <v>194</v>
      </c>
      <c r="D55" s="21">
        <v>415.206</v>
      </c>
      <c r="E55" s="22">
        <f>100-(F55/D55)*100</f>
        <v>0</v>
      </c>
      <c r="F55" s="21">
        <f>SUM(D55)</f>
        <v>415.206</v>
      </c>
      <c r="G55" s="21">
        <f>325.77+G56</f>
        <v>415.206</v>
      </c>
      <c r="H55" s="106" t="s">
        <v>180</v>
      </c>
    </row>
    <row r="56" spans="1:8" s="57" customFormat="1" ht="27.75" customHeight="1">
      <c r="A56" s="105"/>
      <c r="B56" s="104"/>
      <c r="C56" s="1" t="s">
        <v>138</v>
      </c>
      <c r="D56" s="21"/>
      <c r="E56" s="22"/>
      <c r="F56" s="21"/>
      <c r="G56" s="21">
        <v>89.436</v>
      </c>
      <c r="H56" s="106"/>
    </row>
    <row r="57" spans="1:8" s="57" customFormat="1" ht="58.5" customHeight="1">
      <c r="A57" s="105" t="s">
        <v>178</v>
      </c>
      <c r="B57" s="104" t="s">
        <v>177</v>
      </c>
      <c r="C57" s="1" t="s">
        <v>193</v>
      </c>
      <c r="D57" s="21">
        <v>2647.748</v>
      </c>
      <c r="E57" s="22">
        <f>100-(F57/D57)*100</f>
        <v>14.996557829521535</v>
      </c>
      <c r="F57" s="21">
        <f>D57-397.07106</f>
        <v>2250.6769400000003</v>
      </c>
      <c r="G57" s="21">
        <f>1444.897+G58+743.118</f>
        <v>2250.677</v>
      </c>
      <c r="H57" s="106" t="s">
        <v>180</v>
      </c>
    </row>
    <row r="58" spans="1:8" s="57" customFormat="1" ht="35.25" customHeight="1">
      <c r="A58" s="105"/>
      <c r="B58" s="104"/>
      <c r="C58" s="1" t="s">
        <v>138</v>
      </c>
      <c r="D58" s="21"/>
      <c r="E58" s="22"/>
      <c r="F58" s="21"/>
      <c r="G58" s="21">
        <v>62.662</v>
      </c>
      <c r="H58" s="106"/>
    </row>
    <row r="59" spans="1:8" s="57" customFormat="1" ht="76.5" customHeight="1">
      <c r="A59" s="23" t="s">
        <v>398</v>
      </c>
      <c r="B59" s="1" t="s">
        <v>177</v>
      </c>
      <c r="C59" s="1" t="s">
        <v>39</v>
      </c>
      <c r="D59" s="21">
        <v>850.67</v>
      </c>
      <c r="E59" s="22">
        <f>100-(F59/D59)*100</f>
        <v>0</v>
      </c>
      <c r="F59" s="21">
        <f>SUM(D59)</f>
        <v>850.67</v>
      </c>
      <c r="G59" s="21">
        <v>850.67</v>
      </c>
      <c r="H59" s="3" t="s">
        <v>180</v>
      </c>
    </row>
    <row r="60" spans="1:8" s="57" customFormat="1" ht="58.5" customHeight="1">
      <c r="A60" s="23" t="s">
        <v>398</v>
      </c>
      <c r="B60" s="1" t="s">
        <v>177</v>
      </c>
      <c r="C60" s="1" t="s">
        <v>53</v>
      </c>
      <c r="D60" s="21">
        <v>563.594</v>
      </c>
      <c r="E60" s="22">
        <f>100-(F60/D60)*100</f>
        <v>0</v>
      </c>
      <c r="F60" s="21">
        <f>SUM(D60)</f>
        <v>563.594</v>
      </c>
      <c r="G60" s="21">
        <v>563.594</v>
      </c>
      <c r="H60" s="3" t="s">
        <v>180</v>
      </c>
    </row>
    <row r="61" spans="1:8" s="57" customFormat="1" ht="73.5" customHeight="1">
      <c r="A61" s="23" t="s">
        <v>398</v>
      </c>
      <c r="B61" s="1" t="s">
        <v>177</v>
      </c>
      <c r="C61" s="1" t="s">
        <v>441</v>
      </c>
      <c r="D61" s="21">
        <v>150.016</v>
      </c>
      <c r="E61" s="22">
        <f>100-(F61/D61)*100</f>
        <v>0</v>
      </c>
      <c r="F61" s="21">
        <f>SUM(D61)</f>
        <v>150.016</v>
      </c>
      <c r="G61" s="21">
        <v>150.016</v>
      </c>
      <c r="H61" s="3" t="s">
        <v>180</v>
      </c>
    </row>
    <row r="62" spans="1:8" ht="82.5" customHeight="1">
      <c r="A62" s="28">
        <v>15</v>
      </c>
      <c r="B62" s="1" t="s">
        <v>77</v>
      </c>
      <c r="C62" s="1"/>
      <c r="D62" s="21">
        <f>SUM(D63+D65)</f>
        <v>6274.216</v>
      </c>
      <c r="E62" s="22"/>
      <c r="F62" s="21">
        <f>SUM(F63+F65)</f>
        <v>4518.280790000001</v>
      </c>
      <c r="G62" s="21">
        <f>SUM(G63+G65)</f>
        <v>1518.281</v>
      </c>
      <c r="H62" s="3"/>
    </row>
    <row r="63" spans="1:8" ht="45.75" customHeight="1">
      <c r="A63" s="105" t="s">
        <v>178</v>
      </c>
      <c r="B63" s="104" t="s">
        <v>177</v>
      </c>
      <c r="C63" s="24" t="s">
        <v>195</v>
      </c>
      <c r="D63" s="21">
        <v>5974.216</v>
      </c>
      <c r="E63" s="22">
        <f>100-(F63/D63)*100</f>
        <v>29.391893597419312</v>
      </c>
      <c r="F63" s="21">
        <f>D63-141.38581-1614.5504+0.001</f>
        <v>4218.280790000001</v>
      </c>
      <c r="G63" s="21">
        <f>4218.281-3000</f>
        <v>1218.281</v>
      </c>
      <c r="H63" s="106" t="s">
        <v>180</v>
      </c>
    </row>
    <row r="64" spans="1:8" ht="45" customHeight="1">
      <c r="A64" s="105"/>
      <c r="B64" s="104"/>
      <c r="C64" s="1" t="s">
        <v>138</v>
      </c>
      <c r="D64" s="21"/>
      <c r="E64" s="22"/>
      <c r="F64" s="21"/>
      <c r="G64" s="21">
        <f>458.388-292.555-0.455</f>
        <v>165.37799999999996</v>
      </c>
      <c r="H64" s="106"/>
    </row>
    <row r="65" spans="1:8" ht="63" customHeight="1">
      <c r="A65" s="23" t="s">
        <v>178</v>
      </c>
      <c r="B65" s="1" t="s">
        <v>177</v>
      </c>
      <c r="C65" s="1" t="s">
        <v>442</v>
      </c>
      <c r="D65" s="21">
        <v>300</v>
      </c>
      <c r="E65" s="22">
        <f>100-(F65/D65)*100</f>
        <v>0</v>
      </c>
      <c r="F65" s="21">
        <f>SUM(D65)</f>
        <v>300</v>
      </c>
      <c r="G65" s="21">
        <v>300</v>
      </c>
      <c r="H65" s="3" t="s">
        <v>180</v>
      </c>
    </row>
    <row r="66" spans="1:8" ht="80.25" customHeight="1">
      <c r="A66" s="28">
        <v>24</v>
      </c>
      <c r="B66" s="1" t="s">
        <v>107</v>
      </c>
      <c r="C66" s="1"/>
      <c r="D66" s="21">
        <f>SUM(D67)</f>
        <v>206.754</v>
      </c>
      <c r="E66" s="22"/>
      <c r="F66" s="21">
        <f>SUM(F67)</f>
        <v>136.52330999999998</v>
      </c>
      <c r="G66" s="21">
        <f>SUM(G67)</f>
        <v>136.523</v>
      </c>
      <c r="H66" s="3"/>
    </row>
    <row r="67" spans="1:8" ht="61.5" customHeight="1">
      <c r="A67" s="105" t="s">
        <v>178</v>
      </c>
      <c r="B67" s="104" t="s">
        <v>177</v>
      </c>
      <c r="C67" s="1" t="s">
        <v>196</v>
      </c>
      <c r="D67" s="21">
        <v>206.754</v>
      </c>
      <c r="E67" s="22">
        <f>100-(F67/D67)*100</f>
        <v>33.96823761571723</v>
      </c>
      <c r="F67" s="21">
        <f>194.934-58.41069</f>
        <v>136.52330999999998</v>
      </c>
      <c r="G67" s="21">
        <f>126.86+G68</f>
        <v>136.523</v>
      </c>
      <c r="H67" s="106" t="s">
        <v>180</v>
      </c>
    </row>
    <row r="68" spans="1:8" ht="26.25" customHeight="1">
      <c r="A68" s="105"/>
      <c r="B68" s="104"/>
      <c r="C68" s="1" t="s">
        <v>138</v>
      </c>
      <c r="D68" s="21"/>
      <c r="E68" s="22"/>
      <c r="F68" s="21"/>
      <c r="G68" s="21">
        <v>9.663</v>
      </c>
      <c r="H68" s="106"/>
    </row>
    <row r="69" spans="1:8" ht="95.25" customHeight="1">
      <c r="A69" s="28">
        <v>32</v>
      </c>
      <c r="B69" s="1" t="s">
        <v>197</v>
      </c>
      <c r="C69" s="1"/>
      <c r="D69" s="21">
        <f>SUM(D70)</f>
        <v>1071.2</v>
      </c>
      <c r="E69" s="22"/>
      <c r="F69" s="21">
        <f>SUM(F70)</f>
        <v>986.2</v>
      </c>
      <c r="G69" s="21">
        <f>SUM(G70)</f>
        <v>986.2</v>
      </c>
      <c r="H69" s="3"/>
    </row>
    <row r="70" spans="1:8" ht="64.5" customHeight="1">
      <c r="A70" s="105" t="s">
        <v>178</v>
      </c>
      <c r="B70" s="104" t="s">
        <v>177</v>
      </c>
      <c r="C70" s="1" t="s">
        <v>198</v>
      </c>
      <c r="D70" s="21">
        <v>1071.2</v>
      </c>
      <c r="E70" s="22">
        <f>100-(F70/D70)*100</f>
        <v>7.935026138909635</v>
      </c>
      <c r="F70" s="21">
        <f>SUM(D70-85)</f>
        <v>986.2</v>
      </c>
      <c r="G70" s="21">
        <f>666.109+G71</f>
        <v>986.2</v>
      </c>
      <c r="H70" s="106" t="s">
        <v>180</v>
      </c>
    </row>
    <row r="71" spans="1:8" ht="49.5" customHeight="1">
      <c r="A71" s="105"/>
      <c r="B71" s="104"/>
      <c r="C71" s="1" t="s">
        <v>138</v>
      </c>
      <c r="D71" s="21"/>
      <c r="E71" s="22"/>
      <c r="F71" s="21"/>
      <c r="G71" s="21">
        <v>320.091</v>
      </c>
      <c r="H71" s="106"/>
    </row>
    <row r="72" spans="1:8" ht="96" customHeight="1">
      <c r="A72" s="28">
        <v>40</v>
      </c>
      <c r="B72" s="1" t="s">
        <v>199</v>
      </c>
      <c r="C72" s="1"/>
      <c r="D72" s="21">
        <f>SUM(D73:D366)-D88-D172-D360</f>
        <v>197796.43798999998</v>
      </c>
      <c r="E72" s="22"/>
      <c r="F72" s="21">
        <f>SUM(F73:F366)-F88-F172-F360</f>
        <v>161814.52937</v>
      </c>
      <c r="G72" s="21">
        <f>SUM(G356+G357+G225+G233+G239+G241+G234+G246+G235+G252+G237+G244+G256+G258+G261+G254+G73+G75+G77+G213+G83+G84+G80+G211+G297+G220+G86+G300+G329+G88+G172+G326+G215+G85+G217+G304+G306+G308+G311+G222+G313+G309+G314+G317+G303+G277+G219+G322+G278+G293+G282+G320+G265+G324+G358+G302+G267+G269+G328+G273+G316+G318+G275+G276+G280+G284+G290+G291+G286+G288+G295+G299+G319+G281+G360+G366+G227+G228+G229+G230+G231+G232+G240+G243+G248+G249+G250+G251+G260+G263+G271+G312+G81+G82+G330+G331+G332+G333+G334+G335+G336+G337+G338+G339+G340+G341+G342+G343+G344+G345+G346+G347+G348+G349+G350+G351+G352+G353+G264+G354+G224+G216+G355+G79)</f>
        <v>48116.57398999998</v>
      </c>
      <c r="H72" s="3"/>
    </row>
    <row r="73" spans="1:8" ht="41.25" customHeight="1">
      <c r="A73" s="105" t="s">
        <v>178</v>
      </c>
      <c r="B73" s="104" t="s">
        <v>177</v>
      </c>
      <c r="C73" s="1" t="s">
        <v>200</v>
      </c>
      <c r="D73" s="21">
        <v>706.344</v>
      </c>
      <c r="E73" s="22">
        <f>100-(F73/D73)*100</f>
        <v>28.570413283046207</v>
      </c>
      <c r="F73" s="21">
        <f>SUM(D73-201.8054)</f>
        <v>504.5386000000001</v>
      </c>
      <c r="G73" s="21">
        <f>38.016+G74+10.714</f>
        <v>193.638</v>
      </c>
      <c r="H73" s="106" t="s">
        <v>180</v>
      </c>
    </row>
    <row r="74" spans="1:8" s="57" customFormat="1" ht="40.5" customHeight="1">
      <c r="A74" s="105"/>
      <c r="B74" s="104"/>
      <c r="C74" s="1" t="s">
        <v>138</v>
      </c>
      <c r="D74" s="21"/>
      <c r="E74" s="22"/>
      <c r="F74" s="21"/>
      <c r="G74" s="21">
        <f>155.622-10.714</f>
        <v>144.90800000000002</v>
      </c>
      <c r="H74" s="106"/>
    </row>
    <row r="75" spans="1:8" ht="78" customHeight="1">
      <c r="A75" s="105" t="s">
        <v>178</v>
      </c>
      <c r="B75" s="104" t="s">
        <v>177</v>
      </c>
      <c r="C75" s="1" t="s">
        <v>201</v>
      </c>
      <c r="D75" s="21">
        <v>1512</v>
      </c>
      <c r="E75" s="22">
        <f>100-(F75/D75)*100</f>
        <v>45.888626322751314</v>
      </c>
      <c r="F75" s="21">
        <f>D75-509.5064-84.38064-99.94899</f>
        <v>818.1639700000001</v>
      </c>
      <c r="G75" s="21">
        <f>275.053+G76+536.536</f>
        <v>818.164</v>
      </c>
      <c r="H75" s="106" t="s">
        <v>180</v>
      </c>
    </row>
    <row r="76" spans="1:8" s="57" customFormat="1" ht="44.25" customHeight="1">
      <c r="A76" s="105"/>
      <c r="B76" s="104"/>
      <c r="C76" s="1" t="s">
        <v>138</v>
      </c>
      <c r="D76" s="21"/>
      <c r="E76" s="22"/>
      <c r="F76" s="21"/>
      <c r="G76" s="21">
        <v>6.575</v>
      </c>
      <c r="H76" s="106"/>
    </row>
    <row r="77" spans="1:8" ht="44.25" customHeight="1">
      <c r="A77" s="105" t="s">
        <v>178</v>
      </c>
      <c r="B77" s="104" t="s">
        <v>177</v>
      </c>
      <c r="C77" s="1" t="s">
        <v>22</v>
      </c>
      <c r="D77" s="21">
        <v>1471.483</v>
      </c>
      <c r="E77" s="22">
        <f>100-(F77/D77)*100</f>
        <v>5.54817350930999</v>
      </c>
      <c r="F77" s="21">
        <f>D77-2.16203-79.4784</f>
        <v>1389.84257</v>
      </c>
      <c r="G77" s="21">
        <f>715.208+G78+671.483-1000</f>
        <v>389.84299999999985</v>
      </c>
      <c r="H77" s="106" t="s">
        <v>180</v>
      </c>
    </row>
    <row r="78" spans="1:8" s="57" customFormat="1" ht="34.5" customHeight="1">
      <c r="A78" s="105"/>
      <c r="B78" s="104"/>
      <c r="C78" s="1" t="s">
        <v>138</v>
      </c>
      <c r="D78" s="21"/>
      <c r="E78" s="22"/>
      <c r="F78" s="21"/>
      <c r="G78" s="21">
        <v>3.152</v>
      </c>
      <c r="H78" s="106"/>
    </row>
    <row r="79" spans="1:8" s="57" customFormat="1" ht="42.75" customHeight="1">
      <c r="A79" s="23" t="s">
        <v>178</v>
      </c>
      <c r="B79" s="1" t="s">
        <v>177</v>
      </c>
      <c r="C79" s="1" t="s">
        <v>66</v>
      </c>
      <c r="D79" s="21">
        <v>742.773</v>
      </c>
      <c r="E79" s="22">
        <f>100-(F79/D79)*100</f>
        <v>5.549784389039459</v>
      </c>
      <c r="F79" s="21">
        <v>701.5507</v>
      </c>
      <c r="G79" s="21">
        <v>41.335</v>
      </c>
      <c r="H79" s="3" t="s">
        <v>180</v>
      </c>
    </row>
    <row r="80" spans="1:8" s="57" customFormat="1" ht="43.5" customHeight="1">
      <c r="A80" s="23" t="s">
        <v>178</v>
      </c>
      <c r="B80" s="1" t="s">
        <v>177</v>
      </c>
      <c r="C80" s="1" t="s">
        <v>444</v>
      </c>
      <c r="D80" s="21">
        <v>100</v>
      </c>
      <c r="E80" s="22">
        <f aca="true" t="shared" si="0" ref="E80:E86">100-(F80/D80)*100</f>
        <v>0</v>
      </c>
      <c r="F80" s="21">
        <f>SUM(D80)</f>
        <v>100</v>
      </c>
      <c r="G80" s="21">
        <v>100</v>
      </c>
      <c r="H80" s="3" t="s">
        <v>180</v>
      </c>
    </row>
    <row r="81" spans="1:8" s="57" customFormat="1" ht="43.5" customHeight="1">
      <c r="A81" s="23" t="s">
        <v>178</v>
      </c>
      <c r="B81" s="1" t="s">
        <v>177</v>
      </c>
      <c r="C81" s="1" t="s">
        <v>445</v>
      </c>
      <c r="D81" s="21">
        <v>50</v>
      </c>
      <c r="E81" s="22">
        <f t="shared" si="0"/>
        <v>0</v>
      </c>
      <c r="F81" s="21">
        <f>SUM(D81)</f>
        <v>50</v>
      </c>
      <c r="G81" s="21">
        <v>50</v>
      </c>
      <c r="H81" s="3" t="s">
        <v>180</v>
      </c>
    </row>
    <row r="82" spans="1:8" s="57" customFormat="1" ht="43.5" customHeight="1">
      <c r="A82" s="23" t="s">
        <v>178</v>
      </c>
      <c r="B82" s="1" t="s">
        <v>177</v>
      </c>
      <c r="C82" s="1" t="s">
        <v>446</v>
      </c>
      <c r="D82" s="21">
        <v>100</v>
      </c>
      <c r="E82" s="22">
        <f t="shared" si="0"/>
        <v>0</v>
      </c>
      <c r="F82" s="21">
        <f>SUM(D82)</f>
        <v>100</v>
      </c>
      <c r="G82" s="21">
        <v>100</v>
      </c>
      <c r="H82" s="3" t="s">
        <v>180</v>
      </c>
    </row>
    <row r="83" spans="1:8" ht="41.25" customHeight="1">
      <c r="A83" s="23" t="s">
        <v>178</v>
      </c>
      <c r="B83" s="1" t="s">
        <v>177</v>
      </c>
      <c r="C83" s="24" t="s">
        <v>23</v>
      </c>
      <c r="D83" s="21">
        <v>822.602</v>
      </c>
      <c r="E83" s="22">
        <f t="shared" si="0"/>
        <v>58.78815028409851</v>
      </c>
      <c r="F83" s="21">
        <f>SUM(D83-463.8061-18.7964-0.99)</f>
        <v>339.00949999999995</v>
      </c>
      <c r="G83" s="21">
        <f>339.01-310</f>
        <v>29.00999999999999</v>
      </c>
      <c r="H83" s="3" t="s">
        <v>180</v>
      </c>
    </row>
    <row r="84" spans="1:8" ht="56.25">
      <c r="A84" s="23" t="s">
        <v>178</v>
      </c>
      <c r="B84" s="1" t="s">
        <v>177</v>
      </c>
      <c r="C84" s="24" t="s">
        <v>203</v>
      </c>
      <c r="D84" s="21">
        <v>610.807</v>
      </c>
      <c r="E84" s="22">
        <f t="shared" si="0"/>
        <v>52.79486482636905</v>
      </c>
      <c r="F84" s="21">
        <f>467.855-178.12755-1.39518</f>
        <v>288.33227</v>
      </c>
      <c r="G84" s="21">
        <v>288.332</v>
      </c>
      <c r="H84" s="3" t="s">
        <v>70</v>
      </c>
    </row>
    <row r="85" spans="1:8" s="57" customFormat="1" ht="56.25">
      <c r="A85" s="23" t="s">
        <v>178</v>
      </c>
      <c r="B85" s="1" t="s">
        <v>177</v>
      </c>
      <c r="C85" s="1" t="s">
        <v>414</v>
      </c>
      <c r="D85" s="21">
        <v>11757.16</v>
      </c>
      <c r="E85" s="22">
        <f t="shared" si="0"/>
        <v>2.1553221186068754</v>
      </c>
      <c r="F85" s="21">
        <f>SUM(D85)-253.40467</f>
        <v>11503.75533</v>
      </c>
      <c r="G85" s="21">
        <v>33.016</v>
      </c>
      <c r="H85" s="3" t="s">
        <v>180</v>
      </c>
    </row>
    <row r="86" spans="1:8" ht="55.5" customHeight="1">
      <c r="A86" s="105" t="s">
        <v>178</v>
      </c>
      <c r="B86" s="104" t="s">
        <v>177</v>
      </c>
      <c r="C86" s="24" t="s">
        <v>204</v>
      </c>
      <c r="D86" s="21">
        <v>4604.675</v>
      </c>
      <c r="E86" s="22">
        <f t="shared" si="0"/>
        <v>22.93151807673722</v>
      </c>
      <c r="F86" s="21">
        <f>SUM(D86-1.41395-1054.50793)</f>
        <v>3548.7531200000003</v>
      </c>
      <c r="G86" s="21">
        <f>1885.637+G87+56.615</f>
        <v>3548.7529999999997</v>
      </c>
      <c r="H86" s="106" t="s">
        <v>180</v>
      </c>
    </row>
    <row r="87" spans="1:8" s="57" customFormat="1" ht="33.75" customHeight="1">
      <c r="A87" s="105"/>
      <c r="B87" s="104"/>
      <c r="C87" s="1" t="s">
        <v>138</v>
      </c>
      <c r="D87" s="21"/>
      <c r="E87" s="22"/>
      <c r="F87" s="21"/>
      <c r="G87" s="21">
        <v>1606.501</v>
      </c>
      <c r="H87" s="106"/>
    </row>
    <row r="88" spans="1:8" ht="37.5" customHeight="1">
      <c r="A88" s="105" t="s">
        <v>178</v>
      </c>
      <c r="B88" s="104" t="s">
        <v>177</v>
      </c>
      <c r="C88" s="1" t="s">
        <v>210</v>
      </c>
      <c r="D88" s="21">
        <f>SUM(D91:D171)</f>
        <v>4641.9299999999985</v>
      </c>
      <c r="E88" s="22">
        <f>100-(F88/D88)*100</f>
        <v>51.30702509516515</v>
      </c>
      <c r="F88" s="21">
        <f>SUM(F91:F171)</f>
        <v>2260.2938099999997</v>
      </c>
      <c r="G88" s="21">
        <f>SUM(G94-G95+G98+G99+G101-G102+G112+G117+G120+G123-G124+G133-G134+G136+G144+G148-G149+G151-G152+G158-G159+G161+G171+G89)</f>
        <v>1991.7809999999997</v>
      </c>
      <c r="H88" s="106" t="s">
        <v>180</v>
      </c>
    </row>
    <row r="89" spans="1:8" s="57" customFormat="1" ht="37.5">
      <c r="A89" s="105"/>
      <c r="B89" s="104"/>
      <c r="C89" s="1" t="s">
        <v>138</v>
      </c>
      <c r="D89" s="21"/>
      <c r="E89" s="22"/>
      <c r="F89" s="21"/>
      <c r="G89" s="21">
        <f>SUM(G91+G92+G93+G95+G96+G97+G100+G102+G103+G104+G105+G106+G107+G108+G109+G110+G111+G113+G114+G115+G116+G118+G119+G121+G122+G124+G125+G126+G127+G128+G129+G130+G131+G132+G134+G135+G137+G138+G139+G140+G141+G142+G143+G145+G146+G147+G149+G150+G152+G153+G154+G155+G156+G157+G159+G160+G162+G163+G164+G165+G166+G167+G168+G169+G170)</f>
        <v>1025.616</v>
      </c>
      <c r="H89" s="106"/>
    </row>
    <row r="90" spans="1:8" s="81" customFormat="1" ht="18.75">
      <c r="A90" s="105"/>
      <c r="B90" s="104"/>
      <c r="C90" s="1" t="s">
        <v>268</v>
      </c>
      <c r="D90" s="30"/>
      <c r="E90" s="31"/>
      <c r="F90" s="30"/>
      <c r="G90" s="30"/>
      <c r="H90" s="106"/>
    </row>
    <row r="91" spans="1:8" s="81" customFormat="1" ht="36.75" customHeight="1">
      <c r="A91" s="28"/>
      <c r="B91" s="1"/>
      <c r="C91" s="1" t="s">
        <v>418</v>
      </c>
      <c r="D91" s="21">
        <v>60.196</v>
      </c>
      <c r="E91" s="22">
        <f aca="true" t="shared" si="1" ref="E91:E158">100-(F91/D91)*100</f>
        <v>0</v>
      </c>
      <c r="F91" s="21">
        <f>SUM(D91)</f>
        <v>60.196</v>
      </c>
      <c r="G91" s="21">
        <v>58.381</v>
      </c>
      <c r="H91" s="32"/>
    </row>
    <row r="92" spans="1:8" s="81" customFormat="1" ht="36.75" customHeight="1">
      <c r="A92" s="28"/>
      <c r="B92" s="1"/>
      <c r="C92" s="1" t="s">
        <v>288</v>
      </c>
      <c r="D92" s="21">
        <v>47.087</v>
      </c>
      <c r="E92" s="22">
        <f t="shared" si="1"/>
        <v>95.77078599188735</v>
      </c>
      <c r="F92" s="21">
        <f>SUM(D92-45.09559)</f>
        <v>1.991410000000002</v>
      </c>
      <c r="G92" s="21">
        <v>1.99</v>
      </c>
      <c r="H92" s="32"/>
    </row>
    <row r="93" spans="1:8" s="81" customFormat="1" ht="36.75" customHeight="1">
      <c r="A93" s="28"/>
      <c r="B93" s="1"/>
      <c r="C93" s="1" t="s">
        <v>289</v>
      </c>
      <c r="D93" s="21">
        <v>54.353</v>
      </c>
      <c r="E93" s="22">
        <f t="shared" si="1"/>
        <v>95.50849079167662</v>
      </c>
      <c r="F93" s="21">
        <f>SUM(D93-51.91173)</f>
        <v>2.441270000000003</v>
      </c>
      <c r="G93" s="21">
        <v>2.085</v>
      </c>
      <c r="H93" s="32"/>
    </row>
    <row r="94" spans="1:8" s="81" customFormat="1" ht="24.75" customHeight="1">
      <c r="A94" s="107"/>
      <c r="B94" s="104"/>
      <c r="C94" s="1" t="s">
        <v>269</v>
      </c>
      <c r="D94" s="21">
        <v>52.504</v>
      </c>
      <c r="E94" s="22">
        <f t="shared" si="1"/>
        <v>0</v>
      </c>
      <c r="F94" s="21">
        <f>SUM(D94)</f>
        <v>52.504</v>
      </c>
      <c r="G94" s="21">
        <f>43.383+G95</f>
        <v>52.504000000000005</v>
      </c>
      <c r="H94" s="108"/>
    </row>
    <row r="95" spans="1:8" s="81" customFormat="1" ht="24.75" customHeight="1">
      <c r="A95" s="107"/>
      <c r="B95" s="104"/>
      <c r="C95" s="1" t="s">
        <v>138</v>
      </c>
      <c r="D95" s="21"/>
      <c r="E95" s="22"/>
      <c r="F95" s="21"/>
      <c r="G95" s="21">
        <v>9.121</v>
      </c>
      <c r="H95" s="108"/>
    </row>
    <row r="96" spans="1:8" s="81" customFormat="1" ht="36.75" customHeight="1">
      <c r="A96" s="28"/>
      <c r="B96" s="1"/>
      <c r="C96" s="1" t="s">
        <v>290</v>
      </c>
      <c r="D96" s="21">
        <v>52.372</v>
      </c>
      <c r="E96" s="22">
        <f t="shared" si="1"/>
        <v>82.4659932788513</v>
      </c>
      <c r="F96" s="21">
        <f>SUM(D96-43.18909)</f>
        <v>9.18291</v>
      </c>
      <c r="G96" s="21">
        <v>9.132</v>
      </c>
      <c r="H96" s="32"/>
    </row>
    <row r="97" spans="1:8" s="81" customFormat="1" ht="37.5">
      <c r="A97" s="28"/>
      <c r="B97" s="1"/>
      <c r="C97" s="1" t="s">
        <v>291</v>
      </c>
      <c r="D97" s="21">
        <v>41.09</v>
      </c>
      <c r="E97" s="22">
        <f t="shared" si="1"/>
        <v>91.38914577756144</v>
      </c>
      <c r="F97" s="21">
        <f>SUM(D97-37.5518)</f>
        <v>3.5382000000000033</v>
      </c>
      <c r="G97" s="21">
        <v>1.912</v>
      </c>
      <c r="H97" s="32"/>
    </row>
    <row r="98" spans="1:8" s="81" customFormat="1" ht="18.75">
      <c r="A98" s="28"/>
      <c r="B98" s="1"/>
      <c r="C98" s="1" t="s">
        <v>270</v>
      </c>
      <c r="D98" s="21">
        <v>56.499</v>
      </c>
      <c r="E98" s="22">
        <f t="shared" si="1"/>
        <v>0</v>
      </c>
      <c r="F98" s="21">
        <v>56.499</v>
      </c>
      <c r="G98" s="21">
        <f>56.499+12.464</f>
        <v>68.96300000000001</v>
      </c>
      <c r="H98" s="32"/>
    </row>
    <row r="99" spans="1:8" s="81" customFormat="1" ht="18.75">
      <c r="A99" s="28"/>
      <c r="B99" s="1"/>
      <c r="C99" s="1" t="s">
        <v>271</v>
      </c>
      <c r="D99" s="21">
        <v>45.522</v>
      </c>
      <c r="E99" s="22">
        <f t="shared" si="1"/>
        <v>0</v>
      </c>
      <c r="F99" s="21">
        <f>SUM(D99)</f>
        <v>45.522</v>
      </c>
      <c r="G99" s="21">
        <f>45.522-25.522</f>
        <v>20</v>
      </c>
      <c r="H99" s="32"/>
    </row>
    <row r="100" spans="1:8" s="81" customFormat="1" ht="37.5">
      <c r="A100" s="28"/>
      <c r="B100" s="1"/>
      <c r="C100" s="1" t="s">
        <v>292</v>
      </c>
      <c r="D100" s="21">
        <v>65.071</v>
      </c>
      <c r="E100" s="22">
        <f t="shared" si="1"/>
        <v>80.5603110448587</v>
      </c>
      <c r="F100" s="21">
        <f>SUM(D100-52.4214)</f>
        <v>12.6496</v>
      </c>
      <c r="G100" s="21">
        <v>9.287</v>
      </c>
      <c r="H100" s="32"/>
    </row>
    <row r="101" spans="1:8" s="81" customFormat="1" ht="18.75">
      <c r="A101" s="107"/>
      <c r="B101" s="104"/>
      <c r="C101" s="1" t="s">
        <v>272</v>
      </c>
      <c r="D101" s="21">
        <v>71.304</v>
      </c>
      <c r="E101" s="22">
        <f t="shared" si="1"/>
        <v>0</v>
      </c>
      <c r="F101" s="21">
        <f>SUM(D101)</f>
        <v>71.304</v>
      </c>
      <c r="G101" s="21">
        <f>64.231+G102</f>
        <v>71.304</v>
      </c>
      <c r="H101" s="108"/>
    </row>
    <row r="102" spans="1:8" s="81" customFormat="1" ht="37.5">
      <c r="A102" s="107"/>
      <c r="B102" s="104"/>
      <c r="C102" s="1" t="s">
        <v>138</v>
      </c>
      <c r="D102" s="21"/>
      <c r="E102" s="22"/>
      <c r="F102" s="21"/>
      <c r="G102" s="21">
        <v>7.073</v>
      </c>
      <c r="H102" s="108"/>
    </row>
    <row r="103" spans="1:8" s="81" customFormat="1" ht="39.75" customHeight="1">
      <c r="A103" s="28"/>
      <c r="B103" s="1"/>
      <c r="C103" s="1" t="s">
        <v>293</v>
      </c>
      <c r="D103" s="21">
        <v>92.568</v>
      </c>
      <c r="E103" s="22">
        <f t="shared" si="1"/>
        <v>89.16931336963097</v>
      </c>
      <c r="F103" s="21">
        <f>SUM(D103-82.54225)</f>
        <v>10.025750000000002</v>
      </c>
      <c r="G103" s="21">
        <v>9.695</v>
      </c>
      <c r="H103" s="32"/>
    </row>
    <row r="104" spans="1:8" s="81" customFormat="1" ht="36.75" customHeight="1">
      <c r="A104" s="28"/>
      <c r="B104" s="1"/>
      <c r="C104" s="1" t="s">
        <v>294</v>
      </c>
      <c r="D104" s="21">
        <v>88.703</v>
      </c>
      <c r="E104" s="22">
        <f t="shared" si="1"/>
        <v>86.98877151843793</v>
      </c>
      <c r="F104" s="21">
        <f>SUM(D104-77.16165)</f>
        <v>11.541350000000008</v>
      </c>
      <c r="G104" s="21">
        <v>2.569</v>
      </c>
      <c r="H104" s="32"/>
    </row>
    <row r="105" spans="1:8" s="81" customFormat="1" ht="39.75" customHeight="1">
      <c r="A105" s="28"/>
      <c r="B105" s="1"/>
      <c r="C105" s="1" t="s">
        <v>295</v>
      </c>
      <c r="D105" s="21">
        <v>61.612</v>
      </c>
      <c r="E105" s="22">
        <f t="shared" si="1"/>
        <v>77.98508407453093</v>
      </c>
      <c r="F105" s="21">
        <f>SUM(D105-48.04817)</f>
        <v>13.563830000000003</v>
      </c>
      <c r="G105" s="21">
        <v>9.252</v>
      </c>
      <c r="H105" s="32"/>
    </row>
    <row r="106" spans="1:8" s="81" customFormat="1" ht="39" customHeight="1">
      <c r="A106" s="28"/>
      <c r="B106" s="1"/>
      <c r="C106" s="1" t="s">
        <v>296</v>
      </c>
      <c r="D106" s="21">
        <v>50.195</v>
      </c>
      <c r="E106" s="22">
        <f t="shared" si="1"/>
        <v>91.98326526546468</v>
      </c>
      <c r="F106" s="21">
        <f>SUM(D106-46.171)</f>
        <v>4.024000000000001</v>
      </c>
      <c r="G106" s="21">
        <v>2.031</v>
      </c>
      <c r="H106" s="32"/>
    </row>
    <row r="107" spans="1:8" s="81" customFormat="1" ht="37.5" customHeight="1">
      <c r="A107" s="28"/>
      <c r="B107" s="1"/>
      <c r="C107" s="1" t="s">
        <v>297</v>
      </c>
      <c r="D107" s="21">
        <v>56.441</v>
      </c>
      <c r="E107" s="22">
        <f t="shared" si="1"/>
        <v>80.30263460959232</v>
      </c>
      <c r="F107" s="21">
        <f>SUM(D107-45.32361)</f>
        <v>11.11739</v>
      </c>
      <c r="G107" s="21">
        <v>9.173</v>
      </c>
      <c r="H107" s="32"/>
    </row>
    <row r="108" spans="1:8" s="81" customFormat="1" ht="37.5" customHeight="1">
      <c r="A108" s="28"/>
      <c r="B108" s="1"/>
      <c r="C108" s="1" t="s">
        <v>298</v>
      </c>
      <c r="D108" s="21">
        <v>64.969</v>
      </c>
      <c r="E108" s="22">
        <f t="shared" si="1"/>
        <v>1.9398020594437355</v>
      </c>
      <c r="F108" s="21">
        <f>SUM(D108-1.26027)</f>
        <v>63.708729999999996</v>
      </c>
      <c r="G108" s="21">
        <v>60.541</v>
      </c>
      <c r="H108" s="32"/>
    </row>
    <row r="109" spans="1:8" s="81" customFormat="1" ht="37.5" customHeight="1">
      <c r="A109" s="28"/>
      <c r="B109" s="1"/>
      <c r="C109" s="1" t="s">
        <v>299</v>
      </c>
      <c r="D109" s="21">
        <v>79.571</v>
      </c>
      <c r="E109" s="22">
        <f t="shared" si="1"/>
        <v>93.98728179864524</v>
      </c>
      <c r="F109" s="21">
        <f>SUM(D109-74.78662)</f>
        <v>4.784379999999999</v>
      </c>
      <c r="G109" s="21">
        <v>2.414</v>
      </c>
      <c r="H109" s="32"/>
    </row>
    <row r="110" spans="1:8" s="81" customFormat="1" ht="37.5" customHeight="1">
      <c r="A110" s="28"/>
      <c r="B110" s="1"/>
      <c r="C110" s="1" t="s">
        <v>300</v>
      </c>
      <c r="D110" s="21">
        <v>39.365</v>
      </c>
      <c r="E110" s="22">
        <f t="shared" si="1"/>
        <v>94.9973072526356</v>
      </c>
      <c r="F110" s="21">
        <f>SUM(D110-37.39569)</f>
        <v>1.9693100000000001</v>
      </c>
      <c r="G110" s="21">
        <v>1.89</v>
      </c>
      <c r="H110" s="32"/>
    </row>
    <row r="111" spans="1:8" s="81" customFormat="1" ht="37.5" customHeight="1">
      <c r="A111" s="28"/>
      <c r="B111" s="1"/>
      <c r="C111" s="1" t="s">
        <v>301</v>
      </c>
      <c r="D111" s="21">
        <v>54.952</v>
      </c>
      <c r="E111" s="22">
        <f t="shared" si="1"/>
        <v>95.87239772892707</v>
      </c>
      <c r="F111" s="21">
        <f>SUM(D111-52.6838)</f>
        <v>2.2682</v>
      </c>
      <c r="G111" s="21">
        <v>2.093</v>
      </c>
      <c r="H111" s="32"/>
    </row>
    <row r="112" spans="1:8" s="81" customFormat="1" ht="18.75">
      <c r="A112" s="28"/>
      <c r="B112" s="1"/>
      <c r="C112" s="1" t="s">
        <v>273</v>
      </c>
      <c r="D112" s="21">
        <v>60.544</v>
      </c>
      <c r="E112" s="22">
        <f t="shared" si="1"/>
        <v>0</v>
      </c>
      <c r="F112" s="21">
        <f>SUM(D112)</f>
        <v>60.544</v>
      </c>
      <c r="G112" s="21">
        <f>60.544+13.975</f>
        <v>74.51899999999999</v>
      </c>
      <c r="H112" s="32"/>
    </row>
    <row r="113" spans="1:8" s="81" customFormat="1" ht="37.5" customHeight="1">
      <c r="A113" s="28"/>
      <c r="B113" s="1"/>
      <c r="C113" s="1" t="s">
        <v>302</v>
      </c>
      <c r="D113" s="21">
        <v>34.528</v>
      </c>
      <c r="E113" s="22">
        <f t="shared" si="1"/>
        <v>94.65645273401299</v>
      </c>
      <c r="F113" s="21">
        <f>SUM(D113-32.68298)</f>
        <v>1.845019999999998</v>
      </c>
      <c r="G113" s="21">
        <v>1.827</v>
      </c>
      <c r="H113" s="32"/>
    </row>
    <row r="114" spans="1:8" s="81" customFormat="1" ht="37.5" customHeight="1">
      <c r="A114" s="28"/>
      <c r="B114" s="1"/>
      <c r="C114" s="1" t="s">
        <v>303</v>
      </c>
      <c r="D114" s="21">
        <v>55.78</v>
      </c>
      <c r="E114" s="22">
        <f t="shared" si="1"/>
        <v>95.41945141627824</v>
      </c>
      <c r="F114" s="21">
        <f>SUM(D114-53.22497)</f>
        <v>2.555030000000002</v>
      </c>
      <c r="G114" s="21">
        <v>2.104</v>
      </c>
      <c r="H114" s="32"/>
    </row>
    <row r="115" spans="1:8" s="81" customFormat="1" ht="37.5" customHeight="1">
      <c r="A115" s="28"/>
      <c r="B115" s="1"/>
      <c r="C115" s="1" t="s">
        <v>304</v>
      </c>
      <c r="D115" s="21">
        <v>57.184</v>
      </c>
      <c r="E115" s="22">
        <f t="shared" si="1"/>
        <v>94.70267907106884</v>
      </c>
      <c r="F115" s="21">
        <f>SUM(D115-54.15478)</f>
        <v>3.029219999999995</v>
      </c>
      <c r="G115" s="21">
        <v>2.122</v>
      </c>
      <c r="H115" s="32"/>
    </row>
    <row r="116" spans="1:8" s="81" customFormat="1" ht="37.5" customHeight="1">
      <c r="A116" s="28"/>
      <c r="B116" s="1"/>
      <c r="C116" s="1" t="s">
        <v>305</v>
      </c>
      <c r="D116" s="21">
        <v>50.13</v>
      </c>
      <c r="E116" s="22">
        <f t="shared" si="1"/>
        <v>95.43552762816677</v>
      </c>
      <c r="F116" s="21">
        <f>SUM(D116-47.84183)</f>
        <v>2.288170000000001</v>
      </c>
      <c r="G116" s="21">
        <v>2.03</v>
      </c>
      <c r="H116" s="32"/>
    </row>
    <row r="117" spans="1:8" s="81" customFormat="1" ht="18.75">
      <c r="A117" s="28"/>
      <c r="B117" s="1"/>
      <c r="C117" s="1" t="s">
        <v>274</v>
      </c>
      <c r="D117" s="21">
        <v>61.218</v>
      </c>
      <c r="E117" s="22">
        <f t="shared" si="1"/>
        <v>0</v>
      </c>
      <c r="F117" s="21">
        <f>SUM(D117)</f>
        <v>61.218</v>
      </c>
      <c r="G117" s="21">
        <f>61.218+14.01</f>
        <v>75.22800000000001</v>
      </c>
      <c r="H117" s="32"/>
    </row>
    <row r="118" spans="1:8" s="81" customFormat="1" ht="37.5" customHeight="1">
      <c r="A118" s="28"/>
      <c r="B118" s="1"/>
      <c r="C118" s="1" t="s">
        <v>306</v>
      </c>
      <c r="D118" s="21">
        <v>57.668</v>
      </c>
      <c r="E118" s="22">
        <f t="shared" si="1"/>
        <v>1.9073836443088084</v>
      </c>
      <c r="F118" s="21">
        <f>SUM(D118-1.09995)</f>
        <v>56.56805</v>
      </c>
      <c r="G118" s="21">
        <v>53.812</v>
      </c>
      <c r="H118" s="32"/>
    </row>
    <row r="119" spans="1:8" s="81" customFormat="1" ht="37.5" customHeight="1">
      <c r="A119" s="28"/>
      <c r="B119" s="1"/>
      <c r="C119" s="1" t="s">
        <v>307</v>
      </c>
      <c r="D119" s="21">
        <v>57.486</v>
      </c>
      <c r="E119" s="22">
        <f t="shared" si="1"/>
        <v>1.880597014925371</v>
      </c>
      <c r="F119" s="21">
        <f>SUM(D119-1.08108)</f>
        <v>56.40492</v>
      </c>
      <c r="G119" s="21">
        <v>53.035</v>
      </c>
      <c r="H119" s="32"/>
    </row>
    <row r="120" spans="1:8" s="81" customFormat="1" ht="18.75">
      <c r="A120" s="28"/>
      <c r="B120" s="1"/>
      <c r="C120" s="1" t="s">
        <v>275</v>
      </c>
      <c r="D120" s="21">
        <v>79.499</v>
      </c>
      <c r="E120" s="22">
        <f t="shared" si="1"/>
        <v>0</v>
      </c>
      <c r="F120" s="21">
        <f>SUM(D120)</f>
        <v>79.499</v>
      </c>
      <c r="G120" s="21">
        <f>79.499+20.759</f>
        <v>100.258</v>
      </c>
      <c r="H120" s="32"/>
    </row>
    <row r="121" spans="1:8" s="81" customFormat="1" ht="37.5" customHeight="1">
      <c r="A121" s="28"/>
      <c r="B121" s="1"/>
      <c r="C121" s="1" t="s">
        <v>308</v>
      </c>
      <c r="D121" s="21">
        <v>58.691</v>
      </c>
      <c r="E121" s="22">
        <f t="shared" si="1"/>
        <v>81.98239934572592</v>
      </c>
      <c r="F121" s="21">
        <f>SUM(D121-48.11629)</f>
        <v>10.574710000000003</v>
      </c>
      <c r="G121" s="21">
        <v>9.214</v>
      </c>
      <c r="H121" s="32"/>
    </row>
    <row r="122" spans="1:8" s="81" customFormat="1" ht="37.5" customHeight="1">
      <c r="A122" s="28"/>
      <c r="B122" s="1"/>
      <c r="C122" s="1" t="s">
        <v>309</v>
      </c>
      <c r="D122" s="21">
        <v>57.397</v>
      </c>
      <c r="E122" s="22">
        <f t="shared" si="1"/>
        <v>81.27107688555151</v>
      </c>
      <c r="F122" s="21">
        <f>SUM(D122-46.64716)</f>
        <v>10.749839999999999</v>
      </c>
      <c r="G122" s="21">
        <v>7.073</v>
      </c>
      <c r="H122" s="32"/>
    </row>
    <row r="123" spans="1:8" s="81" customFormat="1" ht="18.75">
      <c r="A123" s="107"/>
      <c r="B123" s="104"/>
      <c r="C123" s="1" t="s">
        <v>276</v>
      </c>
      <c r="D123" s="21">
        <v>45.508</v>
      </c>
      <c r="E123" s="22">
        <f t="shared" si="1"/>
        <v>0</v>
      </c>
      <c r="F123" s="21">
        <f>SUM(D123)</f>
        <v>45.508</v>
      </c>
      <c r="G123" s="21">
        <f>36.466+G124</f>
        <v>45.508</v>
      </c>
      <c r="H123" s="108"/>
    </row>
    <row r="124" spans="1:8" s="81" customFormat="1" ht="37.5">
      <c r="A124" s="107"/>
      <c r="B124" s="104"/>
      <c r="C124" s="1" t="s">
        <v>138</v>
      </c>
      <c r="D124" s="21"/>
      <c r="E124" s="22"/>
      <c r="F124" s="21"/>
      <c r="G124" s="21">
        <v>9.042</v>
      </c>
      <c r="H124" s="108"/>
    </row>
    <row r="125" spans="1:8" s="81" customFormat="1" ht="37.5" customHeight="1">
      <c r="A125" s="28"/>
      <c r="B125" s="1"/>
      <c r="C125" s="1" t="s">
        <v>310</v>
      </c>
      <c r="D125" s="21">
        <v>84.08</v>
      </c>
      <c r="E125" s="22">
        <f t="shared" si="1"/>
        <v>87.04231684110371</v>
      </c>
      <c r="F125" s="21">
        <f>SUM(D125-73.18518)</f>
        <v>10.894819999999996</v>
      </c>
      <c r="G125" s="21">
        <v>9.545</v>
      </c>
      <c r="H125" s="32"/>
    </row>
    <row r="126" spans="1:8" s="81" customFormat="1" ht="37.5" customHeight="1">
      <c r="A126" s="28"/>
      <c r="B126" s="1"/>
      <c r="C126" s="1" t="s">
        <v>311</v>
      </c>
      <c r="D126" s="21">
        <v>64.172</v>
      </c>
      <c r="E126" s="22">
        <f t="shared" si="1"/>
        <v>83.3252353051175</v>
      </c>
      <c r="F126" s="21">
        <f>SUM(D126-53.47147)</f>
        <v>10.70053</v>
      </c>
      <c r="G126" s="21">
        <v>9.285</v>
      </c>
      <c r="H126" s="32"/>
    </row>
    <row r="127" spans="1:8" s="81" customFormat="1" ht="39.75" customHeight="1">
      <c r="A127" s="28"/>
      <c r="B127" s="1"/>
      <c r="C127" s="1" t="s">
        <v>312</v>
      </c>
      <c r="D127" s="21">
        <v>58.55</v>
      </c>
      <c r="E127" s="22">
        <f t="shared" si="1"/>
        <v>78.21029888983776</v>
      </c>
      <c r="F127" s="21">
        <f>SUM(D127-45.79213)</f>
        <v>12.757869999999997</v>
      </c>
      <c r="G127" s="21">
        <v>9.212</v>
      </c>
      <c r="H127" s="32"/>
    </row>
    <row r="128" spans="1:8" s="81" customFormat="1" ht="37.5" customHeight="1">
      <c r="A128" s="28"/>
      <c r="B128" s="1"/>
      <c r="C128" s="1" t="s">
        <v>313</v>
      </c>
      <c r="D128" s="21">
        <v>46.313</v>
      </c>
      <c r="E128" s="22">
        <f t="shared" si="1"/>
        <v>1.8820849437523037</v>
      </c>
      <c r="F128" s="21">
        <f>SUM(D128-0.87165)</f>
        <v>45.44135</v>
      </c>
      <c r="G128" s="21">
        <v>44.617</v>
      </c>
      <c r="H128" s="32"/>
    </row>
    <row r="129" spans="1:8" s="81" customFormat="1" ht="37.5" customHeight="1">
      <c r="A129" s="28"/>
      <c r="B129" s="1"/>
      <c r="C129" s="1" t="s">
        <v>314</v>
      </c>
      <c r="D129" s="21">
        <v>38.092</v>
      </c>
      <c r="E129" s="22">
        <f t="shared" si="1"/>
        <v>73.39690748713642</v>
      </c>
      <c r="F129" s="21">
        <f>SUM(D129-27.95835)</f>
        <v>10.13365</v>
      </c>
      <c r="G129" s="21">
        <v>8.946</v>
      </c>
      <c r="H129" s="32"/>
    </row>
    <row r="130" spans="1:8" s="81" customFormat="1" ht="39.75" customHeight="1">
      <c r="A130" s="28"/>
      <c r="B130" s="1"/>
      <c r="C130" s="1" t="s">
        <v>315</v>
      </c>
      <c r="D130" s="21">
        <v>80.096</v>
      </c>
      <c r="E130" s="22">
        <f t="shared" si="1"/>
        <v>86.15483919296844</v>
      </c>
      <c r="F130" s="21">
        <f>SUM(D130-69.00658)</f>
        <v>11.089420000000004</v>
      </c>
      <c r="G130" s="21">
        <v>9.493</v>
      </c>
      <c r="H130" s="32"/>
    </row>
    <row r="131" spans="1:8" s="81" customFormat="1" ht="38.25" customHeight="1">
      <c r="A131" s="28"/>
      <c r="B131" s="1"/>
      <c r="C131" s="1" t="s">
        <v>317</v>
      </c>
      <c r="D131" s="21">
        <v>84.977</v>
      </c>
      <c r="E131" s="22">
        <f t="shared" si="1"/>
        <v>85.46327829883379</v>
      </c>
      <c r="F131" s="21">
        <f>SUM(D131-72.62413)</f>
        <v>12.35287000000001</v>
      </c>
      <c r="G131" s="21">
        <v>9.557</v>
      </c>
      <c r="H131" s="32"/>
    </row>
    <row r="132" spans="1:8" s="81" customFormat="1" ht="37.5" customHeight="1">
      <c r="A132" s="28"/>
      <c r="B132" s="1"/>
      <c r="C132" s="1" t="s">
        <v>316</v>
      </c>
      <c r="D132" s="21">
        <v>56.282</v>
      </c>
      <c r="E132" s="22">
        <f t="shared" si="1"/>
        <v>82.70916101062508</v>
      </c>
      <c r="F132" s="21">
        <f>SUM(D132-46.55037)</f>
        <v>9.731629999999996</v>
      </c>
      <c r="G132" s="21">
        <v>9.183</v>
      </c>
      <c r="H132" s="32"/>
    </row>
    <row r="133" spans="1:8" s="81" customFormat="1" ht="23.25" customHeight="1">
      <c r="A133" s="107"/>
      <c r="B133" s="104"/>
      <c r="C133" s="1" t="s">
        <v>277</v>
      </c>
      <c r="D133" s="21">
        <v>87.445</v>
      </c>
      <c r="E133" s="22">
        <f t="shared" si="1"/>
        <v>0</v>
      </c>
      <c r="F133" s="21">
        <f>SUM(D133)</f>
        <v>87.445</v>
      </c>
      <c r="G133" s="21">
        <f>77.862+G134</f>
        <v>87.445</v>
      </c>
      <c r="H133" s="108"/>
    </row>
    <row r="134" spans="1:8" s="81" customFormat="1" ht="37.5">
      <c r="A134" s="107"/>
      <c r="B134" s="104"/>
      <c r="C134" s="1" t="s">
        <v>138</v>
      </c>
      <c r="D134" s="21"/>
      <c r="E134" s="22"/>
      <c r="F134" s="21"/>
      <c r="G134" s="21">
        <v>9.583</v>
      </c>
      <c r="H134" s="108"/>
    </row>
    <row r="135" spans="1:8" s="81" customFormat="1" ht="37.5" customHeight="1">
      <c r="A135" s="28"/>
      <c r="B135" s="1"/>
      <c r="C135" s="1" t="s">
        <v>55</v>
      </c>
      <c r="D135" s="21">
        <v>60.834</v>
      </c>
      <c r="E135" s="22">
        <f t="shared" si="1"/>
        <v>82.83856067330768</v>
      </c>
      <c r="F135" s="21">
        <f>SUM(D135-50.39401)</f>
        <v>10.439990000000002</v>
      </c>
      <c r="G135" s="21">
        <v>9.242</v>
      </c>
      <c r="H135" s="32"/>
    </row>
    <row r="136" spans="1:8" s="81" customFormat="1" ht="18.75">
      <c r="A136" s="28"/>
      <c r="B136" s="1"/>
      <c r="C136" s="1" t="s">
        <v>54</v>
      </c>
      <c r="D136" s="21">
        <v>49.702</v>
      </c>
      <c r="E136" s="22">
        <f t="shared" si="1"/>
        <v>0</v>
      </c>
      <c r="F136" s="21">
        <f>SUM(D136)</f>
        <v>49.702</v>
      </c>
      <c r="G136" s="21">
        <f>34.702+6.838</f>
        <v>41.54</v>
      </c>
      <c r="H136" s="32"/>
    </row>
    <row r="137" spans="1:8" s="81" customFormat="1" ht="37.5" customHeight="1">
      <c r="A137" s="28"/>
      <c r="B137" s="1"/>
      <c r="C137" s="1" t="s">
        <v>318</v>
      </c>
      <c r="D137" s="21">
        <v>45.737</v>
      </c>
      <c r="E137" s="22">
        <f t="shared" si="1"/>
        <v>0</v>
      </c>
      <c r="F137" s="21">
        <f>SUM(D137)</f>
        <v>45.737</v>
      </c>
      <c r="G137" s="21">
        <v>44.329</v>
      </c>
      <c r="H137" s="32"/>
    </row>
    <row r="138" spans="1:8" s="81" customFormat="1" ht="37.5" customHeight="1">
      <c r="A138" s="28"/>
      <c r="B138" s="1"/>
      <c r="C138" s="1" t="s">
        <v>319</v>
      </c>
      <c r="D138" s="21">
        <v>60.713</v>
      </c>
      <c r="E138" s="22">
        <f t="shared" si="1"/>
        <v>0</v>
      </c>
      <c r="F138" s="21">
        <f>SUM(D138)</f>
        <v>60.713</v>
      </c>
      <c r="G138" s="21">
        <v>57.34</v>
      </c>
      <c r="H138" s="32"/>
    </row>
    <row r="139" spans="1:8" s="81" customFormat="1" ht="37.5" customHeight="1">
      <c r="A139" s="28"/>
      <c r="B139" s="1"/>
      <c r="C139" s="1" t="s">
        <v>320</v>
      </c>
      <c r="D139" s="21">
        <v>44.924</v>
      </c>
      <c r="E139" s="22">
        <f t="shared" si="1"/>
        <v>72.44628706259459</v>
      </c>
      <c r="F139" s="21">
        <f>SUM(D139-32.54577)</f>
        <v>12.378230000000002</v>
      </c>
      <c r="G139" s="21">
        <v>11.687</v>
      </c>
      <c r="H139" s="32"/>
    </row>
    <row r="140" spans="1:8" s="81" customFormat="1" ht="37.5" customHeight="1">
      <c r="A140" s="28"/>
      <c r="B140" s="1"/>
      <c r="C140" s="1" t="s">
        <v>321</v>
      </c>
      <c r="D140" s="21">
        <v>71.2</v>
      </c>
      <c r="E140" s="22">
        <f t="shared" si="1"/>
        <v>1.9898595505618033</v>
      </c>
      <c r="F140" s="21">
        <f>SUM(D140-1.41678)</f>
        <v>69.78322</v>
      </c>
      <c r="G140" s="21">
        <v>66.858</v>
      </c>
      <c r="H140" s="32"/>
    </row>
    <row r="141" spans="1:8" s="81" customFormat="1" ht="37.5" customHeight="1">
      <c r="A141" s="28"/>
      <c r="B141" s="1"/>
      <c r="C141" s="1" t="s">
        <v>322</v>
      </c>
      <c r="D141" s="21">
        <v>88.259</v>
      </c>
      <c r="E141" s="22">
        <f t="shared" si="1"/>
        <v>82.77464054657315</v>
      </c>
      <c r="F141" s="21">
        <f>SUM(D141-73.05607)</f>
        <v>15.202929999999995</v>
      </c>
      <c r="G141" s="21">
        <v>9.593</v>
      </c>
      <c r="H141" s="32"/>
    </row>
    <row r="142" spans="1:8" s="81" customFormat="1" ht="40.5" customHeight="1">
      <c r="A142" s="28"/>
      <c r="B142" s="1"/>
      <c r="C142" s="1" t="s">
        <v>323</v>
      </c>
      <c r="D142" s="21">
        <v>88.746</v>
      </c>
      <c r="E142" s="22">
        <f t="shared" si="1"/>
        <v>84.224291799067</v>
      </c>
      <c r="F142" s="21">
        <f>SUM(D142-74.74569)</f>
        <v>14.000309999999999</v>
      </c>
      <c r="G142" s="21">
        <v>9.6</v>
      </c>
      <c r="H142" s="32"/>
    </row>
    <row r="143" spans="1:8" s="81" customFormat="1" ht="37.5" customHeight="1">
      <c r="A143" s="28"/>
      <c r="B143" s="1"/>
      <c r="C143" s="1" t="s">
        <v>324</v>
      </c>
      <c r="D143" s="21">
        <v>89.966</v>
      </c>
      <c r="E143" s="22">
        <f t="shared" si="1"/>
        <v>0</v>
      </c>
      <c r="F143" s="21">
        <f>SUM(D143)</f>
        <v>89.966</v>
      </c>
      <c r="G143" s="21">
        <v>9.622</v>
      </c>
      <c r="H143" s="32"/>
    </row>
    <row r="144" spans="1:8" s="81" customFormat="1" ht="23.25" customHeight="1">
      <c r="A144" s="28"/>
      <c r="B144" s="1"/>
      <c r="C144" s="1" t="s">
        <v>278</v>
      </c>
      <c r="D144" s="21">
        <v>80.346</v>
      </c>
      <c r="E144" s="22">
        <f t="shared" si="1"/>
        <v>0</v>
      </c>
      <c r="F144" s="21">
        <f>SUM(D144)</f>
        <v>80.346</v>
      </c>
      <c r="G144" s="21">
        <f>80.346-40</f>
        <v>40.346000000000004</v>
      </c>
      <c r="H144" s="32"/>
    </row>
    <row r="145" spans="1:8" s="81" customFormat="1" ht="37.5" customHeight="1">
      <c r="A145" s="28"/>
      <c r="B145" s="1"/>
      <c r="C145" s="1" t="s">
        <v>325</v>
      </c>
      <c r="D145" s="21">
        <v>71.436</v>
      </c>
      <c r="E145" s="22">
        <f t="shared" si="1"/>
        <v>81.32823786326222</v>
      </c>
      <c r="F145" s="21">
        <f>SUM(D145-58.09764)</f>
        <v>13.338360000000009</v>
      </c>
      <c r="G145" s="21">
        <v>10.799</v>
      </c>
      <c r="H145" s="32"/>
    </row>
    <row r="146" spans="1:8" s="81" customFormat="1" ht="37.5" customHeight="1">
      <c r="A146" s="28"/>
      <c r="B146" s="1"/>
      <c r="C146" s="1" t="s">
        <v>326</v>
      </c>
      <c r="D146" s="21">
        <v>39.254</v>
      </c>
      <c r="E146" s="22">
        <f t="shared" si="1"/>
        <v>75.32164874917206</v>
      </c>
      <c r="F146" s="21">
        <f>SUM(D146-29.56676)</f>
        <v>9.68724</v>
      </c>
      <c r="G146" s="21">
        <v>8.961</v>
      </c>
      <c r="H146" s="32"/>
    </row>
    <row r="147" spans="1:8" s="81" customFormat="1" ht="37.5" customHeight="1">
      <c r="A147" s="28"/>
      <c r="B147" s="1"/>
      <c r="C147" s="1" t="s">
        <v>327</v>
      </c>
      <c r="D147" s="21">
        <v>45.906</v>
      </c>
      <c r="E147" s="22">
        <f t="shared" si="1"/>
        <v>64.032021957914</v>
      </c>
      <c r="F147" s="21">
        <f>SUM(D147-29.39454)</f>
        <v>16.51146</v>
      </c>
      <c r="G147" s="21">
        <v>14.203</v>
      </c>
      <c r="H147" s="32"/>
    </row>
    <row r="148" spans="1:8" s="81" customFormat="1" ht="22.5" customHeight="1">
      <c r="A148" s="107"/>
      <c r="B148" s="104"/>
      <c r="C148" s="1" t="s">
        <v>279</v>
      </c>
      <c r="D148" s="21">
        <v>76.47</v>
      </c>
      <c r="E148" s="22">
        <f t="shared" si="1"/>
        <v>25.667451288086824</v>
      </c>
      <c r="F148" s="21">
        <f>SUM(D148-19.6279)</f>
        <v>56.8421</v>
      </c>
      <c r="G148" s="21">
        <v>56.842</v>
      </c>
      <c r="H148" s="108"/>
    </row>
    <row r="149" spans="1:8" s="81" customFormat="1" ht="23.25" customHeight="1">
      <c r="A149" s="107"/>
      <c r="B149" s="104"/>
      <c r="C149" s="1" t="s">
        <v>138</v>
      </c>
      <c r="D149" s="21"/>
      <c r="E149" s="22"/>
      <c r="F149" s="21"/>
      <c r="G149" s="21">
        <v>9.446</v>
      </c>
      <c r="H149" s="108"/>
    </row>
    <row r="150" spans="1:8" s="81" customFormat="1" ht="21" customHeight="1">
      <c r="A150" s="28"/>
      <c r="B150" s="1"/>
      <c r="C150" s="1" t="s">
        <v>328</v>
      </c>
      <c r="D150" s="21">
        <v>83.593</v>
      </c>
      <c r="E150" s="22">
        <f t="shared" si="1"/>
        <v>85.15307501824316</v>
      </c>
      <c r="F150" s="21">
        <f>SUM(D150-71.18201)</f>
        <v>12.410989999999998</v>
      </c>
      <c r="G150" s="21">
        <v>9.539</v>
      </c>
      <c r="H150" s="32"/>
    </row>
    <row r="151" spans="1:8" s="81" customFormat="1" ht="22.5" customHeight="1">
      <c r="A151" s="107"/>
      <c r="B151" s="104"/>
      <c r="C151" s="1" t="s">
        <v>280</v>
      </c>
      <c r="D151" s="21">
        <v>99.223</v>
      </c>
      <c r="E151" s="22">
        <f t="shared" si="1"/>
        <v>0</v>
      </c>
      <c r="F151" s="21">
        <f>SUM(D151)</f>
        <v>99.223</v>
      </c>
      <c r="G151" s="21">
        <f>89.481+G152</f>
        <v>99.223</v>
      </c>
      <c r="H151" s="108"/>
    </row>
    <row r="152" spans="1:8" s="81" customFormat="1" ht="37.5">
      <c r="A152" s="107"/>
      <c r="B152" s="104"/>
      <c r="C152" s="1" t="s">
        <v>138</v>
      </c>
      <c r="D152" s="21"/>
      <c r="E152" s="22"/>
      <c r="F152" s="21"/>
      <c r="G152" s="21">
        <v>9.742</v>
      </c>
      <c r="H152" s="108"/>
    </row>
    <row r="153" spans="1:8" s="81" customFormat="1" ht="37.5" customHeight="1">
      <c r="A153" s="28"/>
      <c r="B153" s="1"/>
      <c r="C153" s="1" t="s">
        <v>329</v>
      </c>
      <c r="D153" s="21">
        <v>78.787</v>
      </c>
      <c r="E153" s="22">
        <f t="shared" si="1"/>
        <v>84.08113013568229</v>
      </c>
      <c r="F153" s="21">
        <f>SUM(D153-66.245)</f>
        <v>12.542000000000002</v>
      </c>
      <c r="G153" s="21">
        <v>9.475</v>
      </c>
      <c r="H153" s="32"/>
    </row>
    <row r="154" spans="1:8" s="81" customFormat="1" ht="37.5" customHeight="1">
      <c r="A154" s="28"/>
      <c r="B154" s="1"/>
      <c r="C154" s="1" t="s">
        <v>330</v>
      </c>
      <c r="D154" s="21">
        <v>90.008</v>
      </c>
      <c r="E154" s="22">
        <f t="shared" si="1"/>
        <v>68.60492400675497</v>
      </c>
      <c r="F154" s="21">
        <f>SUM(D154-61.74992)</f>
        <v>28.258079999999993</v>
      </c>
      <c r="G154" s="21">
        <v>9.622</v>
      </c>
      <c r="H154" s="32"/>
    </row>
    <row r="155" spans="1:8" s="81" customFormat="1" ht="37.5" customHeight="1">
      <c r="A155" s="28"/>
      <c r="B155" s="1"/>
      <c r="C155" s="1" t="s">
        <v>331</v>
      </c>
      <c r="D155" s="21">
        <v>45.839</v>
      </c>
      <c r="E155" s="22">
        <f t="shared" si="1"/>
        <v>95.63264905429874</v>
      </c>
      <c r="F155" s="21">
        <f>SUM(D155-43.83705)</f>
        <v>2.001950000000001</v>
      </c>
      <c r="G155" s="21">
        <v>1.974</v>
      </c>
      <c r="H155" s="32"/>
    </row>
    <row r="156" spans="1:8" s="81" customFormat="1" ht="37.5" customHeight="1">
      <c r="A156" s="28"/>
      <c r="B156" s="1"/>
      <c r="C156" s="1" t="s">
        <v>332</v>
      </c>
      <c r="D156" s="21">
        <v>70.895</v>
      </c>
      <c r="E156" s="22">
        <f t="shared" si="1"/>
        <v>96.64502433175825</v>
      </c>
      <c r="F156" s="21">
        <f>SUM(D156-68.51649)</f>
        <v>2.3785099999999915</v>
      </c>
      <c r="G156" s="21">
        <v>2.301</v>
      </c>
      <c r="H156" s="32"/>
    </row>
    <row r="157" spans="1:8" s="81" customFormat="1" ht="37.5" customHeight="1">
      <c r="A157" s="28"/>
      <c r="B157" s="1"/>
      <c r="C157" s="1" t="s">
        <v>333</v>
      </c>
      <c r="D157" s="21">
        <v>61.058</v>
      </c>
      <c r="E157" s="22">
        <f t="shared" si="1"/>
        <v>0</v>
      </c>
      <c r="F157" s="21">
        <f>SUM(D157)</f>
        <v>61.058</v>
      </c>
      <c r="G157" s="21">
        <v>24.608</v>
      </c>
      <c r="H157" s="32"/>
    </row>
    <row r="158" spans="1:8" s="81" customFormat="1" ht="21" customHeight="1">
      <c r="A158" s="107"/>
      <c r="B158" s="104"/>
      <c r="C158" s="1" t="s">
        <v>281</v>
      </c>
      <c r="D158" s="21">
        <v>71.304</v>
      </c>
      <c r="E158" s="22">
        <f t="shared" si="1"/>
        <v>0</v>
      </c>
      <c r="F158" s="21">
        <f>SUM(D158)</f>
        <v>71.304</v>
      </c>
      <c r="G158" s="21">
        <f>61.935+G159</f>
        <v>71.304</v>
      </c>
      <c r="H158" s="108"/>
    </row>
    <row r="159" spans="1:8" s="81" customFormat="1" ht="37.5">
      <c r="A159" s="107"/>
      <c r="B159" s="104"/>
      <c r="C159" s="1" t="s">
        <v>138</v>
      </c>
      <c r="D159" s="21"/>
      <c r="E159" s="22"/>
      <c r="F159" s="21"/>
      <c r="G159" s="21">
        <v>9.369</v>
      </c>
      <c r="H159" s="108"/>
    </row>
    <row r="160" spans="1:8" s="81" customFormat="1" ht="37.5" customHeight="1">
      <c r="A160" s="28"/>
      <c r="B160" s="1"/>
      <c r="C160" s="1" t="s">
        <v>334</v>
      </c>
      <c r="D160" s="21">
        <v>55.194</v>
      </c>
      <c r="E160" s="22">
        <f aca="true" t="shared" si="2" ref="E160:E171">100-(F160/D160)*100</f>
        <v>94.36866326049932</v>
      </c>
      <c r="F160" s="21">
        <f>SUM(D160-52.08584)</f>
        <v>3.108160000000005</v>
      </c>
      <c r="G160" s="21">
        <v>2.096</v>
      </c>
      <c r="H160" s="32"/>
    </row>
    <row r="161" spans="1:8" s="81" customFormat="1" ht="18.75">
      <c r="A161" s="28"/>
      <c r="B161" s="1"/>
      <c r="C161" s="1" t="s">
        <v>282</v>
      </c>
      <c r="D161" s="21">
        <v>65.863</v>
      </c>
      <c r="E161" s="22">
        <f t="shared" si="2"/>
        <v>0</v>
      </c>
      <c r="F161" s="21">
        <f>SUM(D161)</f>
        <v>65.863</v>
      </c>
      <c r="G161" s="21">
        <f>65.863-16.534</f>
        <v>49.329</v>
      </c>
      <c r="H161" s="32"/>
    </row>
    <row r="162" spans="1:8" s="81" customFormat="1" ht="37.5" customHeight="1">
      <c r="A162" s="28"/>
      <c r="B162" s="1"/>
      <c r="C162" s="1" t="s">
        <v>335</v>
      </c>
      <c r="D162" s="21">
        <v>72.646</v>
      </c>
      <c r="E162" s="22">
        <f t="shared" si="2"/>
        <v>1.86749442501997</v>
      </c>
      <c r="F162" s="21">
        <f>SUM(D162-1.35666)</f>
        <v>71.28934</v>
      </c>
      <c r="G162" s="21">
        <v>64.42</v>
      </c>
      <c r="H162" s="32"/>
    </row>
    <row r="163" spans="1:8" s="81" customFormat="1" ht="37.5">
      <c r="A163" s="28"/>
      <c r="B163" s="1"/>
      <c r="C163" s="1" t="s">
        <v>336</v>
      </c>
      <c r="D163" s="21">
        <v>40.468</v>
      </c>
      <c r="E163" s="22">
        <f t="shared" si="2"/>
        <v>76.81479193436789</v>
      </c>
      <c r="F163" s="21">
        <f>SUM(D163-31.08541)</f>
        <v>9.382590000000004</v>
      </c>
      <c r="G163" s="21">
        <v>8.962</v>
      </c>
      <c r="H163" s="32"/>
    </row>
    <row r="164" spans="1:8" s="81" customFormat="1" ht="37.5" customHeight="1">
      <c r="A164" s="28"/>
      <c r="B164" s="1"/>
      <c r="C164" s="1" t="s">
        <v>337</v>
      </c>
      <c r="D164" s="21">
        <v>57.373</v>
      </c>
      <c r="E164" s="22">
        <f t="shared" si="2"/>
        <v>78.42478169173654</v>
      </c>
      <c r="F164" s="21">
        <f>SUM(D164-44.99465)</f>
        <v>12.378349999999998</v>
      </c>
      <c r="G164" s="21">
        <v>9.185</v>
      </c>
      <c r="H164" s="32"/>
    </row>
    <row r="165" spans="1:8" s="81" customFormat="1" ht="37.5" customHeight="1">
      <c r="A165" s="28"/>
      <c r="B165" s="1"/>
      <c r="C165" s="1" t="s">
        <v>338</v>
      </c>
      <c r="D165" s="21">
        <v>63.158</v>
      </c>
      <c r="E165" s="22">
        <f t="shared" si="2"/>
        <v>84.28816618638969</v>
      </c>
      <c r="F165" s="21">
        <f>SUM(D165-53.23472)</f>
        <v>9.923279999999998</v>
      </c>
      <c r="G165" s="21">
        <v>9.272</v>
      </c>
      <c r="H165" s="32"/>
    </row>
    <row r="166" spans="1:8" s="81" customFormat="1" ht="37.5" customHeight="1">
      <c r="A166" s="28"/>
      <c r="B166" s="1"/>
      <c r="C166" s="1" t="s">
        <v>339</v>
      </c>
      <c r="D166" s="21">
        <v>50.97</v>
      </c>
      <c r="E166" s="22">
        <f t="shared" si="2"/>
        <v>92.39019030802433</v>
      </c>
      <c r="F166" s="21">
        <f>SUM(D166-47.09128)</f>
        <v>3.8787200000000013</v>
      </c>
      <c r="G166" s="21">
        <v>2.041</v>
      </c>
      <c r="H166" s="32"/>
    </row>
    <row r="167" spans="1:8" s="81" customFormat="1" ht="37.5" customHeight="1">
      <c r="A167" s="28"/>
      <c r="B167" s="1"/>
      <c r="C167" s="1" t="s">
        <v>340</v>
      </c>
      <c r="D167" s="21">
        <v>56.728</v>
      </c>
      <c r="E167" s="22">
        <f t="shared" si="2"/>
        <v>79.36183189959104</v>
      </c>
      <c r="F167" s="21">
        <f>SUM(D167-45.02038)</f>
        <v>11.707619999999999</v>
      </c>
      <c r="G167" s="21">
        <v>9.177</v>
      </c>
      <c r="H167" s="32"/>
    </row>
    <row r="168" spans="1:8" s="81" customFormat="1" ht="37.5" customHeight="1">
      <c r="A168" s="28"/>
      <c r="B168" s="1"/>
      <c r="C168" s="1" t="s">
        <v>341</v>
      </c>
      <c r="D168" s="21">
        <v>71.123</v>
      </c>
      <c r="E168" s="22">
        <f t="shared" si="2"/>
        <v>76.17123855855348</v>
      </c>
      <c r="F168" s="21">
        <f>SUM(D168-54.17527)</f>
        <v>16.947730000000007</v>
      </c>
      <c r="G168" s="21">
        <v>9.367</v>
      </c>
      <c r="H168" s="32"/>
    </row>
    <row r="169" spans="1:8" s="81" customFormat="1" ht="37.5" customHeight="1">
      <c r="A169" s="28"/>
      <c r="B169" s="1"/>
      <c r="C169" s="1" t="s">
        <v>342</v>
      </c>
      <c r="D169" s="21">
        <v>71.123</v>
      </c>
      <c r="E169" s="22">
        <f t="shared" si="2"/>
        <v>1.9667055664131112</v>
      </c>
      <c r="F169" s="21">
        <f>SUM(D169-1.39878)</f>
        <v>69.72422</v>
      </c>
      <c r="G169" s="21">
        <v>66.168</v>
      </c>
      <c r="H169" s="32"/>
    </row>
    <row r="170" spans="1:8" s="81" customFormat="1" ht="37.5" customHeight="1">
      <c r="A170" s="28"/>
      <c r="B170" s="1"/>
      <c r="C170" s="1" t="s">
        <v>343</v>
      </c>
      <c r="D170" s="21">
        <v>51.852</v>
      </c>
      <c r="E170" s="22">
        <f t="shared" si="2"/>
        <v>1.8629946771580705</v>
      </c>
      <c r="F170" s="21">
        <f>SUM(D170-0.966)</f>
        <v>50.885999999999996</v>
      </c>
      <c r="G170" s="21">
        <v>48.299</v>
      </c>
      <c r="H170" s="32"/>
    </row>
    <row r="171" spans="1:8" s="81" customFormat="1" ht="18.75">
      <c r="A171" s="28"/>
      <c r="B171" s="1"/>
      <c r="C171" s="1" t="s">
        <v>283</v>
      </c>
      <c r="D171" s="21">
        <v>61.218</v>
      </c>
      <c r="E171" s="22">
        <f t="shared" si="2"/>
        <v>0</v>
      </c>
      <c r="F171" s="21">
        <f>SUM(D171)</f>
        <v>61.218</v>
      </c>
      <c r="G171" s="21">
        <f>61.218+14.01</f>
        <v>75.22800000000001</v>
      </c>
      <c r="H171" s="32"/>
    </row>
    <row r="172" spans="1:8" ht="18.75">
      <c r="A172" s="105" t="s">
        <v>178</v>
      </c>
      <c r="B172" s="104" t="s">
        <v>177</v>
      </c>
      <c r="C172" s="1" t="s">
        <v>211</v>
      </c>
      <c r="D172" s="21">
        <f>SUM(D175:D210)</f>
        <v>1402.492</v>
      </c>
      <c r="E172" s="22">
        <f>100-(F172/D172)*100</f>
        <v>20.777580192970802</v>
      </c>
      <c r="F172" s="21">
        <f>SUM(F175:F210)</f>
        <v>1111.0881</v>
      </c>
      <c r="G172" s="21">
        <f>SUM(G181+G184+G186+G207+G173-G182-G185-G187)</f>
        <v>1031.1069999999993</v>
      </c>
      <c r="H172" s="106" t="s">
        <v>180</v>
      </c>
    </row>
    <row r="173" spans="1:8" s="57" customFormat="1" ht="37.5">
      <c r="A173" s="105"/>
      <c r="B173" s="104"/>
      <c r="C173" s="1" t="s">
        <v>138</v>
      </c>
      <c r="D173" s="21"/>
      <c r="E173" s="22"/>
      <c r="F173" s="21"/>
      <c r="G173" s="21">
        <f>SUM(G175:G210)-G181-G184-G186-G207</f>
        <v>891.0979999999996</v>
      </c>
      <c r="H173" s="106"/>
    </row>
    <row r="174" spans="1:8" s="11" customFormat="1" ht="18.75">
      <c r="A174" s="105"/>
      <c r="B174" s="104"/>
      <c r="C174" s="1" t="s">
        <v>268</v>
      </c>
      <c r="D174" s="30"/>
      <c r="E174" s="31"/>
      <c r="F174" s="30"/>
      <c r="G174" s="30"/>
      <c r="H174" s="106"/>
    </row>
    <row r="175" spans="1:8" s="11" customFormat="1" ht="37.5">
      <c r="A175" s="28"/>
      <c r="B175" s="1"/>
      <c r="C175" s="1" t="s">
        <v>344</v>
      </c>
      <c r="D175" s="21">
        <v>42.5</v>
      </c>
      <c r="E175" s="22">
        <f aca="true" t="shared" si="3" ref="E175:E210">100-(F175/D175)*100</f>
        <v>0</v>
      </c>
      <c r="F175" s="21">
        <f>SUM(D175)</f>
        <v>42.5</v>
      </c>
      <c r="G175" s="21">
        <v>38.673</v>
      </c>
      <c r="H175" s="3"/>
    </row>
    <row r="176" spans="1:8" s="11" customFormat="1" ht="37.5">
      <c r="A176" s="28"/>
      <c r="B176" s="1"/>
      <c r="C176" s="1" t="s">
        <v>345</v>
      </c>
      <c r="D176" s="21">
        <v>42.5</v>
      </c>
      <c r="E176" s="22">
        <f t="shared" si="3"/>
        <v>0</v>
      </c>
      <c r="F176" s="21">
        <f>SUM(D176)</f>
        <v>42.5</v>
      </c>
      <c r="G176" s="21">
        <v>39.458</v>
      </c>
      <c r="H176" s="3"/>
    </row>
    <row r="177" spans="1:8" s="11" customFormat="1" ht="37.5">
      <c r="A177" s="28"/>
      <c r="B177" s="1"/>
      <c r="C177" s="1" t="s">
        <v>346</v>
      </c>
      <c r="D177" s="21">
        <v>42.5</v>
      </c>
      <c r="E177" s="22">
        <f t="shared" si="3"/>
        <v>0</v>
      </c>
      <c r="F177" s="21">
        <f>SUM(D177)</f>
        <v>42.5</v>
      </c>
      <c r="G177" s="21">
        <v>39.622</v>
      </c>
      <c r="H177" s="3"/>
    </row>
    <row r="178" spans="1:8" s="11" customFormat="1" ht="37.5">
      <c r="A178" s="28"/>
      <c r="B178" s="1"/>
      <c r="C178" s="1" t="s">
        <v>347</v>
      </c>
      <c r="D178" s="21">
        <v>42.5</v>
      </c>
      <c r="E178" s="22">
        <f t="shared" si="3"/>
        <v>0</v>
      </c>
      <c r="F178" s="21">
        <f>SUM(D178)</f>
        <v>42.5</v>
      </c>
      <c r="G178" s="21">
        <v>39.844</v>
      </c>
      <c r="H178" s="3"/>
    </row>
    <row r="179" spans="1:8" s="11" customFormat="1" ht="37.5">
      <c r="A179" s="28"/>
      <c r="B179" s="1"/>
      <c r="C179" s="1" t="s">
        <v>348</v>
      </c>
      <c r="D179" s="21">
        <v>42.5</v>
      </c>
      <c r="E179" s="22">
        <f t="shared" si="3"/>
        <v>0</v>
      </c>
      <c r="F179" s="21">
        <f>SUM(D179)</f>
        <v>42.5</v>
      </c>
      <c r="G179" s="21">
        <v>40.569</v>
      </c>
      <c r="H179" s="3"/>
    </row>
    <row r="180" spans="1:8" s="11" customFormat="1" ht="37.5">
      <c r="A180" s="28"/>
      <c r="B180" s="1"/>
      <c r="C180" s="1" t="s">
        <v>349</v>
      </c>
      <c r="D180" s="21">
        <v>42.5</v>
      </c>
      <c r="E180" s="22">
        <f t="shared" si="3"/>
        <v>19.376776470588226</v>
      </c>
      <c r="F180" s="21">
        <f>SUM(D180-8.23513)</f>
        <v>34.26487</v>
      </c>
      <c r="G180" s="21">
        <v>30.081</v>
      </c>
      <c r="H180" s="3"/>
    </row>
    <row r="181" spans="1:8" s="11" customFormat="1" ht="19.5" customHeight="1">
      <c r="A181" s="107"/>
      <c r="B181" s="104"/>
      <c r="C181" s="1" t="s">
        <v>284</v>
      </c>
      <c r="D181" s="21">
        <v>42.498</v>
      </c>
      <c r="E181" s="22">
        <f t="shared" si="3"/>
        <v>0</v>
      </c>
      <c r="F181" s="21">
        <f>SUM(D181)</f>
        <v>42.498</v>
      </c>
      <c r="G181" s="21">
        <f>35.002+G182</f>
        <v>42.498000000000005</v>
      </c>
      <c r="H181" s="3"/>
    </row>
    <row r="182" spans="1:8" s="11" customFormat="1" ht="37.5">
      <c r="A182" s="107"/>
      <c r="B182" s="104"/>
      <c r="C182" s="1" t="s">
        <v>138</v>
      </c>
      <c r="D182" s="21"/>
      <c r="E182" s="22"/>
      <c r="F182" s="21"/>
      <c r="G182" s="21">
        <v>7.496</v>
      </c>
      <c r="H182" s="3"/>
    </row>
    <row r="183" spans="1:8" s="11" customFormat="1" ht="37.5">
      <c r="A183" s="28"/>
      <c r="B183" s="1"/>
      <c r="C183" s="1" t="s">
        <v>350</v>
      </c>
      <c r="D183" s="21">
        <v>42.5</v>
      </c>
      <c r="E183" s="22">
        <f t="shared" si="3"/>
        <v>0</v>
      </c>
      <c r="F183" s="21">
        <f>SUM(D183)</f>
        <v>42.5</v>
      </c>
      <c r="G183" s="21">
        <v>40.971</v>
      </c>
      <c r="H183" s="3"/>
    </row>
    <row r="184" spans="1:8" s="11" customFormat="1" ht="18.75">
      <c r="A184" s="107"/>
      <c r="B184" s="104"/>
      <c r="C184" s="1" t="s">
        <v>285</v>
      </c>
      <c r="D184" s="21">
        <v>42.498</v>
      </c>
      <c r="E184" s="22">
        <f t="shared" si="3"/>
        <v>0</v>
      </c>
      <c r="F184" s="21">
        <f>SUM(D184)</f>
        <v>42.498</v>
      </c>
      <c r="G184" s="21">
        <f>35.002+G185</f>
        <v>42.498000000000005</v>
      </c>
      <c r="H184" s="3"/>
    </row>
    <row r="185" spans="1:8" s="11" customFormat="1" ht="21.75" customHeight="1">
      <c r="A185" s="107"/>
      <c r="B185" s="104"/>
      <c r="C185" s="1" t="s">
        <v>138</v>
      </c>
      <c r="D185" s="21"/>
      <c r="E185" s="22"/>
      <c r="F185" s="21"/>
      <c r="G185" s="21">
        <v>7.496</v>
      </c>
      <c r="H185" s="3"/>
    </row>
    <row r="186" spans="1:8" s="11" customFormat="1" ht="18.75">
      <c r="A186" s="107"/>
      <c r="B186" s="104"/>
      <c r="C186" s="1" t="s">
        <v>286</v>
      </c>
      <c r="D186" s="21">
        <v>42.498</v>
      </c>
      <c r="E186" s="22">
        <f t="shared" si="3"/>
        <v>0</v>
      </c>
      <c r="F186" s="21">
        <f>SUM(D186)</f>
        <v>42.498</v>
      </c>
      <c r="G186" s="21">
        <f>35.002+G187</f>
        <v>42.498000000000005</v>
      </c>
      <c r="H186" s="3"/>
    </row>
    <row r="187" spans="1:8" s="11" customFormat="1" ht="21.75" customHeight="1">
      <c r="A187" s="107"/>
      <c r="B187" s="104"/>
      <c r="C187" s="1" t="s">
        <v>138</v>
      </c>
      <c r="D187" s="21"/>
      <c r="E187" s="22"/>
      <c r="F187" s="21"/>
      <c r="G187" s="21">
        <v>7.496</v>
      </c>
      <c r="H187" s="3"/>
    </row>
    <row r="188" spans="1:8" s="11" customFormat="1" ht="37.5">
      <c r="A188" s="28"/>
      <c r="B188" s="1"/>
      <c r="C188" s="1" t="s">
        <v>351</v>
      </c>
      <c r="D188" s="21">
        <v>42.5</v>
      </c>
      <c r="E188" s="22">
        <f t="shared" si="3"/>
        <v>0</v>
      </c>
      <c r="F188" s="21">
        <f>SUM(D188)</f>
        <v>42.5</v>
      </c>
      <c r="G188" s="21">
        <v>40.79</v>
      </c>
      <c r="H188" s="3"/>
    </row>
    <row r="189" spans="1:8" s="11" customFormat="1" ht="37.5">
      <c r="A189" s="28"/>
      <c r="B189" s="1"/>
      <c r="C189" s="1" t="s">
        <v>352</v>
      </c>
      <c r="D189" s="21">
        <v>42.5</v>
      </c>
      <c r="E189" s="22">
        <f t="shared" si="3"/>
        <v>0</v>
      </c>
      <c r="F189" s="21">
        <f>SUM(D189)</f>
        <v>42.5</v>
      </c>
      <c r="G189" s="21">
        <v>41.094</v>
      </c>
      <c r="H189" s="3"/>
    </row>
    <row r="190" spans="1:8" s="11" customFormat="1" ht="37.5">
      <c r="A190" s="28"/>
      <c r="B190" s="1"/>
      <c r="C190" s="1" t="s">
        <v>353</v>
      </c>
      <c r="D190" s="21">
        <v>42.5</v>
      </c>
      <c r="E190" s="22">
        <f t="shared" si="3"/>
        <v>0</v>
      </c>
      <c r="F190" s="21">
        <f>SUM(D190)</f>
        <v>42.5</v>
      </c>
      <c r="G190" s="21">
        <v>40.638</v>
      </c>
      <c r="H190" s="3"/>
    </row>
    <row r="191" spans="1:8" s="11" customFormat="1" ht="37.5">
      <c r="A191" s="28"/>
      <c r="B191" s="1"/>
      <c r="C191" s="1" t="s">
        <v>354</v>
      </c>
      <c r="D191" s="21">
        <v>42.5</v>
      </c>
      <c r="E191" s="22">
        <f t="shared" si="3"/>
        <v>1.82858823529412</v>
      </c>
      <c r="F191" s="21">
        <f>SUM(D191-0.77715)</f>
        <v>41.72285</v>
      </c>
      <c r="G191" s="21">
        <v>39.227</v>
      </c>
      <c r="H191" s="3"/>
    </row>
    <row r="192" spans="1:8" s="11" customFormat="1" ht="37.5">
      <c r="A192" s="28"/>
      <c r="B192" s="1"/>
      <c r="C192" s="1" t="s">
        <v>355</v>
      </c>
      <c r="D192" s="21">
        <v>42.5</v>
      </c>
      <c r="E192" s="22">
        <f t="shared" si="3"/>
        <v>72.35214117647058</v>
      </c>
      <c r="F192" s="21">
        <f>SUM(D192-30.74966)</f>
        <v>11.750340000000001</v>
      </c>
      <c r="G192" s="21">
        <v>7.496</v>
      </c>
      <c r="H192" s="3"/>
    </row>
    <row r="193" spans="1:8" s="11" customFormat="1" ht="37.5">
      <c r="A193" s="28"/>
      <c r="B193" s="1"/>
      <c r="C193" s="1" t="s">
        <v>356</v>
      </c>
      <c r="D193" s="21">
        <v>42.5</v>
      </c>
      <c r="E193" s="22">
        <f t="shared" si="3"/>
        <v>70.54969411764705</v>
      </c>
      <c r="F193" s="21">
        <f>SUM(D193-29.98362)</f>
        <v>12.516380000000002</v>
      </c>
      <c r="G193" s="21">
        <v>7.496</v>
      </c>
      <c r="H193" s="3"/>
    </row>
    <row r="194" spans="1:8" s="11" customFormat="1" ht="37.5">
      <c r="A194" s="28"/>
      <c r="B194" s="1"/>
      <c r="C194" s="1" t="s">
        <v>357</v>
      </c>
      <c r="D194" s="21">
        <v>42.5</v>
      </c>
      <c r="E194" s="22">
        <f t="shared" si="3"/>
        <v>69.95672941176471</v>
      </c>
      <c r="F194" s="21">
        <f>SUM(D194-29.73161)</f>
        <v>12.76839</v>
      </c>
      <c r="G194" s="21">
        <v>7.496</v>
      </c>
      <c r="H194" s="3"/>
    </row>
    <row r="195" spans="1:8" s="11" customFormat="1" ht="37.5">
      <c r="A195" s="28"/>
      <c r="B195" s="1"/>
      <c r="C195" s="1" t="s">
        <v>358</v>
      </c>
      <c r="D195" s="21">
        <v>42.5</v>
      </c>
      <c r="E195" s="22">
        <f t="shared" si="3"/>
        <v>70.46014117647059</v>
      </c>
      <c r="F195" s="21">
        <f>SUM(D195-29.94556)</f>
        <v>12.55444</v>
      </c>
      <c r="G195" s="21">
        <v>7.496</v>
      </c>
      <c r="H195" s="3"/>
    </row>
    <row r="196" spans="1:8" s="11" customFormat="1" ht="37.5">
      <c r="A196" s="28"/>
      <c r="B196" s="1"/>
      <c r="C196" s="1" t="s">
        <v>359</v>
      </c>
      <c r="D196" s="21">
        <v>42.5</v>
      </c>
      <c r="E196" s="22">
        <f t="shared" si="3"/>
        <v>76.472</v>
      </c>
      <c r="F196" s="21">
        <f>SUM(D196-32.5006)</f>
        <v>9.999400000000001</v>
      </c>
      <c r="G196" s="21">
        <v>7.496</v>
      </c>
      <c r="H196" s="3"/>
    </row>
    <row r="197" spans="1:8" s="11" customFormat="1" ht="37.5">
      <c r="A197" s="28"/>
      <c r="B197" s="1"/>
      <c r="C197" s="1" t="s">
        <v>360</v>
      </c>
      <c r="D197" s="21">
        <v>42.5</v>
      </c>
      <c r="E197" s="22">
        <f t="shared" si="3"/>
        <v>0</v>
      </c>
      <c r="F197" s="21">
        <f>SUM(D197)</f>
        <v>42.5</v>
      </c>
      <c r="G197" s="21">
        <v>40.165</v>
      </c>
      <c r="H197" s="3"/>
    </row>
    <row r="198" spans="1:8" s="11" customFormat="1" ht="37.5">
      <c r="A198" s="28"/>
      <c r="B198" s="1"/>
      <c r="C198" s="1" t="s">
        <v>361</v>
      </c>
      <c r="D198" s="21">
        <v>42.5</v>
      </c>
      <c r="E198" s="22">
        <f t="shared" si="3"/>
        <v>17.637199999999993</v>
      </c>
      <c r="F198" s="21">
        <f>SUM(D198-7.49581)</f>
        <v>35.00419</v>
      </c>
      <c r="G198" s="21">
        <v>32.753</v>
      </c>
      <c r="H198" s="3"/>
    </row>
    <row r="199" spans="1:8" s="11" customFormat="1" ht="37.5">
      <c r="A199" s="28"/>
      <c r="B199" s="1"/>
      <c r="C199" s="1" t="s">
        <v>362</v>
      </c>
      <c r="D199" s="21">
        <v>42.5</v>
      </c>
      <c r="E199" s="22">
        <f t="shared" si="3"/>
        <v>66.51378823529413</v>
      </c>
      <c r="F199" s="21">
        <f>SUM(D199-28.26836)</f>
        <v>14.231639999999999</v>
      </c>
      <c r="G199" s="21">
        <v>11.47</v>
      </c>
      <c r="H199" s="3"/>
    </row>
    <row r="200" spans="1:8" s="11" customFormat="1" ht="37.5">
      <c r="A200" s="28"/>
      <c r="B200" s="1"/>
      <c r="C200" s="1" t="s">
        <v>363</v>
      </c>
      <c r="D200" s="21">
        <v>42.5</v>
      </c>
      <c r="E200" s="22">
        <f t="shared" si="3"/>
        <v>17.637199999999993</v>
      </c>
      <c r="F200" s="21">
        <f>SUM(D200-7.49581)</f>
        <v>35.00419</v>
      </c>
      <c r="G200" s="21">
        <v>32.387</v>
      </c>
      <c r="H200" s="3"/>
    </row>
    <row r="201" spans="1:8" s="11" customFormat="1" ht="37.5">
      <c r="A201" s="28"/>
      <c r="B201" s="1"/>
      <c r="C201" s="1" t="s">
        <v>364</v>
      </c>
      <c r="D201" s="21">
        <v>42.5</v>
      </c>
      <c r="E201" s="22">
        <f t="shared" si="3"/>
        <v>17.637199999999993</v>
      </c>
      <c r="F201" s="21">
        <f>SUM(D201-7.49581)</f>
        <v>35.00419</v>
      </c>
      <c r="G201" s="21">
        <v>31.995</v>
      </c>
      <c r="H201" s="3"/>
    </row>
    <row r="202" spans="1:8" s="11" customFormat="1" ht="37.5">
      <c r="A202" s="28"/>
      <c r="B202" s="1"/>
      <c r="C202" s="1" t="s">
        <v>365</v>
      </c>
      <c r="D202" s="21">
        <v>42.5</v>
      </c>
      <c r="E202" s="22">
        <f t="shared" si="3"/>
        <v>19.474258823529425</v>
      </c>
      <c r="F202" s="21">
        <f>SUM(D202-8.27656)</f>
        <v>34.22344</v>
      </c>
      <c r="G202" s="21">
        <v>31.807</v>
      </c>
      <c r="H202" s="3"/>
    </row>
    <row r="203" spans="1:8" s="11" customFormat="1" ht="37.5">
      <c r="A203" s="28"/>
      <c r="B203" s="1"/>
      <c r="C203" s="1" t="s">
        <v>366</v>
      </c>
      <c r="D203" s="21">
        <v>42.5</v>
      </c>
      <c r="E203" s="22">
        <f t="shared" si="3"/>
        <v>17.637199999999993</v>
      </c>
      <c r="F203" s="21">
        <f>SUM(D203-7.49581)</f>
        <v>35.00419</v>
      </c>
      <c r="G203" s="21">
        <v>34.016</v>
      </c>
      <c r="H203" s="3"/>
    </row>
    <row r="204" spans="1:8" s="11" customFormat="1" ht="37.5">
      <c r="A204" s="28"/>
      <c r="B204" s="1"/>
      <c r="C204" s="1" t="s">
        <v>367</v>
      </c>
      <c r="D204" s="21">
        <v>42.5</v>
      </c>
      <c r="E204" s="22">
        <f t="shared" si="3"/>
        <v>17.637199999999993</v>
      </c>
      <c r="F204" s="21">
        <f>SUM(D204-7.49581)</f>
        <v>35.00419</v>
      </c>
      <c r="G204" s="21">
        <v>33.776</v>
      </c>
      <c r="H204" s="3"/>
    </row>
    <row r="205" spans="1:8" s="11" customFormat="1" ht="37.5">
      <c r="A205" s="28"/>
      <c r="B205" s="1"/>
      <c r="C205" s="1" t="s">
        <v>368</v>
      </c>
      <c r="D205" s="21">
        <v>42.5</v>
      </c>
      <c r="E205" s="22">
        <f t="shared" si="3"/>
        <v>17.637199999999993</v>
      </c>
      <c r="F205" s="21">
        <f>SUM(D205-7.49581)</f>
        <v>35.00419</v>
      </c>
      <c r="G205" s="21">
        <v>32.185</v>
      </c>
      <c r="H205" s="3"/>
    </row>
    <row r="206" spans="1:8" s="11" customFormat="1" ht="37.5">
      <c r="A206" s="28"/>
      <c r="B206" s="1"/>
      <c r="C206" s="1" t="s">
        <v>369</v>
      </c>
      <c r="D206" s="21">
        <v>42.5</v>
      </c>
      <c r="E206" s="22">
        <f t="shared" si="3"/>
        <v>17.637199999999993</v>
      </c>
      <c r="F206" s="21">
        <f>SUM(D206-7.49581)</f>
        <v>35.00419</v>
      </c>
      <c r="G206" s="21">
        <v>33.233</v>
      </c>
      <c r="H206" s="3"/>
    </row>
    <row r="207" spans="1:8" s="11" customFormat="1" ht="18.75">
      <c r="A207" s="28"/>
      <c r="B207" s="1"/>
      <c r="C207" s="1" t="s">
        <v>287</v>
      </c>
      <c r="D207" s="21">
        <v>42.498</v>
      </c>
      <c r="E207" s="22">
        <f t="shared" si="3"/>
        <v>17.635676973034037</v>
      </c>
      <c r="F207" s="21">
        <f>SUM(D207-7.49581)+0.001</f>
        <v>35.00319</v>
      </c>
      <c r="G207" s="21">
        <v>35.003</v>
      </c>
      <c r="H207" s="3"/>
    </row>
    <row r="208" spans="1:8" s="11" customFormat="1" ht="37.5">
      <c r="A208" s="28"/>
      <c r="B208" s="1"/>
      <c r="C208" s="1" t="s">
        <v>341</v>
      </c>
      <c r="D208" s="21">
        <v>42.5</v>
      </c>
      <c r="E208" s="22">
        <f t="shared" si="3"/>
        <v>77.5768705882353</v>
      </c>
      <c r="F208" s="21">
        <f>SUM(D208-32.97017)</f>
        <v>9.529829999999997</v>
      </c>
      <c r="G208" s="21">
        <v>7.496</v>
      </c>
      <c r="H208" s="3"/>
    </row>
    <row r="209" spans="1:8" s="11" customFormat="1" ht="37.5">
      <c r="A209" s="28"/>
      <c r="B209" s="1"/>
      <c r="C209" s="1" t="s">
        <v>316</v>
      </c>
      <c r="D209" s="21">
        <v>42.5</v>
      </c>
      <c r="E209" s="22">
        <f t="shared" si="3"/>
        <v>0</v>
      </c>
      <c r="F209" s="21">
        <f>SUM(D209)</f>
        <v>42.5</v>
      </c>
      <c r="G209" s="21">
        <v>38.242</v>
      </c>
      <c r="H209" s="3"/>
    </row>
    <row r="210" spans="1:8" s="11" customFormat="1" ht="37.5">
      <c r="A210" s="28"/>
      <c r="B210" s="1"/>
      <c r="C210" s="1" t="s">
        <v>370</v>
      </c>
      <c r="D210" s="21">
        <v>42.5</v>
      </c>
      <c r="E210" s="22">
        <f t="shared" si="3"/>
        <v>0</v>
      </c>
      <c r="F210" s="21">
        <f>SUM(D210)</f>
        <v>42.5</v>
      </c>
      <c r="G210" s="21">
        <v>40.638</v>
      </c>
      <c r="H210" s="3"/>
    </row>
    <row r="211" spans="1:8" ht="39" customHeight="1">
      <c r="A211" s="107" t="s">
        <v>178</v>
      </c>
      <c r="B211" s="104" t="s">
        <v>177</v>
      </c>
      <c r="C211" s="1" t="s">
        <v>205</v>
      </c>
      <c r="D211" s="21">
        <v>3826.168</v>
      </c>
      <c r="E211" s="22">
        <f>100-(F211/D211)*100</f>
        <v>48.87335109174506</v>
      </c>
      <c r="F211" s="21">
        <f>D211-87-905.23378-877.74274</f>
        <v>1956.19148</v>
      </c>
      <c r="G211" s="21">
        <f>760.32+G212+950-1000-40.079+107.178-670.241</f>
        <v>245.87099999999998</v>
      </c>
      <c r="H211" s="106" t="s">
        <v>180</v>
      </c>
    </row>
    <row r="212" spans="1:8" s="57" customFormat="1" ht="22.5" customHeight="1">
      <c r="A212" s="107"/>
      <c r="B212" s="104"/>
      <c r="C212" s="1" t="s">
        <v>138</v>
      </c>
      <c r="D212" s="21"/>
      <c r="E212" s="22"/>
      <c r="F212" s="21"/>
      <c r="G212" s="21">
        <f>245.871-107.178</f>
        <v>138.693</v>
      </c>
      <c r="H212" s="106"/>
    </row>
    <row r="213" spans="1:8" ht="38.25" customHeight="1">
      <c r="A213" s="107" t="s">
        <v>178</v>
      </c>
      <c r="B213" s="104" t="s">
        <v>177</v>
      </c>
      <c r="C213" s="1" t="s">
        <v>206</v>
      </c>
      <c r="D213" s="21">
        <v>2321.421</v>
      </c>
      <c r="E213" s="22">
        <f>100-(F213/D213)*100</f>
        <v>46.997348175966344</v>
      </c>
      <c r="F213" s="21">
        <f>D213-6.59545-1084.41086</f>
        <v>1230.41469</v>
      </c>
      <c r="G213" s="21">
        <f>1069.467+G214</f>
        <v>1230.4150000000002</v>
      </c>
      <c r="H213" s="106" t="s">
        <v>180</v>
      </c>
    </row>
    <row r="214" spans="1:8" s="57" customFormat="1" ht="38.25" customHeight="1">
      <c r="A214" s="107"/>
      <c r="B214" s="104"/>
      <c r="C214" s="1" t="s">
        <v>138</v>
      </c>
      <c r="D214" s="21"/>
      <c r="E214" s="22"/>
      <c r="F214" s="21"/>
      <c r="G214" s="21">
        <v>160.948</v>
      </c>
      <c r="H214" s="106"/>
    </row>
    <row r="215" spans="1:8" ht="57" customHeight="1">
      <c r="A215" s="23" t="s">
        <v>178</v>
      </c>
      <c r="B215" s="1" t="s">
        <v>177</v>
      </c>
      <c r="C215" s="1" t="s">
        <v>32</v>
      </c>
      <c r="D215" s="21">
        <v>3068.143</v>
      </c>
      <c r="E215" s="22">
        <f>100-(F215/D215)*100</f>
        <v>0.04034525118288457</v>
      </c>
      <c r="F215" s="21">
        <f>D215-1.23785</f>
        <v>3066.90515</v>
      </c>
      <c r="G215" s="21">
        <f>1155.777+535.015-1500</f>
        <v>190.79199999999992</v>
      </c>
      <c r="H215" s="3" t="s">
        <v>180</v>
      </c>
    </row>
    <row r="216" spans="1:8" s="57" customFormat="1" ht="57" customHeight="1">
      <c r="A216" s="23" t="s">
        <v>178</v>
      </c>
      <c r="B216" s="1" t="s">
        <v>177</v>
      </c>
      <c r="C216" s="1" t="s">
        <v>56</v>
      </c>
      <c r="D216" s="21">
        <v>164.449</v>
      </c>
      <c r="E216" s="22">
        <v>0</v>
      </c>
      <c r="F216" s="21">
        <v>164.449</v>
      </c>
      <c r="G216" s="21">
        <v>164.449</v>
      </c>
      <c r="H216" s="3" t="s">
        <v>180</v>
      </c>
    </row>
    <row r="217" spans="1:8" ht="55.5" customHeight="1">
      <c r="A217" s="105" t="s">
        <v>178</v>
      </c>
      <c r="B217" s="104" t="s">
        <v>177</v>
      </c>
      <c r="C217" s="1" t="s">
        <v>57</v>
      </c>
      <c r="D217" s="21">
        <v>560</v>
      </c>
      <c r="E217" s="22">
        <f>100-(F217/D217)*100</f>
        <v>0</v>
      </c>
      <c r="F217" s="21">
        <f>D217</f>
        <v>560</v>
      </c>
      <c r="G217" s="21">
        <f>400+G218-398.269</f>
        <v>26.480000000000018</v>
      </c>
      <c r="H217" s="106" t="s">
        <v>180</v>
      </c>
    </row>
    <row r="218" spans="1:8" s="57" customFormat="1" ht="22.5" customHeight="1">
      <c r="A218" s="105"/>
      <c r="B218" s="104"/>
      <c r="C218" s="1" t="s">
        <v>138</v>
      </c>
      <c r="D218" s="21"/>
      <c r="E218" s="22"/>
      <c r="F218" s="21"/>
      <c r="G218" s="21">
        <v>24.749</v>
      </c>
      <c r="H218" s="106"/>
    </row>
    <row r="219" spans="1:8" s="57" customFormat="1" ht="41.25" customHeight="1">
      <c r="A219" s="23" t="s">
        <v>178</v>
      </c>
      <c r="B219" s="1" t="s">
        <v>177</v>
      </c>
      <c r="C219" s="1" t="s">
        <v>34</v>
      </c>
      <c r="D219" s="21">
        <v>2000</v>
      </c>
      <c r="E219" s="22">
        <v>0</v>
      </c>
      <c r="F219" s="21">
        <f>SUM(D219)</f>
        <v>2000</v>
      </c>
      <c r="G219" s="21">
        <v>85</v>
      </c>
      <c r="H219" s="3" t="s">
        <v>180</v>
      </c>
    </row>
    <row r="220" spans="1:8" s="9" customFormat="1" ht="60" customHeight="1">
      <c r="A220" s="105" t="s">
        <v>178</v>
      </c>
      <c r="B220" s="104" t="s">
        <v>177</v>
      </c>
      <c r="C220" s="1" t="s">
        <v>58</v>
      </c>
      <c r="D220" s="21">
        <v>52.655</v>
      </c>
      <c r="E220" s="22">
        <v>0</v>
      </c>
      <c r="F220" s="21">
        <v>52.655</v>
      </c>
      <c r="G220" s="21">
        <f>11.776+G221</f>
        <v>52.655</v>
      </c>
      <c r="H220" s="106" t="s">
        <v>180</v>
      </c>
    </row>
    <row r="221" spans="1:8" s="57" customFormat="1" ht="27" customHeight="1">
      <c r="A221" s="105"/>
      <c r="B221" s="104"/>
      <c r="C221" s="1" t="s">
        <v>138</v>
      </c>
      <c r="D221" s="21"/>
      <c r="E221" s="22"/>
      <c r="F221" s="21"/>
      <c r="G221" s="21">
        <v>40.879</v>
      </c>
      <c r="H221" s="106"/>
    </row>
    <row r="222" spans="1:8" ht="96.75" customHeight="1">
      <c r="A222" s="105" t="s">
        <v>178</v>
      </c>
      <c r="B222" s="104" t="s">
        <v>177</v>
      </c>
      <c r="C222" s="83" t="s">
        <v>216</v>
      </c>
      <c r="D222" s="21">
        <v>800</v>
      </c>
      <c r="E222" s="22">
        <f>100-(F222/D222)*100</f>
        <v>0</v>
      </c>
      <c r="F222" s="21">
        <f>SUM(D222)</f>
        <v>800</v>
      </c>
      <c r="G222" s="21">
        <f>428.715+G223-283.759</f>
        <v>216.24099999999999</v>
      </c>
      <c r="H222" s="106" t="s">
        <v>180</v>
      </c>
    </row>
    <row r="223" spans="1:8" s="57" customFormat="1" ht="22.5" customHeight="1">
      <c r="A223" s="105"/>
      <c r="B223" s="104"/>
      <c r="C223" s="1" t="s">
        <v>138</v>
      </c>
      <c r="D223" s="21"/>
      <c r="E223" s="22"/>
      <c r="F223" s="21"/>
      <c r="G223" s="21">
        <v>71.285</v>
      </c>
      <c r="H223" s="106"/>
    </row>
    <row r="224" spans="1:8" s="57" customFormat="1" ht="57.75" customHeight="1">
      <c r="A224" s="28">
        <v>150101</v>
      </c>
      <c r="B224" s="1" t="s">
        <v>177</v>
      </c>
      <c r="C224" s="1" t="s">
        <v>51</v>
      </c>
      <c r="D224" s="21">
        <v>985.867</v>
      </c>
      <c r="E224" s="22">
        <v>0</v>
      </c>
      <c r="F224" s="21">
        <v>985.867</v>
      </c>
      <c r="G224" s="21">
        <v>985.867</v>
      </c>
      <c r="H224" s="3"/>
    </row>
    <row r="225" spans="1:8" s="9" customFormat="1" ht="56.25">
      <c r="A225" s="107">
        <v>150101</v>
      </c>
      <c r="B225" s="104" t="s">
        <v>177</v>
      </c>
      <c r="C225" s="1" t="s">
        <v>371</v>
      </c>
      <c r="D225" s="21">
        <v>43.459</v>
      </c>
      <c r="E225" s="22">
        <f>100-(F225/D225)*100</f>
        <v>0</v>
      </c>
      <c r="F225" s="21">
        <f>SUM(D225)</f>
        <v>43.459</v>
      </c>
      <c r="G225" s="21">
        <v>43.459</v>
      </c>
      <c r="H225" s="106"/>
    </row>
    <row r="226" spans="1:8" s="9" customFormat="1" ht="36.75" customHeight="1">
      <c r="A226" s="107"/>
      <c r="B226" s="104"/>
      <c r="C226" s="1" t="s">
        <v>138</v>
      </c>
      <c r="D226" s="21"/>
      <c r="E226" s="22"/>
      <c r="F226" s="21"/>
      <c r="G226" s="21">
        <v>5.918</v>
      </c>
      <c r="H226" s="106"/>
    </row>
    <row r="227" spans="1:8" s="9" customFormat="1" ht="37.5">
      <c r="A227" s="28">
        <v>150101</v>
      </c>
      <c r="B227" s="1" t="s">
        <v>177</v>
      </c>
      <c r="C227" s="1" t="s">
        <v>403</v>
      </c>
      <c r="D227" s="21">
        <v>79.042</v>
      </c>
      <c r="E227" s="22">
        <f aca="true" t="shared" si="4" ref="E227:E232">100-(F227/D227)*100</f>
        <v>0</v>
      </c>
      <c r="F227" s="21">
        <f aca="true" t="shared" si="5" ref="F227:F232">SUM(D227)</f>
        <v>79.042</v>
      </c>
      <c r="G227" s="21">
        <f>72.468+6.577</f>
        <v>79.045</v>
      </c>
      <c r="H227" s="3"/>
    </row>
    <row r="228" spans="1:8" s="9" customFormat="1" ht="56.25">
      <c r="A228" s="28">
        <v>150101</v>
      </c>
      <c r="B228" s="1" t="s">
        <v>177</v>
      </c>
      <c r="C228" s="1" t="s">
        <v>372</v>
      </c>
      <c r="D228" s="21">
        <v>40.035</v>
      </c>
      <c r="E228" s="22">
        <f t="shared" si="4"/>
        <v>0</v>
      </c>
      <c r="F228" s="21">
        <f t="shared" si="5"/>
        <v>40.035</v>
      </c>
      <c r="G228" s="21">
        <v>40.035</v>
      </c>
      <c r="H228" s="3"/>
    </row>
    <row r="229" spans="1:8" s="9" customFormat="1" ht="56.25">
      <c r="A229" s="28">
        <v>150101</v>
      </c>
      <c r="B229" s="1" t="s">
        <v>177</v>
      </c>
      <c r="C229" s="1" t="s">
        <v>373</v>
      </c>
      <c r="D229" s="21">
        <v>33.791</v>
      </c>
      <c r="E229" s="22">
        <f t="shared" si="4"/>
        <v>0</v>
      </c>
      <c r="F229" s="21">
        <f t="shared" si="5"/>
        <v>33.791</v>
      </c>
      <c r="G229" s="21">
        <v>33.791</v>
      </c>
      <c r="H229" s="3"/>
    </row>
    <row r="230" spans="1:8" s="11" customFormat="1" ht="56.25">
      <c r="A230" s="28">
        <v>150101</v>
      </c>
      <c r="B230" s="1" t="s">
        <v>177</v>
      </c>
      <c r="C230" s="1" t="s">
        <v>376</v>
      </c>
      <c r="D230" s="21">
        <v>164.432</v>
      </c>
      <c r="E230" s="22">
        <f t="shared" si="4"/>
        <v>0</v>
      </c>
      <c r="F230" s="21">
        <f t="shared" si="5"/>
        <v>164.432</v>
      </c>
      <c r="G230" s="21">
        <v>164.432</v>
      </c>
      <c r="H230" s="3"/>
    </row>
    <row r="231" spans="1:8" s="11" customFormat="1" ht="42.75" customHeight="1">
      <c r="A231" s="28">
        <v>150101</v>
      </c>
      <c r="B231" s="1" t="s">
        <v>177</v>
      </c>
      <c r="C231" s="1" t="s">
        <v>374</v>
      </c>
      <c r="D231" s="21">
        <v>68.651</v>
      </c>
      <c r="E231" s="22">
        <f t="shared" si="4"/>
        <v>0</v>
      </c>
      <c r="F231" s="21">
        <f t="shared" si="5"/>
        <v>68.651</v>
      </c>
      <c r="G231" s="21">
        <v>68.651</v>
      </c>
      <c r="H231" s="3"/>
    </row>
    <row r="232" spans="1:8" s="11" customFormat="1" ht="55.5" customHeight="1">
      <c r="A232" s="28">
        <v>150101</v>
      </c>
      <c r="B232" s="1" t="s">
        <v>177</v>
      </c>
      <c r="C232" s="1" t="s">
        <v>375</v>
      </c>
      <c r="D232" s="21">
        <v>658.952</v>
      </c>
      <c r="E232" s="22">
        <f t="shared" si="4"/>
        <v>0</v>
      </c>
      <c r="F232" s="21">
        <f t="shared" si="5"/>
        <v>658.952</v>
      </c>
      <c r="G232" s="21">
        <v>658.952</v>
      </c>
      <c r="H232" s="3"/>
    </row>
    <row r="233" spans="1:8" s="9" customFormat="1" ht="56.25">
      <c r="A233" s="28">
        <v>150101</v>
      </c>
      <c r="B233" s="1" t="s">
        <v>177</v>
      </c>
      <c r="C233" s="1" t="s">
        <v>424</v>
      </c>
      <c r="D233" s="21">
        <v>130.106</v>
      </c>
      <c r="E233" s="22">
        <f>100-(F233/D233)*100</f>
        <v>6.559297803329599</v>
      </c>
      <c r="F233" s="21">
        <f>SUM(D233-8.53404)</f>
        <v>121.57195999999999</v>
      </c>
      <c r="G233" s="21">
        <v>116.253</v>
      </c>
      <c r="H233" s="3"/>
    </row>
    <row r="234" spans="1:8" s="9" customFormat="1" ht="74.25" customHeight="1">
      <c r="A234" s="28">
        <v>150101</v>
      </c>
      <c r="B234" s="1" t="s">
        <v>177</v>
      </c>
      <c r="C234" s="1" t="s">
        <v>425</v>
      </c>
      <c r="D234" s="21">
        <v>214.529</v>
      </c>
      <c r="E234" s="22">
        <f>100-(F234/D234)*100</f>
        <v>6.812906413585111</v>
      </c>
      <c r="F234" s="21">
        <f>SUM(D234-14.61566)</f>
        <v>199.91334</v>
      </c>
      <c r="G234" s="21">
        <v>180.954</v>
      </c>
      <c r="H234" s="3"/>
    </row>
    <row r="235" spans="1:8" s="9" customFormat="1" ht="37.5" customHeight="1">
      <c r="A235" s="107">
        <v>150101</v>
      </c>
      <c r="B235" s="104" t="s">
        <v>177</v>
      </c>
      <c r="C235" s="1" t="s">
        <v>447</v>
      </c>
      <c r="D235" s="21">
        <v>47.312</v>
      </c>
      <c r="E235" s="22">
        <f>100-(F235/D235)*100</f>
        <v>11.689042948934741</v>
      </c>
      <c r="F235" s="21">
        <f>SUM(D235-5.53032)</f>
        <v>41.781679999999994</v>
      </c>
      <c r="G235" s="21">
        <f>40.59+0.653</f>
        <v>41.243</v>
      </c>
      <c r="H235" s="106"/>
    </row>
    <row r="236" spans="1:8" s="9" customFormat="1" ht="20.25" customHeight="1">
      <c r="A236" s="107"/>
      <c r="B236" s="104"/>
      <c r="C236" s="1" t="s">
        <v>138</v>
      </c>
      <c r="D236" s="21"/>
      <c r="E236" s="22"/>
      <c r="F236" s="21"/>
      <c r="G236" s="21">
        <v>40.59</v>
      </c>
      <c r="H236" s="106"/>
    </row>
    <row r="237" spans="1:8" s="9" customFormat="1" ht="36.75" customHeight="1">
      <c r="A237" s="107">
        <v>150101</v>
      </c>
      <c r="B237" s="104" t="s">
        <v>177</v>
      </c>
      <c r="C237" s="1" t="s">
        <v>16</v>
      </c>
      <c r="D237" s="21">
        <v>88.917</v>
      </c>
      <c r="E237" s="22">
        <f>100-(F237/D237)*100</f>
        <v>8.763667240235279</v>
      </c>
      <c r="F237" s="21">
        <f>SUM(D237-7.79239)</f>
        <v>81.12461</v>
      </c>
      <c r="G237" s="21">
        <f>76.841+1.243</f>
        <v>78.08399999999999</v>
      </c>
      <c r="H237" s="106"/>
    </row>
    <row r="238" spans="1:8" s="9" customFormat="1" ht="21" customHeight="1">
      <c r="A238" s="107"/>
      <c r="B238" s="104"/>
      <c r="C238" s="1" t="s">
        <v>138</v>
      </c>
      <c r="D238" s="21"/>
      <c r="E238" s="22"/>
      <c r="F238" s="21"/>
      <c r="G238" s="21">
        <v>76.841</v>
      </c>
      <c r="H238" s="106"/>
    </row>
    <row r="239" spans="1:8" s="9" customFormat="1" ht="54.75" customHeight="1">
      <c r="A239" s="28">
        <v>150101</v>
      </c>
      <c r="B239" s="1" t="s">
        <v>177</v>
      </c>
      <c r="C239" s="1" t="s">
        <v>426</v>
      </c>
      <c r="D239" s="21">
        <v>167.602</v>
      </c>
      <c r="E239" s="22">
        <f>100-(F239/D239)*100</f>
        <v>0</v>
      </c>
      <c r="F239" s="21">
        <f>SUM(D239)</f>
        <v>167.602</v>
      </c>
      <c r="G239" s="21">
        <v>161.245</v>
      </c>
      <c r="H239" s="3"/>
    </row>
    <row r="240" spans="1:8" s="11" customFormat="1" ht="37.5">
      <c r="A240" s="28">
        <v>150101</v>
      </c>
      <c r="B240" s="1" t="s">
        <v>177</v>
      </c>
      <c r="C240" s="1" t="s">
        <v>377</v>
      </c>
      <c r="D240" s="21">
        <v>50.891</v>
      </c>
      <c r="E240" s="22">
        <f>100-(F240/D240)*100</f>
        <v>0</v>
      </c>
      <c r="F240" s="21">
        <f>SUM(D240)</f>
        <v>50.891</v>
      </c>
      <c r="G240" s="21">
        <v>50.891</v>
      </c>
      <c r="H240" s="3"/>
    </row>
    <row r="241" spans="1:8" s="9" customFormat="1" ht="35.25" customHeight="1">
      <c r="A241" s="107">
        <v>150101</v>
      </c>
      <c r="B241" s="104" t="s">
        <v>177</v>
      </c>
      <c r="C241" s="1" t="s">
        <v>378</v>
      </c>
      <c r="D241" s="21">
        <v>74.116</v>
      </c>
      <c r="E241" s="22">
        <f>100-(F241/D241)*100</f>
        <v>0</v>
      </c>
      <c r="F241" s="21">
        <f>SUM(D241)</f>
        <v>74.116</v>
      </c>
      <c r="G241" s="21">
        <v>74.116</v>
      </c>
      <c r="H241" s="106"/>
    </row>
    <row r="242" spans="1:8" s="9" customFormat="1" ht="20.25" customHeight="1">
      <c r="A242" s="107"/>
      <c r="B242" s="104"/>
      <c r="C242" s="1" t="s">
        <v>138</v>
      </c>
      <c r="D242" s="21"/>
      <c r="E242" s="22"/>
      <c r="F242" s="21"/>
      <c r="G242" s="21">
        <v>5.679</v>
      </c>
      <c r="H242" s="106"/>
    </row>
    <row r="243" spans="1:8" s="11" customFormat="1" ht="60" customHeight="1">
      <c r="A243" s="28">
        <v>150101</v>
      </c>
      <c r="B243" s="1" t="s">
        <v>177</v>
      </c>
      <c r="C243" s="1" t="s">
        <v>379</v>
      </c>
      <c r="D243" s="21">
        <v>346.6</v>
      </c>
      <c r="E243" s="22">
        <f>100-(F243/D243)*100</f>
        <v>0</v>
      </c>
      <c r="F243" s="21">
        <f>SUM(D243)</f>
        <v>346.6</v>
      </c>
      <c r="G243" s="21">
        <v>346.6</v>
      </c>
      <c r="H243" s="3"/>
    </row>
    <row r="244" spans="1:8" s="9" customFormat="1" ht="37.5" customHeight="1">
      <c r="A244" s="107">
        <v>150101</v>
      </c>
      <c r="B244" s="104" t="s">
        <v>177</v>
      </c>
      <c r="C244" s="1" t="s">
        <v>448</v>
      </c>
      <c r="D244" s="21">
        <v>159.508</v>
      </c>
      <c r="E244" s="22">
        <f>100-(F244/D244)*100</f>
        <v>0</v>
      </c>
      <c r="F244" s="21">
        <f>SUM(D244)</f>
        <v>159.508</v>
      </c>
      <c r="G244" s="21">
        <f>156.014+2.37</f>
        <v>158.38400000000001</v>
      </c>
      <c r="H244" s="106"/>
    </row>
    <row r="245" spans="1:8" s="9" customFormat="1" ht="18.75" customHeight="1">
      <c r="A245" s="107"/>
      <c r="B245" s="104"/>
      <c r="C245" s="1" t="s">
        <v>138</v>
      </c>
      <c r="D245" s="21"/>
      <c r="E245" s="22"/>
      <c r="F245" s="21"/>
      <c r="G245" s="21">
        <v>156.014</v>
      </c>
      <c r="H245" s="106"/>
    </row>
    <row r="246" spans="1:8" s="9" customFormat="1" ht="59.25" customHeight="1">
      <c r="A246" s="107">
        <v>150101</v>
      </c>
      <c r="B246" s="104" t="s">
        <v>177</v>
      </c>
      <c r="C246" s="1" t="s">
        <v>449</v>
      </c>
      <c r="D246" s="21">
        <v>176.096</v>
      </c>
      <c r="E246" s="22">
        <f>100-(F246/D246)*100</f>
        <v>94.06358463565329</v>
      </c>
      <c r="F246" s="21">
        <f>SUM(D246-165.64221)</f>
        <v>10.453789999999998</v>
      </c>
      <c r="G246" s="21">
        <f>0.852+2.477</f>
        <v>3.3289999999999997</v>
      </c>
      <c r="H246" s="106"/>
    </row>
    <row r="247" spans="1:8" s="9" customFormat="1" ht="21.75" customHeight="1">
      <c r="A247" s="107"/>
      <c r="B247" s="104"/>
      <c r="C247" s="1" t="s">
        <v>138</v>
      </c>
      <c r="D247" s="21"/>
      <c r="E247" s="22"/>
      <c r="F247" s="21"/>
      <c r="G247" s="21">
        <v>0.852</v>
      </c>
      <c r="H247" s="106"/>
    </row>
    <row r="248" spans="1:8" s="11" customFormat="1" ht="56.25">
      <c r="A248" s="28">
        <v>150101</v>
      </c>
      <c r="B248" s="1" t="s">
        <v>177</v>
      </c>
      <c r="C248" s="1" t="s">
        <v>380</v>
      </c>
      <c r="D248" s="21">
        <v>96.1</v>
      </c>
      <c r="E248" s="22">
        <f>100-(F248/D248)*100</f>
        <v>0</v>
      </c>
      <c r="F248" s="21">
        <f>SUM(D248)</f>
        <v>96.1</v>
      </c>
      <c r="G248" s="21">
        <f>96.1</f>
        <v>96.1</v>
      </c>
      <c r="H248" s="3"/>
    </row>
    <row r="249" spans="1:8" s="11" customFormat="1" ht="37.5">
      <c r="A249" s="28">
        <v>150101</v>
      </c>
      <c r="B249" s="1" t="s">
        <v>177</v>
      </c>
      <c r="C249" s="1" t="s">
        <v>381</v>
      </c>
      <c r="D249" s="21">
        <v>94.954</v>
      </c>
      <c r="E249" s="22">
        <f>100-(F249/D249)*100</f>
        <v>0</v>
      </c>
      <c r="F249" s="21">
        <f>SUM(D249)</f>
        <v>94.954</v>
      </c>
      <c r="G249" s="21">
        <f>94.954</f>
        <v>94.954</v>
      </c>
      <c r="H249" s="3"/>
    </row>
    <row r="250" spans="1:8" s="11" customFormat="1" ht="44.25" customHeight="1">
      <c r="A250" s="28">
        <v>150101</v>
      </c>
      <c r="B250" s="1" t="s">
        <v>177</v>
      </c>
      <c r="C250" s="1" t="s">
        <v>382</v>
      </c>
      <c r="D250" s="21">
        <v>72.478</v>
      </c>
      <c r="E250" s="22">
        <f>100-(F250/D250)*100</f>
        <v>0</v>
      </c>
      <c r="F250" s="21">
        <f>SUM(D250)</f>
        <v>72.478</v>
      </c>
      <c r="G250" s="21">
        <f>79.01-6.532</f>
        <v>72.47800000000001</v>
      </c>
      <c r="H250" s="3"/>
    </row>
    <row r="251" spans="1:8" s="11" customFormat="1" ht="36.75" customHeight="1">
      <c r="A251" s="28">
        <v>150101</v>
      </c>
      <c r="B251" s="1" t="s">
        <v>177</v>
      </c>
      <c r="C251" s="1" t="s">
        <v>383</v>
      </c>
      <c r="D251" s="21">
        <v>87.664</v>
      </c>
      <c r="E251" s="22">
        <f>100-(F251/D251)*100</f>
        <v>0</v>
      </c>
      <c r="F251" s="21">
        <f>SUM(D251)</f>
        <v>87.664</v>
      </c>
      <c r="G251" s="21">
        <f>87.664</f>
        <v>87.664</v>
      </c>
      <c r="H251" s="3"/>
    </row>
    <row r="252" spans="1:8" s="9" customFormat="1" ht="37.5">
      <c r="A252" s="107">
        <v>150101</v>
      </c>
      <c r="B252" s="104" t="s">
        <v>177</v>
      </c>
      <c r="C252" s="1" t="s">
        <v>384</v>
      </c>
      <c r="D252" s="21">
        <v>220.506</v>
      </c>
      <c r="E252" s="22">
        <f>100-(F252/D252)*100</f>
        <v>4.262627774300924</v>
      </c>
      <c r="F252" s="21">
        <f>SUM(D252-9.39935)</f>
        <v>211.10665</v>
      </c>
      <c r="G252" s="21">
        <f>211.107</f>
        <v>211.107</v>
      </c>
      <c r="H252" s="106"/>
    </row>
    <row r="253" spans="1:8" s="9" customFormat="1" ht="27" customHeight="1">
      <c r="A253" s="107"/>
      <c r="B253" s="104"/>
      <c r="C253" s="1" t="s">
        <v>138</v>
      </c>
      <c r="D253" s="21"/>
      <c r="E253" s="22"/>
      <c r="F253" s="21"/>
      <c r="G253" s="21">
        <v>1.746</v>
      </c>
      <c r="H253" s="106"/>
    </row>
    <row r="254" spans="1:8" s="9" customFormat="1" ht="55.5" customHeight="1">
      <c r="A254" s="107">
        <v>150101</v>
      </c>
      <c r="B254" s="104" t="s">
        <v>177</v>
      </c>
      <c r="C254" s="1" t="s">
        <v>385</v>
      </c>
      <c r="D254" s="21">
        <v>469.135</v>
      </c>
      <c r="E254" s="22">
        <f>100-(F254/D254)*100</f>
        <v>0</v>
      </c>
      <c r="F254" s="21">
        <f>SUM(D254)</f>
        <v>469.135</v>
      </c>
      <c r="G254" s="21">
        <v>469.135</v>
      </c>
      <c r="H254" s="106"/>
    </row>
    <row r="255" spans="1:8" s="9" customFormat="1" ht="22.5" customHeight="1">
      <c r="A255" s="107"/>
      <c r="B255" s="104"/>
      <c r="C255" s="1" t="s">
        <v>138</v>
      </c>
      <c r="D255" s="21"/>
      <c r="E255" s="22"/>
      <c r="F255" s="21"/>
      <c r="G255" s="21">
        <v>16.39</v>
      </c>
      <c r="H255" s="106"/>
    </row>
    <row r="256" spans="1:8" s="9" customFormat="1" ht="36" customHeight="1">
      <c r="A256" s="107">
        <v>150101</v>
      </c>
      <c r="B256" s="104" t="s">
        <v>177</v>
      </c>
      <c r="C256" s="1" t="s">
        <v>386</v>
      </c>
      <c r="D256" s="21">
        <v>53.803</v>
      </c>
      <c r="E256" s="22">
        <f>100-(F256/D256)*100</f>
        <v>8.473021950448853</v>
      </c>
      <c r="F256" s="21">
        <f>SUM(D256-4.55874)</f>
        <v>49.24426</v>
      </c>
      <c r="G256" s="21">
        <f>49.244</f>
        <v>49.244</v>
      </c>
      <c r="H256" s="106"/>
    </row>
    <row r="257" spans="1:8" s="9" customFormat="1" ht="27" customHeight="1">
      <c r="A257" s="107"/>
      <c r="B257" s="104"/>
      <c r="C257" s="1" t="s">
        <v>138</v>
      </c>
      <c r="D257" s="21"/>
      <c r="E257" s="22"/>
      <c r="F257" s="21"/>
      <c r="G257" s="21">
        <v>1.746</v>
      </c>
      <c r="H257" s="106"/>
    </row>
    <row r="258" spans="1:8" s="9" customFormat="1" ht="38.25" customHeight="1">
      <c r="A258" s="107">
        <v>150101</v>
      </c>
      <c r="B258" s="104" t="s">
        <v>177</v>
      </c>
      <c r="C258" s="1" t="s">
        <v>387</v>
      </c>
      <c r="D258" s="21">
        <v>113.424</v>
      </c>
      <c r="E258" s="22">
        <f>100-(F258/D258)*100</f>
        <v>0</v>
      </c>
      <c r="F258" s="21">
        <f>SUM(D258)</f>
        <v>113.424</v>
      </c>
      <c r="G258" s="21">
        <f>113.424</f>
        <v>113.424</v>
      </c>
      <c r="H258" s="106"/>
    </row>
    <row r="259" spans="1:8" s="9" customFormat="1" ht="28.5" customHeight="1">
      <c r="A259" s="107"/>
      <c r="B259" s="104"/>
      <c r="C259" s="1" t="s">
        <v>138</v>
      </c>
      <c r="D259" s="21"/>
      <c r="E259" s="22"/>
      <c r="F259" s="21"/>
      <c r="G259" s="21">
        <v>6.226</v>
      </c>
      <c r="H259" s="106"/>
    </row>
    <row r="260" spans="1:8" s="11" customFormat="1" ht="37.5">
      <c r="A260" s="28">
        <v>150101</v>
      </c>
      <c r="B260" s="1" t="s">
        <v>177</v>
      </c>
      <c r="C260" s="1" t="s">
        <v>388</v>
      </c>
      <c r="D260" s="21">
        <v>72.089</v>
      </c>
      <c r="E260" s="22">
        <f>100-(F260/D260)*100</f>
        <v>0</v>
      </c>
      <c r="F260" s="21">
        <f>SUM(D260)</f>
        <v>72.089</v>
      </c>
      <c r="G260" s="21">
        <f>72.089</f>
        <v>72.089</v>
      </c>
      <c r="H260" s="3"/>
    </row>
    <row r="261" spans="1:8" s="9" customFormat="1" ht="37.5">
      <c r="A261" s="107">
        <v>150101</v>
      </c>
      <c r="B261" s="104" t="s">
        <v>177</v>
      </c>
      <c r="C261" s="1" t="s">
        <v>389</v>
      </c>
      <c r="D261" s="21">
        <v>72.216</v>
      </c>
      <c r="E261" s="22">
        <f>100-(F261/D261)*100</f>
        <v>7.401268416971305</v>
      </c>
      <c r="F261" s="21">
        <f>SUM(D261-5.3449)</f>
        <v>66.8711</v>
      </c>
      <c r="G261" s="21">
        <f>70.47-3.599-0.045</f>
        <v>66.826</v>
      </c>
      <c r="H261" s="106"/>
    </row>
    <row r="262" spans="1:8" s="9" customFormat="1" ht="24.75" customHeight="1">
      <c r="A262" s="107"/>
      <c r="B262" s="104"/>
      <c r="C262" s="1" t="s">
        <v>138</v>
      </c>
      <c r="D262" s="21"/>
      <c r="E262" s="22"/>
      <c r="F262" s="21"/>
      <c r="G262" s="21">
        <v>1.746</v>
      </c>
      <c r="H262" s="106"/>
    </row>
    <row r="263" spans="1:8" s="81" customFormat="1" ht="37.5">
      <c r="A263" s="28">
        <v>150101</v>
      </c>
      <c r="B263" s="1" t="s">
        <v>177</v>
      </c>
      <c r="C263" s="1" t="s">
        <v>390</v>
      </c>
      <c r="D263" s="21">
        <v>31.35</v>
      </c>
      <c r="E263" s="22">
        <f>100-(F263/D263)*100</f>
        <v>0</v>
      </c>
      <c r="F263" s="21">
        <f>SUM(D263)</f>
        <v>31.35</v>
      </c>
      <c r="G263" s="21">
        <f>31.35</f>
        <v>31.35</v>
      </c>
      <c r="H263" s="34"/>
    </row>
    <row r="264" spans="1:8" s="81" customFormat="1" ht="39.75" customHeight="1">
      <c r="A264" s="28">
        <v>150101</v>
      </c>
      <c r="B264" s="1" t="s">
        <v>177</v>
      </c>
      <c r="C264" s="41" t="s">
        <v>29</v>
      </c>
      <c r="D264" s="21">
        <v>10</v>
      </c>
      <c r="E264" s="22">
        <f>100-(F264/D264)*100</f>
        <v>0</v>
      </c>
      <c r="F264" s="21">
        <v>10</v>
      </c>
      <c r="G264" s="21">
        <v>10</v>
      </c>
      <c r="H264" s="34"/>
    </row>
    <row r="265" spans="1:8" ht="61.5" customHeight="1">
      <c r="A265" s="105" t="s">
        <v>178</v>
      </c>
      <c r="B265" s="104" t="s">
        <v>177</v>
      </c>
      <c r="C265" s="1" t="s">
        <v>450</v>
      </c>
      <c r="D265" s="21">
        <v>3167.064</v>
      </c>
      <c r="E265" s="22">
        <f>100-(F265/D265)*100</f>
        <v>0</v>
      </c>
      <c r="F265" s="21">
        <f>SUM(D265)</f>
        <v>3167.064</v>
      </c>
      <c r="G265" s="21">
        <f>500+G266</f>
        <v>683.802</v>
      </c>
      <c r="H265" s="106" t="s">
        <v>180</v>
      </c>
    </row>
    <row r="266" spans="1:8" s="57" customFormat="1" ht="24.75" customHeight="1">
      <c r="A266" s="105"/>
      <c r="B266" s="104"/>
      <c r="C266" s="1" t="s">
        <v>138</v>
      </c>
      <c r="D266" s="21"/>
      <c r="E266" s="22"/>
      <c r="F266" s="21"/>
      <c r="G266" s="21">
        <v>183.802</v>
      </c>
      <c r="H266" s="106"/>
    </row>
    <row r="267" spans="1:8" s="9" customFormat="1" ht="60" customHeight="1">
      <c r="A267" s="107">
        <v>150101</v>
      </c>
      <c r="B267" s="104" t="s">
        <v>177</v>
      </c>
      <c r="C267" s="1" t="s">
        <v>391</v>
      </c>
      <c r="D267" s="21">
        <v>911.047</v>
      </c>
      <c r="E267" s="22">
        <f>100-(F267/D267)*100</f>
        <v>0</v>
      </c>
      <c r="F267" s="21">
        <f>SUM(D267)</f>
        <v>911.047</v>
      </c>
      <c r="G267" s="21">
        <f>911.047</f>
        <v>911.047</v>
      </c>
      <c r="H267" s="106"/>
    </row>
    <row r="268" spans="1:8" s="57" customFormat="1" ht="21.75" customHeight="1">
      <c r="A268" s="107"/>
      <c r="B268" s="104"/>
      <c r="C268" s="1" t="s">
        <v>138</v>
      </c>
      <c r="D268" s="21"/>
      <c r="E268" s="22"/>
      <c r="F268" s="21"/>
      <c r="G268" s="21">
        <v>23.166</v>
      </c>
      <c r="H268" s="106"/>
    </row>
    <row r="269" spans="1:8" s="9" customFormat="1" ht="62.25" customHeight="1">
      <c r="A269" s="107">
        <v>150101</v>
      </c>
      <c r="B269" s="104" t="s">
        <v>177</v>
      </c>
      <c r="C269" s="1" t="s">
        <v>427</v>
      </c>
      <c r="D269" s="21">
        <v>520.135</v>
      </c>
      <c r="E269" s="22">
        <f>100-(F269/D269)*100</f>
        <v>0</v>
      </c>
      <c r="F269" s="21">
        <f>SUM(D269)</f>
        <v>520.135</v>
      </c>
      <c r="G269" s="21">
        <f>520.135</f>
        <v>520.135</v>
      </c>
      <c r="H269" s="106"/>
    </row>
    <row r="270" spans="1:8" s="57" customFormat="1" ht="20.25" customHeight="1">
      <c r="A270" s="107"/>
      <c r="B270" s="104"/>
      <c r="C270" s="1" t="s">
        <v>138</v>
      </c>
      <c r="D270" s="21"/>
      <c r="E270" s="22"/>
      <c r="F270" s="21"/>
      <c r="G270" s="21">
        <v>20.552</v>
      </c>
      <c r="H270" s="106"/>
    </row>
    <row r="271" spans="1:8" s="9" customFormat="1" ht="39.75" customHeight="1">
      <c r="A271" s="107">
        <v>150101</v>
      </c>
      <c r="B271" s="104" t="s">
        <v>177</v>
      </c>
      <c r="C271" s="1" t="s">
        <v>392</v>
      </c>
      <c r="D271" s="21">
        <v>36</v>
      </c>
      <c r="E271" s="22">
        <f>100-(F271/D271)*100</f>
        <v>0</v>
      </c>
      <c r="F271" s="21">
        <f>SUM(D271)</f>
        <v>36</v>
      </c>
      <c r="G271" s="21">
        <v>36</v>
      </c>
      <c r="H271" s="106"/>
    </row>
    <row r="272" spans="1:8" s="9" customFormat="1" ht="21.75" customHeight="1">
      <c r="A272" s="107"/>
      <c r="B272" s="104"/>
      <c r="C272" s="1" t="s">
        <v>138</v>
      </c>
      <c r="D272" s="35"/>
      <c r="E272" s="36"/>
      <c r="F272" s="35"/>
      <c r="G272" s="21">
        <v>7.407</v>
      </c>
      <c r="H272" s="106"/>
    </row>
    <row r="273" spans="1:8" ht="57.75" customHeight="1">
      <c r="A273" s="105" t="s">
        <v>178</v>
      </c>
      <c r="B273" s="104" t="s">
        <v>177</v>
      </c>
      <c r="C273" s="1" t="s">
        <v>393</v>
      </c>
      <c r="D273" s="37">
        <v>89.803</v>
      </c>
      <c r="E273" s="36">
        <f>100-(F273/D273)*100</f>
        <v>0</v>
      </c>
      <c r="F273" s="37">
        <f>SUM(D273)</f>
        <v>89.803</v>
      </c>
      <c r="G273" s="21">
        <v>89.803</v>
      </c>
      <c r="H273" s="106"/>
    </row>
    <row r="274" spans="1:8" s="9" customFormat="1" ht="21.75" customHeight="1">
      <c r="A274" s="105"/>
      <c r="B274" s="104"/>
      <c r="C274" s="1" t="s">
        <v>138</v>
      </c>
      <c r="D274" s="35"/>
      <c r="E274" s="36"/>
      <c r="F274" s="35"/>
      <c r="G274" s="21">
        <v>9.829</v>
      </c>
      <c r="H274" s="106"/>
    </row>
    <row r="275" spans="1:8" ht="75" customHeight="1">
      <c r="A275" s="23" t="s">
        <v>178</v>
      </c>
      <c r="B275" s="1" t="s">
        <v>177</v>
      </c>
      <c r="C275" s="1" t="s">
        <v>428</v>
      </c>
      <c r="D275" s="21">
        <v>560</v>
      </c>
      <c r="E275" s="22">
        <f>100-(F275/D275)*100</f>
        <v>8.92857142857143</v>
      </c>
      <c r="F275" s="21">
        <f>D275-50</f>
        <v>510</v>
      </c>
      <c r="G275" s="21">
        <v>8.454</v>
      </c>
      <c r="H275" s="3" t="s">
        <v>180</v>
      </c>
    </row>
    <row r="276" spans="1:8" ht="57" customHeight="1">
      <c r="A276" s="23" t="s">
        <v>178</v>
      </c>
      <c r="B276" s="1" t="s">
        <v>177</v>
      </c>
      <c r="C276" s="1" t="s">
        <v>429</v>
      </c>
      <c r="D276" s="21">
        <v>1802.026</v>
      </c>
      <c r="E276" s="22">
        <f>100-(F276/D276)*100</f>
        <v>73.00772741347794</v>
      </c>
      <c r="F276" s="21">
        <f>SUM(D276-47.9736-28.99732-1238.64731)</f>
        <v>486.40777</v>
      </c>
      <c r="G276" s="21">
        <v>27</v>
      </c>
      <c r="H276" s="3" t="s">
        <v>180</v>
      </c>
    </row>
    <row r="277" spans="1:9" s="57" customFormat="1" ht="60" customHeight="1">
      <c r="A277" s="23" t="s">
        <v>178</v>
      </c>
      <c r="B277" s="1" t="s">
        <v>177</v>
      </c>
      <c r="C277" s="1" t="s">
        <v>221</v>
      </c>
      <c r="D277" s="21">
        <v>1500</v>
      </c>
      <c r="E277" s="22">
        <f>100-(F277/D277)*100</f>
        <v>9.881311999999994</v>
      </c>
      <c r="F277" s="21">
        <f>SUM(D277-148.21968)</f>
        <v>1351.78032</v>
      </c>
      <c r="G277" s="21">
        <f>1351.78-500+220.466</f>
        <v>1072.246</v>
      </c>
      <c r="H277" s="3" t="s">
        <v>180</v>
      </c>
      <c r="I277" s="5"/>
    </row>
    <row r="278" spans="1:8" ht="38.25" customHeight="1">
      <c r="A278" s="105" t="s">
        <v>178</v>
      </c>
      <c r="B278" s="109" t="s">
        <v>177</v>
      </c>
      <c r="C278" s="24" t="s">
        <v>224</v>
      </c>
      <c r="D278" s="39">
        <v>1200</v>
      </c>
      <c r="E278" s="22">
        <f>100-(F278/D278)*100</f>
        <v>3.2348108333333414</v>
      </c>
      <c r="F278" s="39">
        <f>SUM(D278-38.81773)</f>
        <v>1161.18227</v>
      </c>
      <c r="G278" s="39">
        <f>38.025+G279</f>
        <v>85</v>
      </c>
      <c r="H278" s="106" t="s">
        <v>180</v>
      </c>
    </row>
    <row r="279" spans="1:8" s="57" customFormat="1" ht="21.75" customHeight="1">
      <c r="A279" s="105"/>
      <c r="B279" s="109"/>
      <c r="C279" s="1" t="s">
        <v>138</v>
      </c>
      <c r="D279" s="21"/>
      <c r="E279" s="22"/>
      <c r="F279" s="21"/>
      <c r="G279" s="21">
        <v>46.975</v>
      </c>
      <c r="H279" s="106"/>
    </row>
    <row r="280" spans="1:8" ht="56.25" customHeight="1">
      <c r="A280" s="23" t="s">
        <v>178</v>
      </c>
      <c r="B280" s="1" t="s">
        <v>177</v>
      </c>
      <c r="C280" s="38" t="s">
        <v>430</v>
      </c>
      <c r="D280" s="39">
        <v>19003</v>
      </c>
      <c r="E280" s="22">
        <f>100-(F280/D280)*100</f>
        <v>0.7204407725096189</v>
      </c>
      <c r="F280" s="39">
        <f>SUM(D280-136.90536)</f>
        <v>18866.09464</v>
      </c>
      <c r="G280" s="39">
        <v>96.397</v>
      </c>
      <c r="H280" s="3" t="s">
        <v>180</v>
      </c>
    </row>
    <row r="281" spans="1:8" ht="75" customHeight="1">
      <c r="A281" s="23" t="s">
        <v>178</v>
      </c>
      <c r="B281" s="1" t="s">
        <v>177</v>
      </c>
      <c r="C281" s="1" t="s">
        <v>431</v>
      </c>
      <c r="D281" s="29">
        <v>376.904</v>
      </c>
      <c r="E281" s="22">
        <f>100-(F281/D281)*100</f>
        <v>2.8818717763674613</v>
      </c>
      <c r="F281" s="2">
        <f>SUM(D281-10.86189)</f>
        <v>366.04211</v>
      </c>
      <c r="G281" s="29">
        <v>18.385</v>
      </c>
      <c r="H281" s="3" t="s">
        <v>180</v>
      </c>
    </row>
    <row r="282" spans="1:8" ht="40.5" customHeight="1">
      <c r="A282" s="105" t="s">
        <v>178</v>
      </c>
      <c r="B282" s="104" t="s">
        <v>177</v>
      </c>
      <c r="C282" s="1" t="s">
        <v>226</v>
      </c>
      <c r="D282" s="21">
        <v>6185.308</v>
      </c>
      <c r="E282" s="22">
        <f>100-(F282/D282)*100</f>
        <v>3.1958524943301114</v>
      </c>
      <c r="F282" s="21">
        <f>SUM(D282-197.67332)</f>
        <v>5987.63468</v>
      </c>
      <c r="G282" s="21">
        <f>1500+G283+4357.651-4500-1300</f>
        <v>187.63500000000022</v>
      </c>
      <c r="H282" s="106" t="s">
        <v>180</v>
      </c>
    </row>
    <row r="283" spans="1:8" s="57" customFormat="1" ht="18.75" customHeight="1">
      <c r="A283" s="105"/>
      <c r="B283" s="104"/>
      <c r="C283" s="1" t="s">
        <v>138</v>
      </c>
      <c r="D283" s="21"/>
      <c r="E283" s="22"/>
      <c r="F283" s="21"/>
      <c r="G283" s="21">
        <v>129.984</v>
      </c>
      <c r="H283" s="106"/>
    </row>
    <row r="284" spans="1:8" ht="38.25" customHeight="1">
      <c r="A284" s="105" t="s">
        <v>178</v>
      </c>
      <c r="B284" s="104" t="s">
        <v>177</v>
      </c>
      <c r="C284" s="38" t="s">
        <v>451</v>
      </c>
      <c r="D284" s="39">
        <v>224.328</v>
      </c>
      <c r="E284" s="22">
        <f>100-(F284/D284)*100</f>
        <v>12.399745016226234</v>
      </c>
      <c r="F284" s="39">
        <f>SUM(D284-27.8161)</f>
        <v>196.5119</v>
      </c>
      <c r="G284" s="39">
        <f>0.924+195.588</f>
        <v>196.512</v>
      </c>
      <c r="H284" s="106"/>
    </row>
    <row r="285" spans="1:8" ht="37.5" customHeight="1">
      <c r="A285" s="105"/>
      <c r="B285" s="104"/>
      <c r="C285" s="1" t="s">
        <v>138</v>
      </c>
      <c r="D285" s="39"/>
      <c r="E285" s="22"/>
      <c r="F285" s="39"/>
      <c r="G285" s="39">
        <v>0.924</v>
      </c>
      <c r="H285" s="106"/>
    </row>
    <row r="286" spans="1:8" ht="40.5" customHeight="1">
      <c r="A286" s="105" t="s">
        <v>178</v>
      </c>
      <c r="B286" s="104" t="s">
        <v>177</v>
      </c>
      <c r="C286" s="38" t="s">
        <v>452</v>
      </c>
      <c r="D286" s="39">
        <v>206.191</v>
      </c>
      <c r="E286" s="22">
        <f>100-(F286/D286)*100</f>
        <v>12.05416337279513</v>
      </c>
      <c r="F286" s="39">
        <f>SUM(D286-24.8546)</f>
        <v>181.3364</v>
      </c>
      <c r="G286" s="39">
        <f>0.924+180.412</f>
        <v>181.336</v>
      </c>
      <c r="H286" s="106"/>
    </row>
    <row r="287" spans="1:8" ht="39.75" customHeight="1">
      <c r="A287" s="105"/>
      <c r="B287" s="104"/>
      <c r="C287" s="1" t="s">
        <v>138</v>
      </c>
      <c r="D287" s="39"/>
      <c r="E287" s="22"/>
      <c r="F287" s="39"/>
      <c r="G287" s="39">
        <v>0.924</v>
      </c>
      <c r="H287" s="106"/>
    </row>
    <row r="288" spans="1:8" ht="39" customHeight="1">
      <c r="A288" s="105" t="s">
        <v>178</v>
      </c>
      <c r="B288" s="104" t="s">
        <v>177</v>
      </c>
      <c r="C288" s="38" t="s">
        <v>453</v>
      </c>
      <c r="D288" s="39">
        <v>173.866</v>
      </c>
      <c r="E288" s="22">
        <f>100-(F288/D288)*100</f>
        <v>14.295261868335388</v>
      </c>
      <c r="F288" s="39">
        <f>SUM(D288-24.8546)</f>
        <v>149.0114</v>
      </c>
      <c r="G288" s="39">
        <f>0.924+148.087</f>
        <v>149.011</v>
      </c>
      <c r="H288" s="106"/>
    </row>
    <row r="289" spans="1:8" ht="34.5" customHeight="1">
      <c r="A289" s="105"/>
      <c r="B289" s="104"/>
      <c r="C289" s="1" t="s">
        <v>138</v>
      </c>
      <c r="D289" s="39"/>
      <c r="E289" s="22"/>
      <c r="F289" s="39"/>
      <c r="G289" s="39">
        <v>0.924</v>
      </c>
      <c r="H289" s="106"/>
    </row>
    <row r="290" spans="1:8" s="57" customFormat="1" ht="59.25" customHeight="1">
      <c r="A290" s="23" t="s">
        <v>178</v>
      </c>
      <c r="B290" s="1" t="s">
        <v>177</v>
      </c>
      <c r="C290" s="1" t="s">
        <v>432</v>
      </c>
      <c r="D290" s="21">
        <v>199.007</v>
      </c>
      <c r="E290" s="22">
        <v>0</v>
      </c>
      <c r="F290" s="21">
        <v>199.007</v>
      </c>
      <c r="G290" s="21">
        <v>24.306</v>
      </c>
      <c r="H290" s="3"/>
    </row>
    <row r="291" spans="1:8" s="57" customFormat="1" ht="42.75" customHeight="1">
      <c r="A291" s="105" t="s">
        <v>178</v>
      </c>
      <c r="B291" s="104" t="s">
        <v>177</v>
      </c>
      <c r="C291" s="1" t="s">
        <v>454</v>
      </c>
      <c r="D291" s="21">
        <v>170.506</v>
      </c>
      <c r="E291" s="22">
        <v>0</v>
      </c>
      <c r="F291" s="39">
        <v>170.506</v>
      </c>
      <c r="G291" s="21">
        <f>24.306+146.2</f>
        <v>170.506</v>
      </c>
      <c r="H291" s="106"/>
    </row>
    <row r="292" spans="1:8" ht="37.5" customHeight="1">
      <c r="A292" s="105"/>
      <c r="B292" s="104"/>
      <c r="C292" s="1" t="s">
        <v>138</v>
      </c>
      <c r="D292" s="39"/>
      <c r="E292" s="22"/>
      <c r="F292" s="39"/>
      <c r="G292" s="39">
        <v>24.306</v>
      </c>
      <c r="H292" s="106"/>
    </row>
    <row r="293" spans="1:9" s="57" customFormat="1" ht="75.75" customHeight="1">
      <c r="A293" s="105" t="s">
        <v>178</v>
      </c>
      <c r="B293" s="104" t="s">
        <v>177</v>
      </c>
      <c r="C293" s="24" t="s">
        <v>225</v>
      </c>
      <c r="D293" s="21">
        <v>999.767</v>
      </c>
      <c r="E293" s="22">
        <f>100-(F293/D293)*100</f>
        <v>0</v>
      </c>
      <c r="F293" s="21">
        <f>SUM(D293)</f>
        <v>999.767</v>
      </c>
      <c r="G293" s="21">
        <f>96.89+G294+834.719-900</f>
        <v>99.76700000000005</v>
      </c>
      <c r="H293" s="106" t="s">
        <v>180</v>
      </c>
      <c r="I293" s="5"/>
    </row>
    <row r="294" spans="1:8" s="57" customFormat="1" ht="36" customHeight="1">
      <c r="A294" s="105"/>
      <c r="B294" s="104"/>
      <c r="C294" s="1" t="s">
        <v>138</v>
      </c>
      <c r="D294" s="21"/>
      <c r="E294" s="22"/>
      <c r="F294" s="21"/>
      <c r="G294" s="21">
        <v>68.158</v>
      </c>
      <c r="H294" s="106"/>
    </row>
    <row r="295" spans="1:8" ht="45" customHeight="1">
      <c r="A295" s="105" t="s">
        <v>178</v>
      </c>
      <c r="B295" s="104" t="s">
        <v>177</v>
      </c>
      <c r="C295" s="1" t="s">
        <v>15</v>
      </c>
      <c r="D295" s="39">
        <v>893.279</v>
      </c>
      <c r="E295" s="22">
        <f>100-(F295/D295)*100</f>
        <v>7.976462001233671</v>
      </c>
      <c r="F295" s="39">
        <f>SUM(D295-71.25206)</f>
        <v>822.02694</v>
      </c>
      <c r="G295" s="39">
        <f>45.357+776.67-744.029</f>
        <v>77.99799999999993</v>
      </c>
      <c r="H295" s="106" t="s">
        <v>180</v>
      </c>
    </row>
    <row r="296" spans="1:8" s="57" customFormat="1" ht="41.25" customHeight="1">
      <c r="A296" s="105"/>
      <c r="B296" s="104"/>
      <c r="C296" s="1" t="s">
        <v>138</v>
      </c>
      <c r="D296" s="21"/>
      <c r="E296" s="22"/>
      <c r="F296" s="21"/>
      <c r="G296" s="21">
        <v>45.357</v>
      </c>
      <c r="H296" s="106"/>
    </row>
    <row r="297" spans="1:8" ht="55.5" customHeight="1">
      <c r="A297" s="105" t="s">
        <v>178</v>
      </c>
      <c r="B297" s="104" t="s">
        <v>177</v>
      </c>
      <c r="C297" s="1" t="s">
        <v>207</v>
      </c>
      <c r="D297" s="21">
        <v>307.928</v>
      </c>
      <c r="E297" s="22">
        <f>100-(F297/D297)*100</f>
        <v>4.504582240004169</v>
      </c>
      <c r="F297" s="21">
        <f>D297-13.87087</f>
        <v>294.05713</v>
      </c>
      <c r="G297" s="21">
        <f>132.718+G298+3.22</f>
        <v>294.057</v>
      </c>
      <c r="H297" s="106" t="s">
        <v>180</v>
      </c>
    </row>
    <row r="298" spans="1:8" s="57" customFormat="1" ht="35.25" customHeight="1">
      <c r="A298" s="105"/>
      <c r="B298" s="104"/>
      <c r="C298" s="1" t="s">
        <v>138</v>
      </c>
      <c r="D298" s="21"/>
      <c r="E298" s="22"/>
      <c r="F298" s="21"/>
      <c r="G298" s="21">
        <f>161.339-3.22</f>
        <v>158.119</v>
      </c>
      <c r="H298" s="106"/>
    </row>
    <row r="299" spans="1:8" ht="75.75" customHeight="1">
      <c r="A299" s="23" t="s">
        <v>178</v>
      </c>
      <c r="B299" s="1" t="s">
        <v>177</v>
      </c>
      <c r="C299" s="1" t="s">
        <v>433</v>
      </c>
      <c r="D299" s="39">
        <v>999.431</v>
      </c>
      <c r="E299" s="22">
        <f>100-(F299/D299)*100</f>
        <v>0</v>
      </c>
      <c r="F299" s="39">
        <f>SUM(D299)</f>
        <v>999.431</v>
      </c>
      <c r="G299" s="39">
        <v>1.051</v>
      </c>
      <c r="H299" s="3" t="s">
        <v>180</v>
      </c>
    </row>
    <row r="300" spans="1:8" ht="76.5" customHeight="1">
      <c r="A300" s="105" t="s">
        <v>178</v>
      </c>
      <c r="B300" s="104" t="s">
        <v>177</v>
      </c>
      <c r="C300" s="1" t="s">
        <v>404</v>
      </c>
      <c r="D300" s="21">
        <v>4000</v>
      </c>
      <c r="E300" s="22">
        <f>100-(F300/D300)*100</f>
        <v>0</v>
      </c>
      <c r="F300" s="21">
        <f>D300</f>
        <v>4000</v>
      </c>
      <c r="G300" s="21">
        <f>2075.586+G301-1700</f>
        <v>500</v>
      </c>
      <c r="H300" s="106" t="s">
        <v>180</v>
      </c>
    </row>
    <row r="301" spans="1:8" s="57" customFormat="1" ht="39.75" customHeight="1">
      <c r="A301" s="105"/>
      <c r="B301" s="104"/>
      <c r="C301" s="1" t="s">
        <v>138</v>
      </c>
      <c r="D301" s="21"/>
      <c r="E301" s="22"/>
      <c r="F301" s="21"/>
      <c r="G301" s="21">
        <v>124.414</v>
      </c>
      <c r="H301" s="106"/>
    </row>
    <row r="302" spans="1:8" s="9" customFormat="1" ht="60.75" customHeight="1">
      <c r="A302" s="28">
        <v>150101</v>
      </c>
      <c r="B302" s="1" t="s">
        <v>177</v>
      </c>
      <c r="C302" s="1" t="s">
        <v>434</v>
      </c>
      <c r="D302" s="21">
        <v>194.696</v>
      </c>
      <c r="E302" s="22">
        <v>0</v>
      </c>
      <c r="F302" s="21">
        <f>SUM(D302-3.9837)</f>
        <v>190.7123</v>
      </c>
      <c r="G302" s="21">
        <v>178.666</v>
      </c>
      <c r="H302" s="3" t="s">
        <v>180</v>
      </c>
    </row>
    <row r="303" spans="1:8" ht="60" customHeight="1">
      <c r="A303" s="23" t="s">
        <v>178</v>
      </c>
      <c r="B303" s="1" t="s">
        <v>177</v>
      </c>
      <c r="C303" s="1" t="s">
        <v>220</v>
      </c>
      <c r="D303" s="21">
        <v>922.522</v>
      </c>
      <c r="E303" s="22">
        <f>100-(F303/D303)*100</f>
        <v>6.244468966593743</v>
      </c>
      <c r="F303" s="21">
        <f>SUM(D303-57.6066)</f>
        <v>864.9154000000001</v>
      </c>
      <c r="G303" s="21">
        <v>20</v>
      </c>
      <c r="H303" s="3" t="s">
        <v>180</v>
      </c>
    </row>
    <row r="304" spans="1:8" ht="57" customHeight="1">
      <c r="A304" s="105" t="s">
        <v>178</v>
      </c>
      <c r="B304" s="104" t="s">
        <v>177</v>
      </c>
      <c r="C304" s="1" t="s">
        <v>213</v>
      </c>
      <c r="D304" s="21">
        <v>14805.017</v>
      </c>
      <c r="E304" s="22">
        <f>100-(F304/D304)*100</f>
        <v>3.1047370631185345</v>
      </c>
      <c r="F304" s="21">
        <f>D304-(79.512+136.904+219.26723+23.97362)</f>
        <v>14345.36015</v>
      </c>
      <c r="G304" s="21">
        <f>117.356+G305-30</f>
        <v>87.41999999999999</v>
      </c>
      <c r="H304" s="106" t="s">
        <v>180</v>
      </c>
    </row>
    <row r="305" spans="1:8" ht="26.25" customHeight="1">
      <c r="A305" s="105"/>
      <c r="B305" s="104"/>
      <c r="C305" s="1" t="s">
        <v>138</v>
      </c>
      <c r="D305" s="21"/>
      <c r="E305" s="22"/>
      <c r="F305" s="21"/>
      <c r="G305" s="21">
        <v>0.064</v>
      </c>
      <c r="H305" s="106"/>
    </row>
    <row r="306" spans="1:8" ht="41.25" customHeight="1">
      <c r="A306" s="105" t="s">
        <v>178</v>
      </c>
      <c r="B306" s="104" t="s">
        <v>177</v>
      </c>
      <c r="C306" s="1" t="s">
        <v>214</v>
      </c>
      <c r="D306" s="21">
        <v>2489.88</v>
      </c>
      <c r="E306" s="22">
        <f>100-(F306/D306)*100</f>
        <v>61.53766326088004</v>
      </c>
      <c r="F306" s="21">
        <f>SUM(D306-98.21146-96.41545-283.54791-696.4574-357.58275)+0.001</f>
        <v>957.6660300000001</v>
      </c>
      <c r="G306" s="21">
        <f>858.08+G307</f>
        <v>957.666</v>
      </c>
      <c r="H306" s="106" t="s">
        <v>180</v>
      </c>
    </row>
    <row r="307" spans="1:8" s="57" customFormat="1" ht="24.75" customHeight="1">
      <c r="A307" s="105"/>
      <c r="B307" s="104"/>
      <c r="C307" s="1" t="s">
        <v>138</v>
      </c>
      <c r="D307" s="21"/>
      <c r="E307" s="22"/>
      <c r="F307" s="21"/>
      <c r="G307" s="21">
        <v>99.586</v>
      </c>
      <c r="H307" s="106"/>
    </row>
    <row r="308" spans="1:8" ht="39" customHeight="1">
      <c r="A308" s="23" t="s">
        <v>178</v>
      </c>
      <c r="B308" s="1" t="s">
        <v>177</v>
      </c>
      <c r="C308" s="1" t="s">
        <v>215</v>
      </c>
      <c r="D308" s="21">
        <v>8969.88</v>
      </c>
      <c r="E308" s="22">
        <f>100-(F308/D308)*100</f>
        <v>4.974288730729953</v>
      </c>
      <c r="F308" s="21">
        <f>D308-(60.3528+37.0812+318.25743+30.4963)</f>
        <v>8523.69227</v>
      </c>
      <c r="G308" s="21">
        <v>40</v>
      </c>
      <c r="H308" s="3" t="s">
        <v>180</v>
      </c>
    </row>
    <row r="309" spans="1:8" s="57" customFormat="1" ht="78" customHeight="1">
      <c r="A309" s="105" t="s">
        <v>178</v>
      </c>
      <c r="B309" s="104" t="s">
        <v>177</v>
      </c>
      <c r="C309" s="1" t="s">
        <v>218</v>
      </c>
      <c r="D309" s="21">
        <v>1217.413</v>
      </c>
      <c r="E309" s="22">
        <f>100-(F309/D309)*100</f>
        <v>3.173943435793774</v>
      </c>
      <c r="F309" s="21">
        <f>SUM(D309-38.64)</f>
        <v>1178.773</v>
      </c>
      <c r="G309" s="21">
        <f>1046.019+G310+0.741</f>
        <v>1178.773</v>
      </c>
      <c r="H309" s="106" t="s">
        <v>180</v>
      </c>
    </row>
    <row r="310" spans="1:8" s="57" customFormat="1" ht="22.5" customHeight="1">
      <c r="A310" s="105"/>
      <c r="B310" s="104"/>
      <c r="C310" s="1" t="s">
        <v>138</v>
      </c>
      <c r="D310" s="21"/>
      <c r="E310" s="22"/>
      <c r="F310" s="21"/>
      <c r="G310" s="21">
        <f>132.754-0.741</f>
        <v>132.01299999999998</v>
      </c>
      <c r="H310" s="106"/>
    </row>
    <row r="311" spans="1:8" ht="99" customHeight="1">
      <c r="A311" s="23" t="s">
        <v>178</v>
      </c>
      <c r="B311" s="1" t="s">
        <v>177</v>
      </c>
      <c r="C311" s="1" t="s">
        <v>33</v>
      </c>
      <c r="D311" s="21">
        <v>10418.873</v>
      </c>
      <c r="E311" s="22">
        <f>100-(F311/D311)*100</f>
        <v>2.8590980041699368</v>
      </c>
      <c r="F311" s="21">
        <f>D311-106.63782-184.00808-7.23989</f>
        <v>10120.98721</v>
      </c>
      <c r="G311" s="21">
        <v>49.9</v>
      </c>
      <c r="H311" s="3" t="s">
        <v>180</v>
      </c>
    </row>
    <row r="312" spans="1:8" ht="79.5" customHeight="1">
      <c r="A312" s="23" t="s">
        <v>178</v>
      </c>
      <c r="B312" s="1" t="s">
        <v>177</v>
      </c>
      <c r="C312" s="83" t="s">
        <v>264</v>
      </c>
      <c r="D312" s="21">
        <v>53.341</v>
      </c>
      <c r="E312" s="22">
        <f>100-(F312/D312)*100</f>
        <v>0</v>
      </c>
      <c r="F312" s="21">
        <f>SUM(D312)</f>
        <v>53.341</v>
      </c>
      <c r="G312" s="21">
        <v>53.341</v>
      </c>
      <c r="H312" s="3" t="s">
        <v>180</v>
      </c>
    </row>
    <row r="313" spans="1:8" ht="63" customHeight="1">
      <c r="A313" s="23" t="s">
        <v>178</v>
      </c>
      <c r="B313" s="1" t="s">
        <v>177</v>
      </c>
      <c r="C313" s="1" t="s">
        <v>217</v>
      </c>
      <c r="D313" s="21">
        <v>3268.607</v>
      </c>
      <c r="E313" s="22">
        <f>100-(F313/D313)*100</f>
        <v>61.497892221365255</v>
      </c>
      <c r="F313" s="21">
        <f>D313-169.644-100.74664-35.67428-1704.05949</f>
        <v>1258.4825899999996</v>
      </c>
      <c r="G313" s="21">
        <v>30</v>
      </c>
      <c r="H313" s="3" t="s">
        <v>180</v>
      </c>
    </row>
    <row r="314" spans="1:8" ht="39.75" customHeight="1">
      <c r="A314" s="105" t="s">
        <v>178</v>
      </c>
      <c r="B314" s="104" t="s">
        <v>177</v>
      </c>
      <c r="C314" s="1" t="s">
        <v>219</v>
      </c>
      <c r="D314" s="21">
        <v>11704.046</v>
      </c>
      <c r="E314" s="22">
        <f>100-(F314/D314)*100</f>
        <v>1.7240017682774038</v>
      </c>
      <c r="F314" s="21">
        <f>D314-83.80703-106.15176-11.81917</f>
        <v>11502.268039999999</v>
      </c>
      <c r="G314" s="21">
        <f>10+G315</f>
        <v>33.907</v>
      </c>
      <c r="H314" s="106" t="s">
        <v>180</v>
      </c>
    </row>
    <row r="315" spans="1:8" ht="22.5" customHeight="1">
      <c r="A315" s="105"/>
      <c r="B315" s="104"/>
      <c r="C315" s="1" t="s">
        <v>138</v>
      </c>
      <c r="D315" s="21"/>
      <c r="E315" s="22"/>
      <c r="F315" s="21"/>
      <c r="G315" s="21">
        <v>23.907</v>
      </c>
      <c r="H315" s="106"/>
    </row>
    <row r="316" spans="1:8" ht="56.25" customHeight="1">
      <c r="A316" s="23" t="s">
        <v>178</v>
      </c>
      <c r="B316" s="1" t="s">
        <v>177</v>
      </c>
      <c r="C316" s="1" t="s">
        <v>435</v>
      </c>
      <c r="D316" s="21">
        <v>344.158</v>
      </c>
      <c r="E316" s="22">
        <f>100-(F316/D316)*100</f>
        <v>78.11340430848621</v>
      </c>
      <c r="F316" s="21">
        <f>D316-268.29528-0.53825</f>
        <v>75.32447000000002</v>
      </c>
      <c r="G316" s="21">
        <v>46.863</v>
      </c>
      <c r="H316" s="3" t="s">
        <v>180</v>
      </c>
    </row>
    <row r="317" spans="1:8" ht="60" customHeight="1">
      <c r="A317" s="23" t="s">
        <v>178</v>
      </c>
      <c r="B317" s="1" t="s">
        <v>177</v>
      </c>
      <c r="C317" s="1" t="s">
        <v>258</v>
      </c>
      <c r="D317" s="21">
        <v>26444.077</v>
      </c>
      <c r="E317" s="22">
        <f>100-(F317/D317)*100</f>
        <v>63.246456248028615</v>
      </c>
      <c r="F317" s="21">
        <f>SUM(D317-2968.98013-13451.95099-271.10955-32.90092)</f>
        <v>9719.135410000003</v>
      </c>
      <c r="G317" s="21">
        <f>57.92+1.755</f>
        <v>59.675000000000004</v>
      </c>
      <c r="H317" s="3" t="s">
        <v>180</v>
      </c>
    </row>
    <row r="318" spans="1:8" ht="60" customHeight="1">
      <c r="A318" s="23" t="s">
        <v>178</v>
      </c>
      <c r="B318" s="1" t="s">
        <v>177</v>
      </c>
      <c r="C318" s="38" t="s">
        <v>436</v>
      </c>
      <c r="D318" s="21">
        <v>389.279</v>
      </c>
      <c r="E318" s="22">
        <f>100-(F318/D318)*100</f>
        <v>82.4145330213035</v>
      </c>
      <c r="F318" s="21">
        <f>SUM(D318-60-1.5211-259.30137)</f>
        <v>68.45652999999999</v>
      </c>
      <c r="G318" s="21">
        <f>0.654</f>
        <v>0.654</v>
      </c>
      <c r="H318" s="3" t="s">
        <v>180</v>
      </c>
    </row>
    <row r="319" spans="1:8" ht="56.25" customHeight="1">
      <c r="A319" s="23" t="s">
        <v>178</v>
      </c>
      <c r="B319" s="1" t="s">
        <v>177</v>
      </c>
      <c r="C319" s="1" t="s">
        <v>437</v>
      </c>
      <c r="D319" s="37">
        <v>200</v>
      </c>
      <c r="E319" s="36">
        <f>100-(F319/D319)*100</f>
        <v>0.24747999999999593</v>
      </c>
      <c r="F319" s="37">
        <f>SUM(D319-0.49496)</f>
        <v>199.50504</v>
      </c>
      <c r="G319" s="21">
        <v>71.42</v>
      </c>
      <c r="H319" s="3" t="s">
        <v>180</v>
      </c>
    </row>
    <row r="320" spans="1:8" ht="39" customHeight="1">
      <c r="A320" s="105" t="s">
        <v>178</v>
      </c>
      <c r="B320" s="104" t="s">
        <v>177</v>
      </c>
      <c r="C320" s="1" t="s">
        <v>227</v>
      </c>
      <c r="D320" s="21">
        <v>440.675</v>
      </c>
      <c r="E320" s="22">
        <f>100-(F320/D320)*100</f>
        <v>0</v>
      </c>
      <c r="F320" s="21">
        <f>SUM(D320)</f>
        <v>440.675</v>
      </c>
      <c r="G320" s="21">
        <f>341.31+G321-300</f>
        <v>140.675</v>
      </c>
      <c r="H320" s="106" t="s">
        <v>180</v>
      </c>
    </row>
    <row r="321" spans="1:8" s="57" customFormat="1" ht="27" customHeight="1">
      <c r="A321" s="105"/>
      <c r="B321" s="104"/>
      <c r="C321" s="1" t="s">
        <v>138</v>
      </c>
      <c r="D321" s="21"/>
      <c r="E321" s="22"/>
      <c r="F321" s="21"/>
      <c r="G321" s="21">
        <v>99.365</v>
      </c>
      <c r="H321" s="106"/>
    </row>
    <row r="322" spans="1:8" ht="38.25" customHeight="1">
      <c r="A322" s="105" t="s">
        <v>178</v>
      </c>
      <c r="B322" s="104" t="s">
        <v>177</v>
      </c>
      <c r="C322" s="1" t="s">
        <v>223</v>
      </c>
      <c r="D322" s="21">
        <v>4027.73</v>
      </c>
      <c r="E322" s="22">
        <f>100-(F322/D322)*100</f>
        <v>62.107706822453345</v>
      </c>
      <c r="F322" s="21">
        <f>D322-3.48524-2070.96995-427.07555</f>
        <v>1526.1992599999999</v>
      </c>
      <c r="G322" s="21">
        <v>1526.199</v>
      </c>
      <c r="H322" s="106" t="s">
        <v>180</v>
      </c>
    </row>
    <row r="323" spans="1:8" s="57" customFormat="1" ht="35.25" customHeight="1">
      <c r="A323" s="105"/>
      <c r="B323" s="104"/>
      <c r="C323" s="1" t="s">
        <v>138</v>
      </c>
      <c r="D323" s="21"/>
      <c r="E323" s="22"/>
      <c r="F323" s="21"/>
      <c r="G323" s="21">
        <v>848.634</v>
      </c>
      <c r="H323" s="106"/>
    </row>
    <row r="324" spans="1:8" ht="55.5" customHeight="1">
      <c r="A324" s="105" t="s">
        <v>178</v>
      </c>
      <c r="B324" s="104" t="s">
        <v>177</v>
      </c>
      <c r="C324" s="1" t="s">
        <v>228</v>
      </c>
      <c r="D324" s="21">
        <v>598.452</v>
      </c>
      <c r="E324" s="22">
        <f>100-(F324/D324)*100</f>
        <v>0.2585938387706932</v>
      </c>
      <c r="F324" s="21">
        <f>SUM(D324-1.54756)</f>
        <v>596.90444</v>
      </c>
      <c r="G324" s="21">
        <f>500+G325+2.495-450</f>
        <v>131.53100000000006</v>
      </c>
      <c r="H324" s="106" t="s">
        <v>180</v>
      </c>
    </row>
    <row r="325" spans="1:8" s="57" customFormat="1" ht="35.25" customHeight="1">
      <c r="A325" s="105"/>
      <c r="B325" s="104"/>
      <c r="C325" s="1" t="s">
        <v>138</v>
      </c>
      <c r="D325" s="21"/>
      <c r="E325" s="22"/>
      <c r="F325" s="21"/>
      <c r="G325" s="21">
        <f>81.531-2.495</f>
        <v>79.036</v>
      </c>
      <c r="H325" s="106"/>
    </row>
    <row r="326" spans="1:9" s="9" customFormat="1" ht="61.5" customHeight="1">
      <c r="A326" s="105" t="s">
        <v>178</v>
      </c>
      <c r="B326" s="104" t="s">
        <v>177</v>
      </c>
      <c r="C326" s="1" t="s">
        <v>212</v>
      </c>
      <c r="D326" s="21">
        <v>636.238</v>
      </c>
      <c r="E326" s="22">
        <v>0</v>
      </c>
      <c r="F326" s="21">
        <f>D326</f>
        <v>636.238</v>
      </c>
      <c r="G326" s="21">
        <f>239.248+G327-200</f>
        <v>436.23800000000006</v>
      </c>
      <c r="H326" s="106" t="s">
        <v>180</v>
      </c>
      <c r="I326" s="5"/>
    </row>
    <row r="327" spans="1:8" s="57" customFormat="1" ht="28.5" customHeight="1">
      <c r="A327" s="105"/>
      <c r="B327" s="104"/>
      <c r="C327" s="1" t="s">
        <v>138</v>
      </c>
      <c r="D327" s="21"/>
      <c r="E327" s="22"/>
      <c r="F327" s="21"/>
      <c r="G327" s="21">
        <v>396.99</v>
      </c>
      <c r="H327" s="106"/>
    </row>
    <row r="328" spans="1:8" s="9" customFormat="1" ht="81.75" customHeight="1">
      <c r="A328" s="28">
        <v>150101</v>
      </c>
      <c r="B328" s="1" t="s">
        <v>177</v>
      </c>
      <c r="C328" s="40" t="s">
        <v>417</v>
      </c>
      <c r="D328" s="21">
        <v>183.104</v>
      </c>
      <c r="E328" s="22">
        <f>100-(F328/D328)*100</f>
        <v>35.13850052429221</v>
      </c>
      <c r="F328" s="21">
        <v>118.764</v>
      </c>
      <c r="G328" s="21">
        <f>57.66+13.96</f>
        <v>71.62</v>
      </c>
      <c r="H328" s="3"/>
    </row>
    <row r="329" spans="1:8" ht="75" customHeight="1">
      <c r="A329" s="23" t="s">
        <v>178</v>
      </c>
      <c r="B329" s="1" t="s">
        <v>177</v>
      </c>
      <c r="C329" s="41" t="s">
        <v>31</v>
      </c>
      <c r="D329" s="21">
        <v>1108.84</v>
      </c>
      <c r="E329" s="22">
        <f>100-(F329/D329)*100</f>
        <v>0</v>
      </c>
      <c r="F329" s="21">
        <f>D329</f>
        <v>1108.84</v>
      </c>
      <c r="G329" s="21">
        <f>400-300</f>
        <v>100</v>
      </c>
      <c r="H329" s="3" t="s">
        <v>180</v>
      </c>
    </row>
    <row r="330" spans="1:8" ht="37.5" customHeight="1">
      <c r="A330" s="23" t="s">
        <v>178</v>
      </c>
      <c r="B330" s="1" t="s">
        <v>177</v>
      </c>
      <c r="C330" s="24" t="s">
        <v>48</v>
      </c>
      <c r="D330" s="42">
        <v>10600</v>
      </c>
      <c r="E330" s="22">
        <f aca="true" t="shared" si="6" ref="E330:E356">100-(F330/D330)*100</f>
        <v>0</v>
      </c>
      <c r="F330" s="39">
        <f aca="true" t="shared" si="7" ref="F330:F352">SUM(D330)</f>
        <v>10600</v>
      </c>
      <c r="G330" s="21">
        <f>900-600</f>
        <v>300</v>
      </c>
      <c r="H330" s="3" t="s">
        <v>180</v>
      </c>
    </row>
    <row r="331" spans="1:8" ht="37.5">
      <c r="A331" s="23" t="s">
        <v>178</v>
      </c>
      <c r="B331" s="1" t="s">
        <v>177</v>
      </c>
      <c r="C331" s="38" t="s">
        <v>455</v>
      </c>
      <c r="D331" s="21">
        <v>1500</v>
      </c>
      <c r="E331" s="22">
        <f t="shared" si="6"/>
        <v>0</v>
      </c>
      <c r="F331" s="39">
        <f t="shared" si="7"/>
        <v>1500</v>
      </c>
      <c r="G331" s="39">
        <f>1500-1300</f>
        <v>200</v>
      </c>
      <c r="H331" s="3" t="s">
        <v>180</v>
      </c>
    </row>
    <row r="332" spans="1:8" ht="75">
      <c r="A332" s="23" t="s">
        <v>178</v>
      </c>
      <c r="B332" s="1" t="s">
        <v>177</v>
      </c>
      <c r="C332" s="1" t="s">
        <v>456</v>
      </c>
      <c r="D332" s="21">
        <v>79.8828</v>
      </c>
      <c r="E332" s="22">
        <f t="shared" si="6"/>
        <v>0</v>
      </c>
      <c r="F332" s="39">
        <f t="shared" si="7"/>
        <v>79.8828</v>
      </c>
      <c r="G332" s="21">
        <v>79.8828</v>
      </c>
      <c r="H332" s="3"/>
    </row>
    <row r="333" spans="1:8" ht="56.25">
      <c r="A333" s="23" t="s">
        <v>178</v>
      </c>
      <c r="B333" s="1" t="s">
        <v>177</v>
      </c>
      <c r="C333" s="1" t="s">
        <v>0</v>
      </c>
      <c r="D333" s="21">
        <v>36.0804</v>
      </c>
      <c r="E333" s="22">
        <f t="shared" si="6"/>
        <v>0</v>
      </c>
      <c r="F333" s="39">
        <f t="shared" si="7"/>
        <v>36.0804</v>
      </c>
      <c r="G333" s="21">
        <v>36.0804</v>
      </c>
      <c r="H333" s="3"/>
    </row>
    <row r="334" spans="1:8" ht="44.25" customHeight="1">
      <c r="A334" s="23" t="s">
        <v>178</v>
      </c>
      <c r="B334" s="1" t="s">
        <v>177</v>
      </c>
      <c r="C334" s="46" t="s">
        <v>52</v>
      </c>
      <c r="D334" s="43">
        <v>1000</v>
      </c>
      <c r="E334" s="22">
        <f t="shared" si="6"/>
        <v>0</v>
      </c>
      <c r="F334" s="39">
        <f t="shared" si="7"/>
        <v>1000</v>
      </c>
      <c r="G334" s="43">
        <v>44.165</v>
      </c>
      <c r="H334" s="3" t="s">
        <v>180</v>
      </c>
    </row>
    <row r="335" spans="1:8" ht="55.5" customHeight="1">
      <c r="A335" s="23" t="s">
        <v>178</v>
      </c>
      <c r="B335" s="1" t="s">
        <v>177</v>
      </c>
      <c r="C335" s="84" t="s">
        <v>49</v>
      </c>
      <c r="D335" s="43">
        <v>276</v>
      </c>
      <c r="E335" s="22">
        <f t="shared" si="6"/>
        <v>0</v>
      </c>
      <c r="F335" s="39">
        <f t="shared" si="7"/>
        <v>276</v>
      </c>
      <c r="G335" s="43">
        <f>276-200-1.755</f>
        <v>74.245</v>
      </c>
      <c r="H335" s="3" t="s">
        <v>180</v>
      </c>
    </row>
    <row r="336" spans="1:8" ht="58.5" customHeight="1">
      <c r="A336" s="23" t="s">
        <v>178</v>
      </c>
      <c r="B336" s="1" t="s">
        <v>177</v>
      </c>
      <c r="C336" s="85" t="s">
        <v>1</v>
      </c>
      <c r="D336" s="43">
        <v>250</v>
      </c>
      <c r="E336" s="22">
        <f t="shared" si="6"/>
        <v>0</v>
      </c>
      <c r="F336" s="39">
        <f t="shared" si="7"/>
        <v>250</v>
      </c>
      <c r="G336" s="43">
        <v>250</v>
      </c>
      <c r="H336" s="3" t="s">
        <v>180</v>
      </c>
    </row>
    <row r="337" spans="1:8" ht="56.25">
      <c r="A337" s="23" t="s">
        <v>178</v>
      </c>
      <c r="B337" s="1" t="s">
        <v>177</v>
      </c>
      <c r="C337" s="85" t="s">
        <v>17</v>
      </c>
      <c r="D337" s="43">
        <v>276</v>
      </c>
      <c r="E337" s="22">
        <f t="shared" si="6"/>
        <v>0</v>
      </c>
      <c r="F337" s="39">
        <f t="shared" si="7"/>
        <v>276</v>
      </c>
      <c r="G337" s="43">
        <f>276-276</f>
        <v>0</v>
      </c>
      <c r="H337" s="3" t="s">
        <v>180</v>
      </c>
    </row>
    <row r="338" spans="1:8" ht="41.25" customHeight="1">
      <c r="A338" s="23" t="s">
        <v>178</v>
      </c>
      <c r="B338" s="1" t="s">
        <v>177</v>
      </c>
      <c r="C338" s="84" t="s">
        <v>35</v>
      </c>
      <c r="D338" s="43">
        <v>276</v>
      </c>
      <c r="E338" s="22">
        <f t="shared" si="6"/>
        <v>0</v>
      </c>
      <c r="F338" s="39">
        <f t="shared" si="7"/>
        <v>276</v>
      </c>
      <c r="G338" s="43">
        <f>276-190-80</f>
        <v>6</v>
      </c>
      <c r="H338" s="3" t="s">
        <v>180</v>
      </c>
    </row>
    <row r="339" spans="1:8" ht="56.25">
      <c r="A339" s="23" t="s">
        <v>178</v>
      </c>
      <c r="B339" s="1" t="s">
        <v>177</v>
      </c>
      <c r="C339" s="84" t="s">
        <v>2</v>
      </c>
      <c r="D339" s="43">
        <v>276</v>
      </c>
      <c r="E339" s="22">
        <f t="shared" si="6"/>
        <v>0</v>
      </c>
      <c r="F339" s="39">
        <f t="shared" si="7"/>
        <v>276</v>
      </c>
      <c r="G339" s="43">
        <v>276</v>
      </c>
      <c r="H339" s="3" t="s">
        <v>180</v>
      </c>
    </row>
    <row r="340" spans="1:8" ht="59.25" customHeight="1">
      <c r="A340" s="23" t="s">
        <v>178</v>
      </c>
      <c r="B340" s="1" t="s">
        <v>177</v>
      </c>
      <c r="C340" s="45" t="s">
        <v>3</v>
      </c>
      <c r="D340" s="44">
        <v>117.95159</v>
      </c>
      <c r="E340" s="22">
        <f t="shared" si="6"/>
        <v>0</v>
      </c>
      <c r="F340" s="39">
        <f t="shared" si="7"/>
        <v>117.95159</v>
      </c>
      <c r="G340" s="44">
        <f>117.95159-13.96</f>
        <v>103.99159</v>
      </c>
      <c r="H340" s="3" t="s">
        <v>180</v>
      </c>
    </row>
    <row r="341" spans="1:8" ht="60.75" customHeight="1">
      <c r="A341" s="23" t="s">
        <v>178</v>
      </c>
      <c r="B341" s="1" t="s">
        <v>177</v>
      </c>
      <c r="C341" s="45" t="s">
        <v>4</v>
      </c>
      <c r="D341" s="43">
        <v>336</v>
      </c>
      <c r="E341" s="22">
        <f t="shared" si="6"/>
        <v>0</v>
      </c>
      <c r="F341" s="39">
        <f t="shared" si="7"/>
        <v>336</v>
      </c>
      <c r="G341" s="43">
        <v>336</v>
      </c>
      <c r="H341" s="3" t="s">
        <v>180</v>
      </c>
    </row>
    <row r="342" spans="1:8" ht="60" customHeight="1">
      <c r="A342" s="23" t="s">
        <v>178</v>
      </c>
      <c r="B342" s="1" t="s">
        <v>177</v>
      </c>
      <c r="C342" s="45" t="s">
        <v>14</v>
      </c>
      <c r="D342" s="43">
        <v>240</v>
      </c>
      <c r="E342" s="22">
        <f t="shared" si="6"/>
        <v>0</v>
      </c>
      <c r="F342" s="39">
        <f t="shared" si="7"/>
        <v>240</v>
      </c>
      <c r="G342" s="43">
        <f>240-25.62</f>
        <v>214.38</v>
      </c>
      <c r="H342" s="3" t="s">
        <v>180</v>
      </c>
    </row>
    <row r="343" spans="1:8" ht="39.75" customHeight="1">
      <c r="A343" s="23" t="s">
        <v>178</v>
      </c>
      <c r="B343" s="1" t="s">
        <v>177</v>
      </c>
      <c r="C343" s="45" t="s">
        <v>5</v>
      </c>
      <c r="D343" s="44">
        <v>75.358</v>
      </c>
      <c r="E343" s="22">
        <f t="shared" si="6"/>
        <v>0</v>
      </c>
      <c r="F343" s="39">
        <f t="shared" si="7"/>
        <v>75.358</v>
      </c>
      <c r="G343" s="44">
        <v>75.358</v>
      </c>
      <c r="H343" s="3" t="s">
        <v>180</v>
      </c>
    </row>
    <row r="344" spans="1:8" ht="42" customHeight="1">
      <c r="A344" s="23" t="s">
        <v>178</v>
      </c>
      <c r="B344" s="1" t="s">
        <v>177</v>
      </c>
      <c r="C344" s="45" t="s">
        <v>6</v>
      </c>
      <c r="D344" s="44">
        <v>144</v>
      </c>
      <c r="E344" s="22">
        <f t="shared" si="6"/>
        <v>0</v>
      </c>
      <c r="F344" s="39">
        <f t="shared" si="7"/>
        <v>144</v>
      </c>
      <c r="G344" s="44">
        <v>144</v>
      </c>
      <c r="H344" s="3" t="s">
        <v>180</v>
      </c>
    </row>
    <row r="345" spans="1:8" ht="59.25" customHeight="1">
      <c r="A345" s="23" t="s">
        <v>178</v>
      </c>
      <c r="B345" s="1" t="s">
        <v>177</v>
      </c>
      <c r="C345" s="46" t="s">
        <v>71</v>
      </c>
      <c r="D345" s="47">
        <v>75.492</v>
      </c>
      <c r="E345" s="22">
        <f t="shared" si="6"/>
        <v>0</v>
      </c>
      <c r="F345" s="39">
        <f t="shared" si="7"/>
        <v>75.492</v>
      </c>
      <c r="G345" s="47">
        <v>75.492</v>
      </c>
      <c r="H345" s="3" t="s">
        <v>180</v>
      </c>
    </row>
    <row r="346" spans="1:8" ht="59.25" customHeight="1">
      <c r="A346" s="23" t="s">
        <v>178</v>
      </c>
      <c r="B346" s="1" t="s">
        <v>177</v>
      </c>
      <c r="C346" s="45" t="s">
        <v>13</v>
      </c>
      <c r="D346" s="44">
        <v>288</v>
      </c>
      <c r="E346" s="22">
        <f t="shared" si="6"/>
        <v>0</v>
      </c>
      <c r="F346" s="39">
        <f t="shared" si="7"/>
        <v>288</v>
      </c>
      <c r="G346" s="44">
        <v>288</v>
      </c>
      <c r="H346" s="3" t="s">
        <v>180</v>
      </c>
    </row>
    <row r="347" spans="1:8" ht="75" customHeight="1">
      <c r="A347" s="23" t="s">
        <v>178</v>
      </c>
      <c r="B347" s="1" t="s">
        <v>177</v>
      </c>
      <c r="C347" s="46" t="s">
        <v>7</v>
      </c>
      <c r="D347" s="43">
        <v>108.613</v>
      </c>
      <c r="E347" s="22">
        <f t="shared" si="6"/>
        <v>0</v>
      </c>
      <c r="F347" s="39">
        <f t="shared" si="7"/>
        <v>108.613</v>
      </c>
      <c r="G347" s="43">
        <f>108.613-78.613</f>
        <v>30</v>
      </c>
      <c r="H347" s="3"/>
    </row>
    <row r="348" spans="1:8" ht="57" customHeight="1">
      <c r="A348" s="23" t="s">
        <v>178</v>
      </c>
      <c r="B348" s="1" t="s">
        <v>177</v>
      </c>
      <c r="C348" s="46" t="s">
        <v>8</v>
      </c>
      <c r="D348" s="43">
        <v>198.316</v>
      </c>
      <c r="E348" s="22">
        <f t="shared" si="6"/>
        <v>0</v>
      </c>
      <c r="F348" s="39">
        <f t="shared" si="7"/>
        <v>198.316</v>
      </c>
      <c r="G348" s="43">
        <f>198.316-168.316</f>
        <v>30</v>
      </c>
      <c r="H348" s="3"/>
    </row>
    <row r="349" spans="1:8" ht="94.5" customHeight="1">
      <c r="A349" s="23" t="s">
        <v>178</v>
      </c>
      <c r="B349" s="1" t="s">
        <v>177</v>
      </c>
      <c r="C349" s="46" t="s">
        <v>9</v>
      </c>
      <c r="D349" s="43">
        <v>191.5932</v>
      </c>
      <c r="E349" s="22">
        <f t="shared" si="6"/>
        <v>0</v>
      </c>
      <c r="F349" s="39">
        <f t="shared" si="7"/>
        <v>191.5932</v>
      </c>
      <c r="G349" s="43">
        <f>191.5932-161.593</f>
        <v>30.000200000000007</v>
      </c>
      <c r="H349" s="3"/>
    </row>
    <row r="350" spans="1:8" ht="57" customHeight="1">
      <c r="A350" s="23" t="s">
        <v>178</v>
      </c>
      <c r="B350" s="1" t="s">
        <v>177</v>
      </c>
      <c r="C350" s="46" t="s">
        <v>10</v>
      </c>
      <c r="D350" s="43">
        <v>193.084</v>
      </c>
      <c r="E350" s="22">
        <f t="shared" si="6"/>
        <v>0</v>
      </c>
      <c r="F350" s="39">
        <f t="shared" si="7"/>
        <v>193.084</v>
      </c>
      <c r="G350" s="43">
        <f>193.084-80.079-83.005</f>
        <v>30.000000000000014</v>
      </c>
      <c r="H350" s="3"/>
    </row>
    <row r="351" spans="1:8" ht="56.25" customHeight="1">
      <c r="A351" s="23" t="s">
        <v>178</v>
      </c>
      <c r="B351" s="1" t="s">
        <v>177</v>
      </c>
      <c r="C351" s="46" t="s">
        <v>11</v>
      </c>
      <c r="D351" s="43">
        <v>275.876</v>
      </c>
      <c r="E351" s="22">
        <f t="shared" si="6"/>
        <v>0</v>
      </c>
      <c r="F351" s="39">
        <f t="shared" si="7"/>
        <v>275.876</v>
      </c>
      <c r="G351" s="43">
        <f>275.876-204.921-40.955</f>
        <v>29.999999999999986</v>
      </c>
      <c r="H351" s="3"/>
    </row>
    <row r="352" spans="1:8" ht="57.75" customHeight="1">
      <c r="A352" s="23" t="s">
        <v>178</v>
      </c>
      <c r="B352" s="1" t="s">
        <v>177</v>
      </c>
      <c r="C352" s="46" t="s">
        <v>59</v>
      </c>
      <c r="D352" s="43">
        <v>215.23</v>
      </c>
      <c r="E352" s="22">
        <f t="shared" si="6"/>
        <v>0</v>
      </c>
      <c r="F352" s="39">
        <f t="shared" si="7"/>
        <v>215.23</v>
      </c>
      <c r="G352" s="43">
        <f>215.23-185.23</f>
        <v>30</v>
      </c>
      <c r="H352" s="3"/>
    </row>
    <row r="353" spans="1:8" ht="57" customHeight="1">
      <c r="A353" s="23" t="s">
        <v>178</v>
      </c>
      <c r="B353" s="1" t="s">
        <v>177</v>
      </c>
      <c r="C353" s="1" t="s">
        <v>60</v>
      </c>
      <c r="D353" s="21">
        <v>200</v>
      </c>
      <c r="E353" s="22">
        <f t="shared" si="6"/>
        <v>0</v>
      </c>
      <c r="F353" s="39">
        <f>SUM(D353)</f>
        <v>200</v>
      </c>
      <c r="G353" s="21">
        <f>200-170</f>
        <v>30</v>
      </c>
      <c r="H353" s="3"/>
    </row>
    <row r="354" spans="1:8" ht="58.5" customHeight="1">
      <c r="A354" s="23" t="s">
        <v>178</v>
      </c>
      <c r="B354" s="1" t="s">
        <v>177</v>
      </c>
      <c r="C354" s="1" t="s">
        <v>41</v>
      </c>
      <c r="D354" s="21">
        <v>19.433</v>
      </c>
      <c r="E354" s="22">
        <f t="shared" si="6"/>
        <v>0</v>
      </c>
      <c r="F354" s="39">
        <f>SUM(D354)</f>
        <v>19.433</v>
      </c>
      <c r="G354" s="21">
        <v>19.433</v>
      </c>
      <c r="H354" s="3" t="s">
        <v>222</v>
      </c>
    </row>
    <row r="355" spans="1:8" ht="93" customHeight="1">
      <c r="A355" s="23" t="s">
        <v>178</v>
      </c>
      <c r="B355" s="1" t="s">
        <v>177</v>
      </c>
      <c r="C355" s="1" t="s">
        <v>69</v>
      </c>
      <c r="D355" s="21">
        <v>2166.383</v>
      </c>
      <c r="E355" s="22">
        <f t="shared" si="6"/>
        <v>0</v>
      </c>
      <c r="F355" s="39">
        <f>SUM(D355)</f>
        <v>2166.383</v>
      </c>
      <c r="G355" s="21">
        <v>2166.383</v>
      </c>
      <c r="H355" s="3"/>
    </row>
    <row r="356" spans="1:8" ht="42" customHeight="1">
      <c r="A356" s="23" t="s">
        <v>178</v>
      </c>
      <c r="B356" s="1" t="s">
        <v>177</v>
      </c>
      <c r="C356" s="1" t="s">
        <v>67</v>
      </c>
      <c r="D356" s="21">
        <v>50</v>
      </c>
      <c r="E356" s="22">
        <f t="shared" si="6"/>
        <v>0</v>
      </c>
      <c r="F356" s="39">
        <f>SUM(D356)</f>
        <v>50</v>
      </c>
      <c r="G356" s="21">
        <v>50</v>
      </c>
      <c r="H356" s="3" t="s">
        <v>180</v>
      </c>
    </row>
    <row r="357" spans="1:8" ht="39" customHeight="1">
      <c r="A357" s="23" t="s">
        <v>178</v>
      </c>
      <c r="B357" s="1" t="s">
        <v>177</v>
      </c>
      <c r="C357" s="1" t="s">
        <v>65</v>
      </c>
      <c r="D357" s="21">
        <v>150</v>
      </c>
      <c r="E357" s="22">
        <f>100-(F357/D357)*100</f>
        <v>0</v>
      </c>
      <c r="F357" s="39">
        <f>SUM(D357)</f>
        <v>150</v>
      </c>
      <c r="G357" s="21">
        <v>150</v>
      </c>
      <c r="H357" s="3" t="s">
        <v>180</v>
      </c>
    </row>
    <row r="358" spans="1:8" ht="38.25" customHeight="1">
      <c r="A358" s="105" t="s">
        <v>208</v>
      </c>
      <c r="B358" s="104" t="s">
        <v>209</v>
      </c>
      <c r="C358" s="1" t="s">
        <v>209</v>
      </c>
      <c r="D358" s="21"/>
      <c r="E358" s="22"/>
      <c r="F358" s="21"/>
      <c r="G358" s="21">
        <f>1717.63+800+513.671-513.671</f>
        <v>2517.63</v>
      </c>
      <c r="H358" s="106"/>
    </row>
    <row r="359" spans="1:8" ht="36" customHeight="1">
      <c r="A359" s="105"/>
      <c r="B359" s="104"/>
      <c r="C359" s="1" t="s">
        <v>138</v>
      </c>
      <c r="D359" s="21"/>
      <c r="E359" s="22"/>
      <c r="F359" s="21"/>
      <c r="G359" s="21">
        <v>187.691</v>
      </c>
      <c r="H359" s="106"/>
    </row>
    <row r="360" spans="1:8" ht="43.5" customHeight="1">
      <c r="A360" s="105" t="s">
        <v>229</v>
      </c>
      <c r="B360" s="104" t="s">
        <v>230</v>
      </c>
      <c r="C360" s="38" t="s">
        <v>263</v>
      </c>
      <c r="D360" s="21"/>
      <c r="E360" s="22"/>
      <c r="F360" s="21"/>
      <c r="G360" s="21">
        <f>SUM(G362:G365)</f>
        <v>10218.900000000001</v>
      </c>
      <c r="H360" s="48"/>
    </row>
    <row r="361" spans="1:8" ht="28.5" customHeight="1">
      <c r="A361" s="105"/>
      <c r="B361" s="104"/>
      <c r="C361" s="38" t="s">
        <v>231</v>
      </c>
      <c r="D361" s="21"/>
      <c r="E361" s="22"/>
      <c r="F361" s="21"/>
      <c r="G361" s="21"/>
      <c r="H361" s="48"/>
    </row>
    <row r="362" spans="1:8" ht="131.25" customHeight="1">
      <c r="A362" s="105"/>
      <c r="B362" s="104"/>
      <c r="C362" s="41" t="s">
        <v>68</v>
      </c>
      <c r="D362" s="21"/>
      <c r="E362" s="22"/>
      <c r="F362" s="21"/>
      <c r="G362" s="21">
        <f>1140.86+3500+5</f>
        <v>4645.86</v>
      </c>
      <c r="H362" s="3" t="s">
        <v>202</v>
      </c>
    </row>
    <row r="363" spans="1:8" ht="135" customHeight="1">
      <c r="A363" s="105" t="s">
        <v>229</v>
      </c>
      <c r="B363" s="104" t="s">
        <v>230</v>
      </c>
      <c r="C363" s="41" t="s">
        <v>61</v>
      </c>
      <c r="D363" s="21"/>
      <c r="E363" s="22"/>
      <c r="F363" s="21"/>
      <c r="G363" s="21">
        <v>4449.34</v>
      </c>
      <c r="H363" s="3" t="s">
        <v>233</v>
      </c>
    </row>
    <row r="364" spans="1:8" ht="60.75" customHeight="1">
      <c r="A364" s="105"/>
      <c r="B364" s="104"/>
      <c r="C364" s="41" t="s">
        <v>62</v>
      </c>
      <c r="D364" s="21"/>
      <c r="E364" s="22"/>
      <c r="F364" s="21"/>
      <c r="G364" s="21">
        <f>285+41.2</f>
        <v>326.2</v>
      </c>
      <c r="H364" s="49" t="s">
        <v>222</v>
      </c>
    </row>
    <row r="365" spans="1:8" ht="55.5" customHeight="1">
      <c r="A365" s="105"/>
      <c r="B365" s="104"/>
      <c r="C365" s="41" t="s">
        <v>415</v>
      </c>
      <c r="D365" s="21"/>
      <c r="E365" s="22"/>
      <c r="F365" s="21"/>
      <c r="G365" s="21">
        <v>797.5</v>
      </c>
      <c r="H365" s="3" t="s">
        <v>234</v>
      </c>
    </row>
    <row r="366" spans="1:8" ht="42" customHeight="1">
      <c r="A366" s="105" t="s">
        <v>229</v>
      </c>
      <c r="B366" s="104" t="s">
        <v>230</v>
      </c>
      <c r="C366" s="38" t="s">
        <v>416</v>
      </c>
      <c r="D366" s="21"/>
      <c r="E366" s="22"/>
      <c r="F366" s="21"/>
      <c r="G366" s="21">
        <f>SUM(G368:G372)</f>
        <v>4149.053</v>
      </c>
      <c r="H366" s="3"/>
    </row>
    <row r="367" spans="1:8" s="11" customFormat="1" ht="21" customHeight="1">
      <c r="A367" s="105"/>
      <c r="B367" s="104"/>
      <c r="C367" s="1" t="s">
        <v>231</v>
      </c>
      <c r="D367" s="30"/>
      <c r="E367" s="31"/>
      <c r="F367" s="30"/>
      <c r="G367" s="30"/>
      <c r="H367" s="3"/>
    </row>
    <row r="368" spans="1:8" s="11" customFormat="1" ht="80.25" customHeight="1">
      <c r="A368" s="105"/>
      <c r="B368" s="104"/>
      <c r="C368" s="1" t="s">
        <v>438</v>
      </c>
      <c r="D368" s="30"/>
      <c r="E368" s="31"/>
      <c r="F368" s="30"/>
      <c r="G368" s="21">
        <v>225.373</v>
      </c>
      <c r="H368" s="3" t="s">
        <v>232</v>
      </c>
    </row>
    <row r="369" spans="1:8" s="11" customFormat="1" ht="117" customHeight="1">
      <c r="A369" s="105"/>
      <c r="B369" s="104"/>
      <c r="C369" s="1" t="s">
        <v>42</v>
      </c>
      <c r="D369" s="30"/>
      <c r="E369" s="31"/>
      <c r="F369" s="30"/>
      <c r="G369" s="21">
        <v>1458</v>
      </c>
      <c r="H369" s="3" t="s">
        <v>233</v>
      </c>
    </row>
    <row r="370" spans="1:8" s="11" customFormat="1" ht="64.5" customHeight="1">
      <c r="A370" s="105"/>
      <c r="B370" s="104"/>
      <c r="C370" s="1" t="s">
        <v>43</v>
      </c>
      <c r="D370" s="30"/>
      <c r="E370" s="31"/>
      <c r="F370" s="30"/>
      <c r="G370" s="21">
        <v>174.5</v>
      </c>
      <c r="H370" s="3" t="s">
        <v>222</v>
      </c>
    </row>
    <row r="371" spans="1:8" s="11" customFormat="1" ht="150" customHeight="1">
      <c r="A371" s="105" t="s">
        <v>229</v>
      </c>
      <c r="B371" s="104" t="s">
        <v>230</v>
      </c>
      <c r="C371" s="1" t="s">
        <v>405</v>
      </c>
      <c r="D371" s="30"/>
      <c r="E371" s="31"/>
      <c r="F371" s="30"/>
      <c r="G371" s="21">
        <v>1222.58</v>
      </c>
      <c r="H371" s="3" t="s">
        <v>202</v>
      </c>
    </row>
    <row r="372" spans="1:8" s="11" customFormat="1" ht="57.75" customHeight="1">
      <c r="A372" s="105"/>
      <c r="B372" s="104"/>
      <c r="C372" s="1" t="s">
        <v>406</v>
      </c>
      <c r="D372" s="30"/>
      <c r="E372" s="31"/>
      <c r="F372" s="30"/>
      <c r="G372" s="21">
        <f>1890.6-822</f>
        <v>1068.6</v>
      </c>
      <c r="H372" s="3" t="s">
        <v>234</v>
      </c>
    </row>
    <row r="373" spans="1:8" s="57" customFormat="1" ht="90" customHeight="1">
      <c r="A373" s="50" t="s">
        <v>125</v>
      </c>
      <c r="B373" s="1" t="s">
        <v>235</v>
      </c>
      <c r="C373" s="1"/>
      <c r="D373" s="21">
        <f>SUM(D374+D377+D381+D375+D376)</f>
        <v>3361.593</v>
      </c>
      <c r="E373" s="21"/>
      <c r="F373" s="21">
        <f>SUM(F374+F377+F381+F375+F376)</f>
        <v>3361.593</v>
      </c>
      <c r="G373" s="21">
        <f>SUM(G374+G377+G381+G375+G376)</f>
        <v>6843.488</v>
      </c>
      <c r="H373" s="48"/>
    </row>
    <row r="374" spans="1:8" s="57" customFormat="1" ht="57" customHeight="1">
      <c r="A374" s="50" t="s">
        <v>178</v>
      </c>
      <c r="B374" s="1" t="s">
        <v>177</v>
      </c>
      <c r="C374" s="1" t="s">
        <v>260</v>
      </c>
      <c r="D374" s="21">
        <v>2355.141</v>
      </c>
      <c r="E374" s="22">
        <f>100-(F374/D374)*100</f>
        <v>0</v>
      </c>
      <c r="F374" s="21">
        <f>SUM(D374)</f>
        <v>2355.141</v>
      </c>
      <c r="G374" s="21">
        <f>1355.142+999.999</f>
        <v>2355.141</v>
      </c>
      <c r="H374" s="3"/>
    </row>
    <row r="375" spans="1:8" s="57" customFormat="1" ht="28.5" customHeight="1">
      <c r="A375" s="50" t="s">
        <v>178</v>
      </c>
      <c r="B375" s="1" t="s">
        <v>177</v>
      </c>
      <c r="C375" s="1" t="s">
        <v>40</v>
      </c>
      <c r="D375" s="21">
        <v>600</v>
      </c>
      <c r="E375" s="22">
        <f>100-(F375/D375)*100</f>
        <v>0</v>
      </c>
      <c r="F375" s="21">
        <f>SUM(D375)</f>
        <v>600</v>
      </c>
      <c r="G375" s="21">
        <v>600</v>
      </c>
      <c r="H375" s="3"/>
    </row>
    <row r="376" spans="1:8" s="57" customFormat="1" ht="31.5" customHeight="1">
      <c r="A376" s="50" t="s">
        <v>178</v>
      </c>
      <c r="B376" s="1" t="s">
        <v>177</v>
      </c>
      <c r="C376" s="1" t="s">
        <v>63</v>
      </c>
      <c r="D376" s="21">
        <v>406.452</v>
      </c>
      <c r="E376" s="22">
        <f>100-(F376/D376)*100</f>
        <v>0</v>
      </c>
      <c r="F376" s="21">
        <f>SUM(D376)</f>
        <v>406.452</v>
      </c>
      <c r="G376" s="21">
        <v>406.452</v>
      </c>
      <c r="H376" s="3"/>
    </row>
    <row r="377" spans="1:9" s="57" customFormat="1" ht="36.75" customHeight="1">
      <c r="A377" s="103">
        <v>180409</v>
      </c>
      <c r="B377" s="104" t="s">
        <v>230</v>
      </c>
      <c r="C377" s="38" t="s">
        <v>416</v>
      </c>
      <c r="D377" s="21"/>
      <c r="E377" s="22"/>
      <c r="F377" s="21"/>
      <c r="G377" s="21">
        <f>SUM(G379:G380)</f>
        <v>1534.672</v>
      </c>
      <c r="H377" s="3"/>
      <c r="I377" s="82"/>
    </row>
    <row r="378" spans="1:8" s="11" customFormat="1" ht="21.75" customHeight="1">
      <c r="A378" s="103"/>
      <c r="B378" s="104"/>
      <c r="C378" s="1" t="s">
        <v>231</v>
      </c>
      <c r="D378" s="30"/>
      <c r="E378" s="30"/>
      <c r="F378" s="30"/>
      <c r="G378" s="30"/>
      <c r="H378" s="3"/>
    </row>
    <row r="379" spans="1:8" s="11" customFormat="1" ht="75" customHeight="1">
      <c r="A379" s="103"/>
      <c r="B379" s="104"/>
      <c r="C379" s="1" t="s">
        <v>259</v>
      </c>
      <c r="D379" s="35"/>
      <c r="E379" s="35"/>
      <c r="F379" s="35"/>
      <c r="G379" s="21">
        <v>66</v>
      </c>
      <c r="H379" s="3" t="s">
        <v>236</v>
      </c>
    </row>
    <row r="380" spans="1:8" s="11" customFormat="1" ht="76.5" customHeight="1">
      <c r="A380" s="103"/>
      <c r="B380" s="104"/>
      <c r="C380" s="1" t="s">
        <v>237</v>
      </c>
      <c r="D380" s="35"/>
      <c r="E380" s="35"/>
      <c r="F380" s="35"/>
      <c r="G380" s="21">
        <f>1573.041-104.369</f>
        <v>1468.672</v>
      </c>
      <c r="H380" s="3" t="s">
        <v>238</v>
      </c>
    </row>
    <row r="381" spans="1:8" s="57" customFormat="1" ht="39.75" customHeight="1">
      <c r="A381" s="103">
        <v>180409</v>
      </c>
      <c r="B381" s="104" t="s">
        <v>230</v>
      </c>
      <c r="C381" s="38" t="s">
        <v>12</v>
      </c>
      <c r="D381" s="21"/>
      <c r="E381" s="22"/>
      <c r="F381" s="21"/>
      <c r="G381" s="21">
        <f>SUM(G383:G384)</f>
        <v>1947.223</v>
      </c>
      <c r="H381" s="3"/>
    </row>
    <row r="382" spans="1:8" s="11" customFormat="1" ht="19.5" customHeight="1">
      <c r="A382" s="103"/>
      <c r="B382" s="104"/>
      <c r="C382" s="1" t="s">
        <v>231</v>
      </c>
      <c r="D382" s="30"/>
      <c r="E382" s="30"/>
      <c r="F382" s="30"/>
      <c r="G382" s="30"/>
      <c r="H382" s="3"/>
    </row>
    <row r="383" spans="1:8" s="11" customFormat="1" ht="75" customHeight="1">
      <c r="A383" s="103"/>
      <c r="B383" s="104"/>
      <c r="C383" s="1" t="s">
        <v>44</v>
      </c>
      <c r="D383" s="35"/>
      <c r="E383" s="35"/>
      <c r="F383" s="35"/>
      <c r="G383" s="21">
        <v>1474.48</v>
      </c>
      <c r="H383" s="3" t="s">
        <v>236</v>
      </c>
    </row>
    <row r="384" spans="1:8" s="11" customFormat="1" ht="64.5" customHeight="1">
      <c r="A384" s="103"/>
      <c r="B384" s="104"/>
      <c r="C384" s="1" t="s">
        <v>45</v>
      </c>
      <c r="D384" s="35"/>
      <c r="E384" s="35"/>
      <c r="F384" s="35"/>
      <c r="G384" s="21">
        <f>368.374+104.369</f>
        <v>472.74300000000005</v>
      </c>
      <c r="H384" s="3" t="s">
        <v>238</v>
      </c>
    </row>
    <row r="385" spans="1:8" ht="57" customHeight="1">
      <c r="A385" s="28">
        <v>73</v>
      </c>
      <c r="B385" s="1" t="s">
        <v>75</v>
      </c>
      <c r="C385" s="1"/>
      <c r="D385" s="21">
        <f>SUM(D386:D395)</f>
        <v>70041.467</v>
      </c>
      <c r="E385" s="21"/>
      <c r="F385" s="21">
        <f>SUM(F386:F395)</f>
        <v>58235.84586</v>
      </c>
      <c r="G385" s="21">
        <f>SUM(G386+G391+G393+G388+G389+G395)</f>
        <v>1933.9160000000008</v>
      </c>
      <c r="H385" s="3"/>
    </row>
    <row r="386" spans="1:8" ht="39" customHeight="1">
      <c r="A386" s="105" t="s">
        <v>178</v>
      </c>
      <c r="B386" s="104" t="s">
        <v>177</v>
      </c>
      <c r="C386" s="1" t="s">
        <v>239</v>
      </c>
      <c r="D386" s="21">
        <v>13415.939</v>
      </c>
      <c r="E386" s="22">
        <f>100-(F386/D386)*100</f>
        <v>47.375634981643856</v>
      </c>
      <c r="F386" s="21">
        <f>SUM(D386-(2.65228+224.04934+1231.39282+3025.28968+831.30335+1041.19882))</f>
        <v>7060.05271</v>
      </c>
      <c r="G386" s="21">
        <f>2856.847+G387+4000-3000-3000</f>
        <v>1060.0529999999999</v>
      </c>
      <c r="H386" s="106" t="s">
        <v>180</v>
      </c>
    </row>
    <row r="387" spans="1:8" s="57" customFormat="1" ht="21" customHeight="1">
      <c r="A387" s="105"/>
      <c r="B387" s="104"/>
      <c r="C387" s="1" t="s">
        <v>138</v>
      </c>
      <c r="D387" s="21"/>
      <c r="E387" s="22"/>
      <c r="F387" s="21"/>
      <c r="G387" s="21">
        <v>203.206</v>
      </c>
      <c r="H387" s="106"/>
    </row>
    <row r="388" spans="1:8" ht="57.75" customHeight="1">
      <c r="A388" s="23" t="s">
        <v>178</v>
      </c>
      <c r="B388" s="1" t="s">
        <v>177</v>
      </c>
      <c r="C388" s="1" t="s">
        <v>244</v>
      </c>
      <c r="D388" s="21">
        <v>200</v>
      </c>
      <c r="E388" s="22">
        <f>100-(F388/D388)*100</f>
        <v>0</v>
      </c>
      <c r="F388" s="21">
        <v>200</v>
      </c>
      <c r="G388" s="21">
        <v>200</v>
      </c>
      <c r="H388" s="3" t="s">
        <v>180</v>
      </c>
    </row>
    <row r="389" spans="1:8" ht="57" customHeight="1">
      <c r="A389" s="105" t="s">
        <v>178</v>
      </c>
      <c r="B389" s="104" t="s">
        <v>177</v>
      </c>
      <c r="C389" s="1" t="s">
        <v>245</v>
      </c>
      <c r="D389" s="21">
        <v>172.787</v>
      </c>
      <c r="E389" s="22">
        <f>100-(F389/D389)*100</f>
        <v>0</v>
      </c>
      <c r="F389" s="21">
        <f>SUM(D389)</f>
        <v>172.787</v>
      </c>
      <c r="G389" s="21">
        <f>126.735+G390+22.787</f>
        <v>172.787</v>
      </c>
      <c r="H389" s="106" t="s">
        <v>180</v>
      </c>
    </row>
    <row r="390" spans="1:8" s="57" customFormat="1" ht="22.5" customHeight="1">
      <c r="A390" s="105"/>
      <c r="B390" s="104"/>
      <c r="C390" s="1" t="s">
        <v>138</v>
      </c>
      <c r="D390" s="21"/>
      <c r="E390" s="22"/>
      <c r="F390" s="21"/>
      <c r="G390" s="21">
        <v>23.265</v>
      </c>
      <c r="H390" s="106"/>
    </row>
    <row r="391" spans="1:8" ht="37.5" customHeight="1">
      <c r="A391" s="105" t="s">
        <v>178</v>
      </c>
      <c r="B391" s="104" t="s">
        <v>177</v>
      </c>
      <c r="C391" s="1" t="s">
        <v>240</v>
      </c>
      <c r="D391" s="21">
        <v>168.762</v>
      </c>
      <c r="E391" s="4">
        <f>100-(F391/D391)*100</f>
        <v>25.26089404012751</v>
      </c>
      <c r="F391" s="21">
        <f>SUM(D391-34.48159-8.1492)</f>
        <v>126.13121000000001</v>
      </c>
      <c r="G391" s="21">
        <f>94.137+G392+31.598</f>
        <v>126.131</v>
      </c>
      <c r="H391" s="106" t="s">
        <v>180</v>
      </c>
    </row>
    <row r="392" spans="1:8" s="57" customFormat="1" ht="23.25" customHeight="1">
      <c r="A392" s="105"/>
      <c r="B392" s="104"/>
      <c r="C392" s="1" t="s">
        <v>138</v>
      </c>
      <c r="D392" s="21"/>
      <c r="E392" s="22"/>
      <c r="F392" s="21"/>
      <c r="G392" s="21">
        <v>0.396</v>
      </c>
      <c r="H392" s="106"/>
    </row>
    <row r="393" spans="1:8" ht="61.5" customHeight="1">
      <c r="A393" s="105" t="s">
        <v>241</v>
      </c>
      <c r="B393" s="110" t="s">
        <v>242</v>
      </c>
      <c r="C393" s="1" t="s">
        <v>243</v>
      </c>
      <c r="D393" s="21">
        <v>14110.057</v>
      </c>
      <c r="E393" s="22">
        <f>100-(F393/D393)*100</f>
        <v>33.60659478554906</v>
      </c>
      <c r="F393" s="21">
        <f>SUM(D393)-(56.35656+570.604+1000+338.9424+271.5277+862.47196+1642.00706)</f>
        <v>9368.14732</v>
      </c>
      <c r="G393" s="21">
        <f>2839.234+G394+5868.147+480.751+6.607-9000</f>
        <v>368.14700000000084</v>
      </c>
      <c r="H393" s="106" t="s">
        <v>180</v>
      </c>
    </row>
    <row r="394" spans="1:9" s="57" customFormat="1" ht="49.5" customHeight="1">
      <c r="A394" s="105"/>
      <c r="B394" s="110"/>
      <c r="C394" s="1" t="s">
        <v>138</v>
      </c>
      <c r="D394" s="21"/>
      <c r="E394" s="22"/>
      <c r="F394" s="21"/>
      <c r="G394" s="21">
        <f>180.015-6.607</f>
        <v>173.408</v>
      </c>
      <c r="H394" s="106"/>
      <c r="I394" s="5"/>
    </row>
    <row r="395" spans="1:8" ht="59.25" customHeight="1">
      <c r="A395" s="23" t="s">
        <v>178</v>
      </c>
      <c r="B395" s="1" t="s">
        <v>177</v>
      </c>
      <c r="C395" s="24" t="s">
        <v>439</v>
      </c>
      <c r="D395" s="21">
        <v>41973.922</v>
      </c>
      <c r="E395" s="22">
        <f>100-(F395/D395)*100</f>
        <v>1.5847801403928798</v>
      </c>
      <c r="F395" s="21">
        <f>SUM(D395-249.768-46.62-7.44519-351.32938-10.03181)</f>
        <v>41308.72762</v>
      </c>
      <c r="G395" s="21">
        <v>6.798</v>
      </c>
      <c r="H395" s="3" t="s">
        <v>180</v>
      </c>
    </row>
    <row r="396" spans="1:8" ht="76.5" customHeight="1">
      <c r="A396" s="28">
        <v>92</v>
      </c>
      <c r="B396" s="1" t="s">
        <v>78</v>
      </c>
      <c r="C396" s="1"/>
      <c r="D396" s="21">
        <f>SUM(D397:D411)</f>
        <v>18664.705</v>
      </c>
      <c r="E396" s="22"/>
      <c r="F396" s="21">
        <f>SUM(F397:F411)</f>
        <v>16722.50436</v>
      </c>
      <c r="G396" s="21">
        <f>SUM(G397:G411)-G398-G403-G405-G410</f>
        <v>1109.1410000000003</v>
      </c>
      <c r="H396" s="3"/>
    </row>
    <row r="397" spans="1:8" ht="24.75" customHeight="1">
      <c r="A397" s="105" t="s">
        <v>178</v>
      </c>
      <c r="B397" s="104" t="s">
        <v>177</v>
      </c>
      <c r="C397" s="1" t="s">
        <v>246</v>
      </c>
      <c r="D397" s="21">
        <v>10000</v>
      </c>
      <c r="E397" s="22">
        <f>100-(F397/D397)*100</f>
        <v>0.00850270000000819</v>
      </c>
      <c r="F397" s="21">
        <f>SUM(D397-0.85027)</f>
        <v>9999.14973</v>
      </c>
      <c r="G397" s="21">
        <f>2500+G398-2487.625</f>
        <v>128.4000000000001</v>
      </c>
      <c r="H397" s="106" t="s">
        <v>180</v>
      </c>
    </row>
    <row r="398" spans="1:8" s="57" customFormat="1" ht="23.25" customHeight="1">
      <c r="A398" s="105"/>
      <c r="B398" s="104"/>
      <c r="C398" s="1" t="s">
        <v>138</v>
      </c>
      <c r="D398" s="21"/>
      <c r="E398" s="22"/>
      <c r="F398" s="21"/>
      <c r="G398" s="21">
        <v>116.025</v>
      </c>
      <c r="H398" s="106"/>
    </row>
    <row r="399" spans="1:8" s="57" customFormat="1" ht="93" customHeight="1">
      <c r="A399" s="23" t="s">
        <v>178</v>
      </c>
      <c r="B399" s="1" t="s">
        <v>177</v>
      </c>
      <c r="C399" s="1" t="s">
        <v>19</v>
      </c>
      <c r="D399" s="21">
        <v>980</v>
      </c>
      <c r="E399" s="22">
        <f>100-(F399/D399)*100</f>
        <v>0</v>
      </c>
      <c r="F399" s="21">
        <f>SUM(D399)</f>
        <v>980</v>
      </c>
      <c r="G399" s="21">
        <f>980-900</f>
        <v>80</v>
      </c>
      <c r="H399" s="3" t="s">
        <v>180</v>
      </c>
    </row>
    <row r="400" spans="1:8" s="57" customFormat="1" ht="57" customHeight="1">
      <c r="A400" s="23" t="s">
        <v>178</v>
      </c>
      <c r="B400" s="1" t="s">
        <v>177</v>
      </c>
      <c r="C400" s="1" t="s">
        <v>20</v>
      </c>
      <c r="D400" s="21">
        <v>900</v>
      </c>
      <c r="E400" s="22">
        <f>100-(F400/D400)*100</f>
        <v>0</v>
      </c>
      <c r="F400" s="21">
        <f>SUM(D400)</f>
        <v>900</v>
      </c>
      <c r="G400" s="21">
        <f>900-800</f>
        <v>100</v>
      </c>
      <c r="H400" s="3" t="s">
        <v>180</v>
      </c>
    </row>
    <row r="401" spans="1:8" s="57" customFormat="1" ht="60" customHeight="1">
      <c r="A401" s="23" t="s">
        <v>178</v>
      </c>
      <c r="B401" s="1" t="s">
        <v>177</v>
      </c>
      <c r="C401" s="1" t="s">
        <v>21</v>
      </c>
      <c r="D401" s="21">
        <v>1000</v>
      </c>
      <c r="E401" s="22">
        <f>100-(F401/D401)*100</f>
        <v>0</v>
      </c>
      <c r="F401" s="21">
        <f>SUM(D401)</f>
        <v>1000</v>
      </c>
      <c r="G401" s="21">
        <f>607.625-500</f>
        <v>107.625</v>
      </c>
      <c r="H401" s="3" t="s">
        <v>180</v>
      </c>
    </row>
    <row r="402" spans="1:8" ht="55.5" customHeight="1">
      <c r="A402" s="105" t="s">
        <v>178</v>
      </c>
      <c r="B402" s="104" t="s">
        <v>177</v>
      </c>
      <c r="C402" s="1" t="s">
        <v>247</v>
      </c>
      <c r="D402" s="21">
        <v>2000</v>
      </c>
      <c r="E402" s="22">
        <f>100-(F402/D402)*100</f>
        <v>0</v>
      </c>
      <c r="F402" s="21">
        <f>SUM(D402)</f>
        <v>2000</v>
      </c>
      <c r="G402" s="21">
        <f>148.731+G403</f>
        <v>237.378</v>
      </c>
      <c r="H402" s="106" t="s">
        <v>180</v>
      </c>
    </row>
    <row r="403" spans="1:8" s="57" customFormat="1" ht="27.75" customHeight="1">
      <c r="A403" s="105"/>
      <c r="B403" s="104"/>
      <c r="C403" s="1" t="s">
        <v>138</v>
      </c>
      <c r="D403" s="21"/>
      <c r="E403" s="22"/>
      <c r="F403" s="21"/>
      <c r="G403" s="21">
        <v>88.647</v>
      </c>
      <c r="H403" s="106"/>
    </row>
    <row r="404" spans="1:8" ht="58.5" customHeight="1">
      <c r="A404" s="105" t="s">
        <v>178</v>
      </c>
      <c r="B404" s="104" t="s">
        <v>177</v>
      </c>
      <c r="C404" s="1" t="s">
        <v>250</v>
      </c>
      <c r="D404" s="21">
        <v>70</v>
      </c>
      <c r="E404" s="22">
        <f>100-(F404/D404)*100</f>
        <v>0</v>
      </c>
      <c r="F404" s="21">
        <f>SUM(D404)</f>
        <v>70</v>
      </c>
      <c r="G404" s="21">
        <f>58.468+G405</f>
        <v>70</v>
      </c>
      <c r="H404" s="106" t="s">
        <v>180</v>
      </c>
    </row>
    <row r="405" spans="1:8" ht="27" customHeight="1">
      <c r="A405" s="105"/>
      <c r="B405" s="104"/>
      <c r="C405" s="1" t="s">
        <v>138</v>
      </c>
      <c r="D405" s="51"/>
      <c r="E405" s="22"/>
      <c r="F405" s="21"/>
      <c r="G405" s="21">
        <v>11.532</v>
      </c>
      <c r="H405" s="106"/>
    </row>
    <row r="406" spans="1:8" ht="57.75" customHeight="1">
      <c r="A406" s="23" t="s">
        <v>178</v>
      </c>
      <c r="B406" s="1" t="s">
        <v>177</v>
      </c>
      <c r="C406" s="1" t="s">
        <v>261</v>
      </c>
      <c r="D406" s="51">
        <v>929.782</v>
      </c>
      <c r="E406" s="22">
        <f>100-(F406/D406)*100</f>
        <v>31.395564766794777</v>
      </c>
      <c r="F406" s="21">
        <f>D406-0.61696-291.29335</f>
        <v>637.8716900000002</v>
      </c>
      <c r="G406" s="21">
        <f>637.87-500-137.87</f>
        <v>0</v>
      </c>
      <c r="H406" s="3" t="s">
        <v>180</v>
      </c>
    </row>
    <row r="407" spans="1:8" ht="57.75" customHeight="1">
      <c r="A407" s="23" t="s">
        <v>178</v>
      </c>
      <c r="B407" s="1" t="s">
        <v>177</v>
      </c>
      <c r="C407" s="1" t="s">
        <v>262</v>
      </c>
      <c r="D407" s="51">
        <v>609.237</v>
      </c>
      <c r="E407" s="22">
        <f>100-(F407/D407)*100</f>
        <v>41.923474772543365</v>
      </c>
      <c r="F407" s="21">
        <f>D407-0.68238-254.73094</f>
        <v>353.82367999999997</v>
      </c>
      <c r="G407" s="21">
        <v>353.824</v>
      </c>
      <c r="H407" s="3" t="s">
        <v>180</v>
      </c>
    </row>
    <row r="408" spans="1:8" ht="56.25" customHeight="1">
      <c r="A408" s="23" t="s">
        <v>178</v>
      </c>
      <c r="B408" s="1" t="s">
        <v>177</v>
      </c>
      <c r="C408" s="1" t="s">
        <v>249</v>
      </c>
      <c r="D408" s="51">
        <f>1000-0.264</f>
        <v>999.736</v>
      </c>
      <c r="E408" s="22">
        <f>100-(F408/D408)*100</f>
        <v>81.48307153088416</v>
      </c>
      <c r="F408" s="21">
        <f>SUM(D408-263.78662-550.82898)</f>
        <v>185.12040000000002</v>
      </c>
      <c r="G408" s="21">
        <f>185.12-185.12</f>
        <v>0</v>
      </c>
      <c r="H408" s="3" t="s">
        <v>180</v>
      </c>
    </row>
    <row r="409" spans="1:8" ht="59.25" customHeight="1">
      <c r="A409" s="105" t="s">
        <v>178</v>
      </c>
      <c r="B409" s="104" t="s">
        <v>177</v>
      </c>
      <c r="C409" s="1" t="s">
        <v>248</v>
      </c>
      <c r="D409" s="51">
        <f>1000-124.05</f>
        <v>875.95</v>
      </c>
      <c r="E409" s="22">
        <f>100-(F409/D409)*100</f>
        <v>66.14659969176323</v>
      </c>
      <c r="F409" s="21">
        <f>SUM(D409-471.7584-107.65274)</f>
        <v>296.53886000000006</v>
      </c>
      <c r="G409" s="21">
        <f>275.815+G410-275.815</f>
        <v>20.72399999999999</v>
      </c>
      <c r="H409" s="106" t="s">
        <v>180</v>
      </c>
    </row>
    <row r="410" spans="1:8" ht="30" customHeight="1">
      <c r="A410" s="105"/>
      <c r="B410" s="104"/>
      <c r="C410" s="1" t="s">
        <v>138</v>
      </c>
      <c r="D410" s="51"/>
      <c r="E410" s="22"/>
      <c r="F410" s="21"/>
      <c r="G410" s="21">
        <v>20.724</v>
      </c>
      <c r="H410" s="106"/>
    </row>
    <row r="411" spans="1:8" ht="96.75" customHeight="1">
      <c r="A411" s="23" t="s">
        <v>178</v>
      </c>
      <c r="B411" s="1" t="s">
        <v>177</v>
      </c>
      <c r="C411" s="1" t="s">
        <v>46</v>
      </c>
      <c r="D411" s="51">
        <v>300</v>
      </c>
      <c r="E411" s="22">
        <v>0</v>
      </c>
      <c r="F411" s="21">
        <f>SUM(D411)</f>
        <v>300</v>
      </c>
      <c r="G411" s="21">
        <f>11.19+288.81-288.81</f>
        <v>11.189999999999998</v>
      </c>
      <c r="H411" s="3" t="s">
        <v>180</v>
      </c>
    </row>
    <row r="412" spans="1:8" ht="59.25" customHeight="1">
      <c r="A412" s="28">
        <v>93</v>
      </c>
      <c r="B412" s="1" t="s">
        <v>251</v>
      </c>
      <c r="C412" s="1"/>
      <c r="D412" s="21">
        <f>SUM(D413:D414)</f>
        <v>4507.244</v>
      </c>
      <c r="E412" s="21"/>
      <c r="F412" s="21">
        <f>SUM(F413:F414)</f>
        <v>4292.92752</v>
      </c>
      <c r="G412" s="21">
        <f>SUM(G413:G414)</f>
        <v>28.730999999999938</v>
      </c>
      <c r="H412" s="3"/>
    </row>
    <row r="413" spans="1:8" ht="39" customHeight="1">
      <c r="A413" s="23" t="s">
        <v>178</v>
      </c>
      <c r="B413" s="1" t="s">
        <v>177</v>
      </c>
      <c r="C413" s="1" t="s">
        <v>440</v>
      </c>
      <c r="D413" s="51">
        <v>3463.549</v>
      </c>
      <c r="E413" s="22">
        <f>100-(F413/D413)*100</f>
        <v>5.711381014098549</v>
      </c>
      <c r="F413" s="21">
        <f>D413-195.12536-2.69112</f>
        <v>3265.73252</v>
      </c>
      <c r="G413" s="29">
        <v>1.536</v>
      </c>
      <c r="H413" s="3" t="s">
        <v>180</v>
      </c>
    </row>
    <row r="414" spans="1:8" ht="45.75" customHeight="1">
      <c r="A414" s="105" t="s">
        <v>178</v>
      </c>
      <c r="B414" s="104" t="s">
        <v>177</v>
      </c>
      <c r="C414" s="1" t="s">
        <v>265</v>
      </c>
      <c r="D414" s="51">
        <v>1043.695</v>
      </c>
      <c r="E414" s="22">
        <f>100-(F414/D414)*100</f>
        <v>1.5809216294032353</v>
      </c>
      <c r="F414" s="21">
        <f>D414-16.5</f>
        <v>1027.195</v>
      </c>
      <c r="G414" s="2">
        <f>200+G415+807.731-1000</f>
        <v>27.194999999999936</v>
      </c>
      <c r="H414" s="106" t="s">
        <v>180</v>
      </c>
    </row>
    <row r="415" spans="1:8" ht="22.5" customHeight="1">
      <c r="A415" s="105"/>
      <c r="B415" s="104"/>
      <c r="C415" s="1" t="s">
        <v>138</v>
      </c>
      <c r="D415" s="51"/>
      <c r="E415" s="22"/>
      <c r="F415" s="21"/>
      <c r="G415" s="2">
        <v>19.464</v>
      </c>
      <c r="H415" s="106"/>
    </row>
    <row r="416" spans="1:8" ht="56.25" customHeight="1">
      <c r="A416" s="23" t="s">
        <v>131</v>
      </c>
      <c r="B416" s="1" t="s">
        <v>79</v>
      </c>
      <c r="C416" s="1"/>
      <c r="D416" s="21">
        <f>SUM(D417)</f>
        <v>1145.573</v>
      </c>
      <c r="E416" s="22"/>
      <c r="F416" s="21">
        <f>SUM(F417)</f>
        <v>162.20816000000013</v>
      </c>
      <c r="G416" s="21">
        <f>SUM(G417)</f>
        <v>3.758</v>
      </c>
      <c r="H416" s="3"/>
    </row>
    <row r="417" spans="1:8" ht="43.5" customHeight="1">
      <c r="A417" s="105" t="s">
        <v>178</v>
      </c>
      <c r="B417" s="104" t="s">
        <v>177</v>
      </c>
      <c r="C417" s="1" t="s">
        <v>47</v>
      </c>
      <c r="D417" s="21">
        <v>1145.573</v>
      </c>
      <c r="E417" s="22">
        <f>100-(F417/D417)*100</f>
        <v>85.84043443761331</v>
      </c>
      <c r="F417" s="21">
        <f>SUM(D417-983.36484)</f>
        <v>162.20816000000013</v>
      </c>
      <c r="G417" s="21">
        <f>3+0.758</f>
        <v>3.758</v>
      </c>
      <c r="H417" s="106" t="s">
        <v>180</v>
      </c>
    </row>
    <row r="418" spans="1:8" ht="31.5" customHeight="1" thickBot="1">
      <c r="A418" s="111"/>
      <c r="B418" s="112"/>
      <c r="C418" s="52" t="s">
        <v>138</v>
      </c>
      <c r="D418" s="53"/>
      <c r="E418" s="54"/>
      <c r="F418" s="55"/>
      <c r="G418" s="56">
        <v>3</v>
      </c>
      <c r="H418" s="113"/>
    </row>
  </sheetData>
  <sheetProtection/>
  <mergeCells count="278">
    <mergeCell ref="A414:A415"/>
    <mergeCell ref="B414:B415"/>
    <mergeCell ref="H414:H415"/>
    <mergeCell ref="A417:A418"/>
    <mergeCell ref="B417:B418"/>
    <mergeCell ref="H417:H418"/>
    <mergeCell ref="A404:A405"/>
    <mergeCell ref="B404:B405"/>
    <mergeCell ref="H404:H405"/>
    <mergeCell ref="A409:A410"/>
    <mergeCell ref="B409:B410"/>
    <mergeCell ref="H409:H410"/>
    <mergeCell ref="A397:A398"/>
    <mergeCell ref="B397:B398"/>
    <mergeCell ref="H397:H398"/>
    <mergeCell ref="A402:A403"/>
    <mergeCell ref="B402:B403"/>
    <mergeCell ref="H402:H403"/>
    <mergeCell ref="A391:A392"/>
    <mergeCell ref="B391:B392"/>
    <mergeCell ref="H391:H392"/>
    <mergeCell ref="A393:A394"/>
    <mergeCell ref="B393:B394"/>
    <mergeCell ref="H393:H394"/>
    <mergeCell ref="A386:A387"/>
    <mergeCell ref="B386:B387"/>
    <mergeCell ref="H386:H387"/>
    <mergeCell ref="A389:A390"/>
    <mergeCell ref="B389:B390"/>
    <mergeCell ref="H389:H390"/>
    <mergeCell ref="A377:A380"/>
    <mergeCell ref="B377:B380"/>
    <mergeCell ref="A381:A384"/>
    <mergeCell ref="B381:B384"/>
    <mergeCell ref="A366:A370"/>
    <mergeCell ref="B366:B370"/>
    <mergeCell ref="A371:A372"/>
    <mergeCell ref="B371:B372"/>
    <mergeCell ref="A360:A362"/>
    <mergeCell ref="B360:B362"/>
    <mergeCell ref="A363:A365"/>
    <mergeCell ref="B363:B365"/>
    <mergeCell ref="A326:A327"/>
    <mergeCell ref="B326:B327"/>
    <mergeCell ref="H326:H327"/>
    <mergeCell ref="A358:A359"/>
    <mergeCell ref="B358:B359"/>
    <mergeCell ref="H358:H359"/>
    <mergeCell ref="A322:A323"/>
    <mergeCell ref="B322:B323"/>
    <mergeCell ref="H322:H323"/>
    <mergeCell ref="A324:A325"/>
    <mergeCell ref="B324:B325"/>
    <mergeCell ref="H324:H325"/>
    <mergeCell ref="A314:A315"/>
    <mergeCell ref="B314:B315"/>
    <mergeCell ref="H314:H315"/>
    <mergeCell ref="A320:A321"/>
    <mergeCell ref="B320:B321"/>
    <mergeCell ref="H320:H321"/>
    <mergeCell ref="A306:A307"/>
    <mergeCell ref="B306:B307"/>
    <mergeCell ref="H306:H307"/>
    <mergeCell ref="A309:A310"/>
    <mergeCell ref="B309:B310"/>
    <mergeCell ref="H309:H310"/>
    <mergeCell ref="A300:A301"/>
    <mergeCell ref="B300:B301"/>
    <mergeCell ref="H300:H301"/>
    <mergeCell ref="A304:A305"/>
    <mergeCell ref="B304:B305"/>
    <mergeCell ref="H304:H305"/>
    <mergeCell ref="A295:A296"/>
    <mergeCell ref="B295:B296"/>
    <mergeCell ref="H295:H296"/>
    <mergeCell ref="A297:A298"/>
    <mergeCell ref="B297:B298"/>
    <mergeCell ref="H297:H298"/>
    <mergeCell ref="A291:A292"/>
    <mergeCell ref="B291:B292"/>
    <mergeCell ref="H291:H292"/>
    <mergeCell ref="A293:A294"/>
    <mergeCell ref="B293:B294"/>
    <mergeCell ref="H293:H294"/>
    <mergeCell ref="A286:A287"/>
    <mergeCell ref="B286:B287"/>
    <mergeCell ref="H286:H287"/>
    <mergeCell ref="A288:A289"/>
    <mergeCell ref="B288:B289"/>
    <mergeCell ref="H288:H289"/>
    <mergeCell ref="A282:A283"/>
    <mergeCell ref="B282:B283"/>
    <mergeCell ref="H282:H283"/>
    <mergeCell ref="A284:A285"/>
    <mergeCell ref="B284:B285"/>
    <mergeCell ref="H284:H285"/>
    <mergeCell ref="A273:A274"/>
    <mergeCell ref="B273:B274"/>
    <mergeCell ref="H273:H274"/>
    <mergeCell ref="A278:A279"/>
    <mergeCell ref="B278:B279"/>
    <mergeCell ref="H278:H279"/>
    <mergeCell ref="A269:A270"/>
    <mergeCell ref="B269:B270"/>
    <mergeCell ref="H269:H270"/>
    <mergeCell ref="A271:A272"/>
    <mergeCell ref="B271:B272"/>
    <mergeCell ref="H271:H272"/>
    <mergeCell ref="A265:A266"/>
    <mergeCell ref="B265:B266"/>
    <mergeCell ref="H265:H266"/>
    <mergeCell ref="A267:A268"/>
    <mergeCell ref="B267:B268"/>
    <mergeCell ref="H267:H268"/>
    <mergeCell ref="A258:A259"/>
    <mergeCell ref="B258:B259"/>
    <mergeCell ref="H258:H259"/>
    <mergeCell ref="A261:A262"/>
    <mergeCell ref="B261:B262"/>
    <mergeCell ref="H261:H262"/>
    <mergeCell ref="A254:A255"/>
    <mergeCell ref="B254:B255"/>
    <mergeCell ref="H254:H255"/>
    <mergeCell ref="A256:A257"/>
    <mergeCell ref="B256:B257"/>
    <mergeCell ref="H256:H257"/>
    <mergeCell ref="A246:A247"/>
    <mergeCell ref="B246:B247"/>
    <mergeCell ref="H246:H247"/>
    <mergeCell ref="A252:A253"/>
    <mergeCell ref="B252:B253"/>
    <mergeCell ref="H252:H253"/>
    <mergeCell ref="A241:A242"/>
    <mergeCell ref="B241:B242"/>
    <mergeCell ref="H241:H242"/>
    <mergeCell ref="A244:A245"/>
    <mergeCell ref="B244:B245"/>
    <mergeCell ref="H244:H245"/>
    <mergeCell ref="A235:A236"/>
    <mergeCell ref="B235:B236"/>
    <mergeCell ref="H235:H236"/>
    <mergeCell ref="A237:A238"/>
    <mergeCell ref="B237:B238"/>
    <mergeCell ref="H237:H238"/>
    <mergeCell ref="A222:A223"/>
    <mergeCell ref="B222:B223"/>
    <mergeCell ref="H222:H223"/>
    <mergeCell ref="A225:A226"/>
    <mergeCell ref="B225:B226"/>
    <mergeCell ref="H225:H226"/>
    <mergeCell ref="A217:A218"/>
    <mergeCell ref="B217:B218"/>
    <mergeCell ref="H217:H218"/>
    <mergeCell ref="A220:A221"/>
    <mergeCell ref="B220:B221"/>
    <mergeCell ref="H220:H221"/>
    <mergeCell ref="A211:A212"/>
    <mergeCell ref="B211:B212"/>
    <mergeCell ref="H211:H212"/>
    <mergeCell ref="A213:A214"/>
    <mergeCell ref="B213:B214"/>
    <mergeCell ref="H213:H214"/>
    <mergeCell ref="A184:A185"/>
    <mergeCell ref="B184:B185"/>
    <mergeCell ref="A186:A187"/>
    <mergeCell ref="B186:B187"/>
    <mergeCell ref="A172:A174"/>
    <mergeCell ref="B172:B174"/>
    <mergeCell ref="H172:H174"/>
    <mergeCell ref="A181:A182"/>
    <mergeCell ref="B181:B182"/>
    <mergeCell ref="A151:A152"/>
    <mergeCell ref="B151:B152"/>
    <mergeCell ref="H151:H152"/>
    <mergeCell ref="A158:A159"/>
    <mergeCell ref="B158:B159"/>
    <mergeCell ref="H158:H159"/>
    <mergeCell ref="A133:A134"/>
    <mergeCell ref="B133:B134"/>
    <mergeCell ref="H133:H134"/>
    <mergeCell ref="A148:A149"/>
    <mergeCell ref="B148:B149"/>
    <mergeCell ref="H148:H149"/>
    <mergeCell ref="A101:A102"/>
    <mergeCell ref="B101:B102"/>
    <mergeCell ref="H101:H102"/>
    <mergeCell ref="A123:A124"/>
    <mergeCell ref="B123:B124"/>
    <mergeCell ref="H123:H124"/>
    <mergeCell ref="A88:A90"/>
    <mergeCell ref="B88:B90"/>
    <mergeCell ref="H88:H90"/>
    <mergeCell ref="A94:A95"/>
    <mergeCell ref="B94:B95"/>
    <mergeCell ref="H94:H95"/>
    <mergeCell ref="A77:A78"/>
    <mergeCell ref="B77:B78"/>
    <mergeCell ref="H77:H78"/>
    <mergeCell ref="A86:A87"/>
    <mergeCell ref="B86:B87"/>
    <mergeCell ref="H86:H87"/>
    <mergeCell ref="A73:A74"/>
    <mergeCell ref="B73:B74"/>
    <mergeCell ref="H73:H74"/>
    <mergeCell ref="A75:A76"/>
    <mergeCell ref="B75:B76"/>
    <mergeCell ref="H75:H76"/>
    <mergeCell ref="A67:A68"/>
    <mergeCell ref="B67:B68"/>
    <mergeCell ref="H67:H68"/>
    <mergeCell ref="A70:A71"/>
    <mergeCell ref="B70:B71"/>
    <mergeCell ref="H70:H71"/>
    <mergeCell ref="A57:A58"/>
    <mergeCell ref="B57:B58"/>
    <mergeCell ref="H57:H58"/>
    <mergeCell ref="A63:A64"/>
    <mergeCell ref="B63:B64"/>
    <mergeCell ref="H63:H64"/>
    <mergeCell ref="A51:A52"/>
    <mergeCell ref="B51:B52"/>
    <mergeCell ref="H51:H52"/>
    <mergeCell ref="A55:A56"/>
    <mergeCell ref="B55:B56"/>
    <mergeCell ref="H55:H56"/>
    <mergeCell ref="A46:A47"/>
    <mergeCell ref="B46:B47"/>
    <mergeCell ref="H46:H47"/>
    <mergeCell ref="A49:A50"/>
    <mergeCell ref="B49:B50"/>
    <mergeCell ref="H49:H50"/>
    <mergeCell ref="A41:A42"/>
    <mergeCell ref="B41:B42"/>
    <mergeCell ref="H41:H42"/>
    <mergeCell ref="A43:A44"/>
    <mergeCell ref="B43:B44"/>
    <mergeCell ref="H43:H44"/>
    <mergeCell ref="A33:A34"/>
    <mergeCell ref="B33:B34"/>
    <mergeCell ref="H33:H34"/>
    <mergeCell ref="A38:A39"/>
    <mergeCell ref="B38:B39"/>
    <mergeCell ref="H38:H39"/>
    <mergeCell ref="A28:A29"/>
    <mergeCell ref="B28:B29"/>
    <mergeCell ref="H28:H29"/>
    <mergeCell ref="A31:A32"/>
    <mergeCell ref="B31:B32"/>
    <mergeCell ref="H31:H32"/>
    <mergeCell ref="A24:A25"/>
    <mergeCell ref="B24:B25"/>
    <mergeCell ref="H24:H25"/>
    <mergeCell ref="A26:A27"/>
    <mergeCell ref="B26:B27"/>
    <mergeCell ref="H26:H27"/>
    <mergeCell ref="A19:A20"/>
    <mergeCell ref="B19:B20"/>
    <mergeCell ref="H19:H20"/>
    <mergeCell ref="A22:A23"/>
    <mergeCell ref="B22:B23"/>
    <mergeCell ref="H22:H23"/>
    <mergeCell ref="F11:F12"/>
    <mergeCell ref="G11:G12"/>
    <mergeCell ref="H11:H12"/>
    <mergeCell ref="A16:A17"/>
    <mergeCell ref="B16:B17"/>
    <mergeCell ref="B10:C10"/>
    <mergeCell ref="C11:C12"/>
    <mergeCell ref="D11:D12"/>
    <mergeCell ref="E11:E12"/>
    <mergeCell ref="F5:H6"/>
    <mergeCell ref="A7:H7"/>
    <mergeCell ref="G8:H8"/>
    <mergeCell ref="A9:H9"/>
    <mergeCell ref="F1:G1"/>
    <mergeCell ref="F2:G2"/>
    <mergeCell ref="F3:H3"/>
    <mergeCell ref="F4:H4"/>
  </mergeCells>
  <printOptions/>
  <pageMargins left="0.31496062992125984" right="0.11811023622047245" top="0.984251968503937" bottom="0.15748031496062992" header="0.7086614173228347" footer="0.31496062992125984"/>
  <pageSetup horizontalDpi="600" verticalDpi="600" orientation="landscape" paperSize="9" scale="78"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G125"/>
  <sheetViews>
    <sheetView view="pageBreakPreview" zoomScaleSheetLayoutView="100" workbookViewId="0" topLeftCell="A1">
      <selection activeCell="D6" sqref="D6"/>
    </sheetView>
  </sheetViews>
  <sheetFormatPr defaultColWidth="9.140625" defaultRowHeight="15"/>
  <cols>
    <col min="1" max="1" width="19.140625" style="12" customWidth="1"/>
    <col min="2" max="2" width="50.28125" style="12" customWidth="1"/>
    <col min="3" max="3" width="22.140625" style="9" customWidth="1"/>
    <col min="4" max="4" width="18.7109375" style="9" customWidth="1"/>
    <col min="5" max="5" width="29.7109375" style="78" customWidth="1"/>
    <col min="6" max="6" width="20.140625" style="12" customWidth="1"/>
    <col min="7" max="7" width="24.00390625" style="12" customWidth="1"/>
    <col min="8" max="16384" width="9.140625" style="12" customWidth="1"/>
  </cols>
  <sheetData>
    <row r="1" spans="1:4" s="5" customFormat="1" ht="22.5" customHeight="1">
      <c r="A1" s="61"/>
      <c r="B1" s="61"/>
      <c r="C1" s="61"/>
      <c r="D1" s="61" t="s">
        <v>88</v>
      </c>
    </row>
    <row r="2" spans="1:4" s="5" customFormat="1" ht="38.25" customHeight="1">
      <c r="A2" s="118" t="s">
        <v>72</v>
      </c>
      <c r="B2" s="118"/>
      <c r="C2" s="118"/>
      <c r="D2" s="118"/>
    </row>
    <row r="3" spans="1:4" s="5" customFormat="1" ht="22.5" customHeight="1" thickBot="1">
      <c r="A3" s="61"/>
      <c r="B3" s="61"/>
      <c r="C3" s="62"/>
      <c r="D3" s="61" t="s">
        <v>81</v>
      </c>
    </row>
    <row r="4" spans="1:4" s="5" customFormat="1" ht="57.75" customHeight="1">
      <c r="A4" s="63" t="s">
        <v>82</v>
      </c>
      <c r="B4" s="18" t="s">
        <v>74</v>
      </c>
      <c r="C4" s="97" t="s">
        <v>83</v>
      </c>
      <c r="D4" s="101" t="s">
        <v>255</v>
      </c>
    </row>
    <row r="5" spans="1:4" s="5" customFormat="1" ht="59.25" customHeight="1" thickBot="1">
      <c r="A5" s="64" t="s">
        <v>84</v>
      </c>
      <c r="B5" s="20" t="s">
        <v>85</v>
      </c>
      <c r="C5" s="98"/>
      <c r="D5" s="102"/>
    </row>
    <row r="6" spans="1:4" s="5" customFormat="1" ht="18" customHeight="1" thickBot="1">
      <c r="A6" s="65">
        <v>1</v>
      </c>
      <c r="B6" s="66">
        <v>2</v>
      </c>
      <c r="C6" s="66">
        <v>3</v>
      </c>
      <c r="D6" s="67">
        <v>4</v>
      </c>
    </row>
    <row r="7" spans="1:7" s="5" customFormat="1" ht="20.25" customHeight="1">
      <c r="A7" s="68"/>
      <c r="B7" s="18" t="s">
        <v>86</v>
      </c>
      <c r="C7" s="69"/>
      <c r="D7" s="70">
        <f>SUM(D8+D13+D31+D45+D53+D55+D66+D68+D78+D86+D88+D90+D94+D98+D100+D102+D105+D109+D111+D115+D118+D120+D80)</f>
        <v>146449.68600000005</v>
      </c>
      <c r="E7" s="71"/>
      <c r="G7" s="71"/>
    </row>
    <row r="8" spans="1:5" s="5" customFormat="1" ht="20.25" customHeight="1">
      <c r="A8" s="23" t="s">
        <v>89</v>
      </c>
      <c r="B8" s="1" t="s">
        <v>135</v>
      </c>
      <c r="C8" s="1"/>
      <c r="D8" s="48">
        <f>SUM(D9+D11)</f>
        <v>827.942</v>
      </c>
      <c r="E8" s="71"/>
    </row>
    <row r="9" spans="1:4" s="5" customFormat="1" ht="18" customHeight="1">
      <c r="A9" s="105" t="s">
        <v>90</v>
      </c>
      <c r="B9" s="1" t="s">
        <v>91</v>
      </c>
      <c r="C9" s="114" t="s">
        <v>92</v>
      </c>
      <c r="D9" s="48">
        <f>253.199+41.588+154.058+4.615+333.058</f>
        <v>786.518</v>
      </c>
    </row>
    <row r="10" spans="1:5" ht="39" customHeight="1">
      <c r="A10" s="105"/>
      <c r="B10" s="24" t="s">
        <v>138</v>
      </c>
      <c r="C10" s="114"/>
      <c r="D10" s="48">
        <v>183.199</v>
      </c>
      <c r="E10" s="71"/>
    </row>
    <row r="11" spans="1:4" s="5" customFormat="1" ht="19.5" customHeight="1">
      <c r="A11" s="105" t="s">
        <v>139</v>
      </c>
      <c r="B11" s="1" t="s">
        <v>168</v>
      </c>
      <c r="C11" s="114" t="s">
        <v>92</v>
      </c>
      <c r="D11" s="48">
        <f>SUM(D12)</f>
        <v>41.424</v>
      </c>
    </row>
    <row r="12" spans="1:5" ht="36.75" customHeight="1">
      <c r="A12" s="105"/>
      <c r="B12" s="24" t="s">
        <v>138</v>
      </c>
      <c r="C12" s="114"/>
      <c r="D12" s="48">
        <v>41.424</v>
      </c>
      <c r="E12" s="71"/>
    </row>
    <row r="13" spans="1:5" ht="37.5" customHeight="1">
      <c r="A13" s="28">
        <v>10</v>
      </c>
      <c r="B13" s="1" t="s">
        <v>76</v>
      </c>
      <c r="C13" s="1"/>
      <c r="D13" s="48">
        <f>SUM(D14+D15+D17+D19+D21+D24+D28+D23+D30+D26+D27)</f>
        <v>12641.282999999998</v>
      </c>
      <c r="E13" s="71"/>
    </row>
    <row r="14" spans="1:4" s="5" customFormat="1" ht="22.5" customHeight="1">
      <c r="A14" s="23" t="s">
        <v>90</v>
      </c>
      <c r="B14" s="1" t="s">
        <v>91</v>
      </c>
      <c r="C14" s="29" t="s">
        <v>92</v>
      </c>
      <c r="D14" s="48">
        <v>14</v>
      </c>
    </row>
    <row r="15" spans="1:5" ht="20.25" customHeight="1">
      <c r="A15" s="105" t="s">
        <v>94</v>
      </c>
      <c r="B15" s="24" t="s">
        <v>95</v>
      </c>
      <c r="C15" s="114" t="s">
        <v>92</v>
      </c>
      <c r="D15" s="48">
        <f>2735.35-298.673+2020+9</f>
        <v>4465.677</v>
      </c>
      <c r="E15" s="71"/>
    </row>
    <row r="16" spans="1:5" ht="38.25" customHeight="1">
      <c r="A16" s="105"/>
      <c r="B16" s="24" t="s">
        <v>138</v>
      </c>
      <c r="C16" s="114"/>
      <c r="D16" s="48">
        <f>1423.099-539.795</f>
        <v>883.304</v>
      </c>
      <c r="E16" s="71"/>
    </row>
    <row r="17" spans="1:5" ht="54.75" customHeight="1">
      <c r="A17" s="105" t="s">
        <v>96</v>
      </c>
      <c r="B17" s="1" t="s">
        <v>97</v>
      </c>
      <c r="C17" s="114" t="s">
        <v>92</v>
      </c>
      <c r="D17" s="48">
        <f>7754.148-265-37.1-9</f>
        <v>7443.048</v>
      </c>
      <c r="E17" s="71"/>
    </row>
    <row r="18" spans="1:5" ht="38.25" customHeight="1">
      <c r="A18" s="105"/>
      <c r="B18" s="24" t="s">
        <v>138</v>
      </c>
      <c r="C18" s="114"/>
      <c r="D18" s="48">
        <f>2258.572-929.292</f>
        <v>1329.2800000000002</v>
      </c>
      <c r="E18" s="71"/>
    </row>
    <row r="19" spans="1:5" ht="20.25" customHeight="1">
      <c r="A19" s="119" t="s">
        <v>143</v>
      </c>
      <c r="B19" s="1" t="s">
        <v>144</v>
      </c>
      <c r="C19" s="114" t="s">
        <v>92</v>
      </c>
      <c r="D19" s="48">
        <v>44.8</v>
      </c>
      <c r="E19" s="71"/>
    </row>
    <row r="20" spans="1:5" ht="36" customHeight="1">
      <c r="A20" s="119"/>
      <c r="B20" s="24" t="s">
        <v>138</v>
      </c>
      <c r="C20" s="114"/>
      <c r="D20" s="48">
        <v>14.74</v>
      </c>
      <c r="E20" s="71"/>
    </row>
    <row r="21" spans="1:6" ht="38.25" customHeight="1">
      <c r="A21" s="105" t="s">
        <v>98</v>
      </c>
      <c r="B21" s="1" t="s">
        <v>99</v>
      </c>
      <c r="C21" s="114" t="s">
        <v>92</v>
      </c>
      <c r="D21" s="48">
        <f>225.578+11</f>
        <v>236.578</v>
      </c>
      <c r="E21" s="71"/>
      <c r="F21" s="5"/>
    </row>
    <row r="22" spans="1:5" ht="36.75" customHeight="1">
      <c r="A22" s="105"/>
      <c r="B22" s="24" t="s">
        <v>138</v>
      </c>
      <c r="C22" s="114"/>
      <c r="D22" s="48">
        <f>33.649-24.05</f>
        <v>9.599</v>
      </c>
      <c r="E22" s="71"/>
    </row>
    <row r="23" spans="1:6" ht="37.5" customHeight="1">
      <c r="A23" s="23" t="s">
        <v>419</v>
      </c>
      <c r="B23" s="1" t="s">
        <v>420</v>
      </c>
      <c r="C23" s="29" t="s">
        <v>92</v>
      </c>
      <c r="D23" s="48">
        <v>49</v>
      </c>
      <c r="E23" s="71"/>
      <c r="F23" s="5"/>
    </row>
    <row r="24" spans="1:6" ht="39" customHeight="1">
      <c r="A24" s="105" t="s">
        <v>158</v>
      </c>
      <c r="B24" s="1" t="s">
        <v>159</v>
      </c>
      <c r="C24" s="114" t="s">
        <v>92</v>
      </c>
      <c r="D24" s="48">
        <v>94.43</v>
      </c>
      <c r="E24" s="71"/>
      <c r="F24" s="5"/>
    </row>
    <row r="25" spans="1:5" ht="37.5" customHeight="1">
      <c r="A25" s="105"/>
      <c r="B25" s="24" t="s">
        <v>138</v>
      </c>
      <c r="C25" s="114"/>
      <c r="D25" s="48">
        <v>17.43</v>
      </c>
      <c r="E25" s="71"/>
    </row>
    <row r="26" spans="1:5" ht="37.5" customHeight="1">
      <c r="A26" s="23" t="s">
        <v>36</v>
      </c>
      <c r="B26" s="24" t="s">
        <v>38</v>
      </c>
      <c r="C26" s="29" t="s">
        <v>92</v>
      </c>
      <c r="D26" s="48">
        <v>16</v>
      </c>
      <c r="E26" s="71"/>
    </row>
    <row r="27" spans="1:5" ht="36.75" customHeight="1">
      <c r="A27" s="23" t="s">
        <v>37</v>
      </c>
      <c r="B27" s="24" t="s">
        <v>38</v>
      </c>
      <c r="C27" s="29" t="s">
        <v>92</v>
      </c>
      <c r="D27" s="48">
        <v>10</v>
      </c>
      <c r="E27" s="71"/>
    </row>
    <row r="28" spans="1:5" ht="37.5" customHeight="1">
      <c r="A28" s="119" t="s">
        <v>145</v>
      </c>
      <c r="B28" s="1" t="s">
        <v>146</v>
      </c>
      <c r="C28" s="114" t="s">
        <v>92</v>
      </c>
      <c r="D28" s="48">
        <v>219.25</v>
      </c>
      <c r="E28" s="71"/>
    </row>
    <row r="29" spans="1:5" ht="36" customHeight="1">
      <c r="A29" s="119"/>
      <c r="B29" s="24" t="s">
        <v>138</v>
      </c>
      <c r="C29" s="114"/>
      <c r="D29" s="48">
        <f>39.5-35.5</f>
        <v>4</v>
      </c>
      <c r="E29" s="71"/>
    </row>
    <row r="30" spans="1:5" ht="27.75" customHeight="1">
      <c r="A30" s="50" t="s">
        <v>24</v>
      </c>
      <c r="B30" s="1" t="s">
        <v>25</v>
      </c>
      <c r="C30" s="29" t="s">
        <v>92</v>
      </c>
      <c r="D30" s="48">
        <v>48.5</v>
      </c>
      <c r="E30" s="71"/>
    </row>
    <row r="31" spans="1:6" ht="39" customHeight="1">
      <c r="A31" s="28">
        <v>14</v>
      </c>
      <c r="B31" s="1" t="s">
        <v>100</v>
      </c>
      <c r="C31" s="29"/>
      <c r="D31" s="48">
        <f>SUM(D32+D33+D35+D37+D39+D41+D43+D44)</f>
        <v>18387.694</v>
      </c>
      <c r="E31" s="71"/>
      <c r="F31" s="5"/>
    </row>
    <row r="32" spans="1:4" s="5" customFormat="1" ht="23.25" customHeight="1">
      <c r="A32" s="23" t="s">
        <v>90</v>
      </c>
      <c r="B32" s="1" t="s">
        <v>91</v>
      </c>
      <c r="C32" s="29" t="s">
        <v>92</v>
      </c>
      <c r="D32" s="48">
        <v>7</v>
      </c>
    </row>
    <row r="33" spans="1:6" ht="21.75" customHeight="1">
      <c r="A33" s="105" t="s">
        <v>101</v>
      </c>
      <c r="B33" s="24" t="s">
        <v>102</v>
      </c>
      <c r="C33" s="114" t="s">
        <v>92</v>
      </c>
      <c r="D33" s="48">
        <f>7496.972+1042.329</f>
        <v>8539.301</v>
      </c>
      <c r="E33" s="71"/>
      <c r="F33" s="5"/>
    </row>
    <row r="34" spans="1:5" ht="38.25" customHeight="1">
      <c r="A34" s="105"/>
      <c r="B34" s="24" t="s">
        <v>138</v>
      </c>
      <c r="C34" s="114"/>
      <c r="D34" s="48">
        <f>1728.09-157.545-158.116</f>
        <v>1412.4289999999999</v>
      </c>
      <c r="E34" s="71"/>
    </row>
    <row r="35" spans="1:6" ht="22.5" customHeight="1">
      <c r="A35" s="105" t="s">
        <v>103</v>
      </c>
      <c r="B35" s="1" t="s">
        <v>104</v>
      </c>
      <c r="C35" s="114" t="s">
        <v>92</v>
      </c>
      <c r="D35" s="48">
        <v>4288.771</v>
      </c>
      <c r="E35" s="71"/>
      <c r="F35" s="5"/>
    </row>
    <row r="36" spans="1:5" ht="38.25" customHeight="1">
      <c r="A36" s="105"/>
      <c r="B36" s="24" t="s">
        <v>138</v>
      </c>
      <c r="C36" s="114"/>
      <c r="D36" s="48">
        <f>605.02-33.25</f>
        <v>571.77</v>
      </c>
      <c r="E36" s="71"/>
    </row>
    <row r="37" spans="1:6" ht="75.75" customHeight="1">
      <c r="A37" s="105" t="s">
        <v>105</v>
      </c>
      <c r="B37" s="1" t="s">
        <v>106</v>
      </c>
      <c r="C37" s="114" t="s">
        <v>92</v>
      </c>
      <c r="D37" s="48">
        <f>640.216-10</f>
        <v>630.216</v>
      </c>
      <c r="E37" s="71"/>
      <c r="F37" s="5"/>
    </row>
    <row r="38" spans="1:5" ht="37.5" customHeight="1">
      <c r="A38" s="105"/>
      <c r="B38" s="24" t="s">
        <v>138</v>
      </c>
      <c r="C38" s="114"/>
      <c r="D38" s="48">
        <f>664.268-28-10</f>
        <v>626.268</v>
      </c>
      <c r="E38" s="71"/>
    </row>
    <row r="39" spans="1:5" ht="36.75" customHeight="1">
      <c r="A39" s="105" t="s">
        <v>140</v>
      </c>
      <c r="B39" s="24" t="s">
        <v>141</v>
      </c>
      <c r="C39" s="114" t="s">
        <v>92</v>
      </c>
      <c r="D39" s="48">
        <v>25</v>
      </c>
      <c r="E39" s="71"/>
    </row>
    <row r="40" spans="1:5" ht="39" customHeight="1">
      <c r="A40" s="105"/>
      <c r="B40" s="24" t="s">
        <v>138</v>
      </c>
      <c r="C40" s="114"/>
      <c r="D40" s="48">
        <v>6</v>
      </c>
      <c r="E40" s="71"/>
    </row>
    <row r="41" spans="1:5" ht="41.25" customHeight="1">
      <c r="A41" s="105" t="s">
        <v>160</v>
      </c>
      <c r="B41" s="24" t="s">
        <v>161</v>
      </c>
      <c r="C41" s="114" t="s">
        <v>92</v>
      </c>
      <c r="D41" s="48">
        <f>5577.781-773.077-30+55.902</f>
        <v>4830.606</v>
      </c>
      <c r="E41" s="71"/>
    </row>
    <row r="42" spans="1:5" ht="37.5" customHeight="1">
      <c r="A42" s="105"/>
      <c r="B42" s="24" t="s">
        <v>138</v>
      </c>
      <c r="C42" s="114"/>
      <c r="D42" s="48">
        <f>832.578-773.077</f>
        <v>59.500999999999976</v>
      </c>
      <c r="E42" s="71"/>
    </row>
    <row r="43" spans="1:5" ht="27.75" customHeight="1">
      <c r="A43" s="23" t="s">
        <v>402</v>
      </c>
      <c r="B43" s="24" t="s">
        <v>409</v>
      </c>
      <c r="C43" s="29" t="s">
        <v>92</v>
      </c>
      <c r="D43" s="48">
        <v>11.6</v>
      </c>
      <c r="E43" s="71"/>
    </row>
    <row r="44" spans="1:5" ht="94.5" customHeight="1">
      <c r="A44" s="23" t="s">
        <v>399</v>
      </c>
      <c r="B44" s="24" t="s">
        <v>400</v>
      </c>
      <c r="C44" s="29" t="s">
        <v>92</v>
      </c>
      <c r="D44" s="48">
        <v>55.2</v>
      </c>
      <c r="E44" s="71"/>
    </row>
    <row r="45" spans="1:6" ht="43.5" customHeight="1">
      <c r="A45" s="28">
        <v>15</v>
      </c>
      <c r="B45" s="1" t="s">
        <v>77</v>
      </c>
      <c r="C45" s="29"/>
      <c r="D45" s="48">
        <f>SUM(D46+D50+D48+D52)</f>
        <v>2294.0679999999998</v>
      </c>
      <c r="E45" s="71"/>
      <c r="F45" s="5"/>
    </row>
    <row r="46" spans="1:5" ht="28.5" customHeight="1">
      <c r="A46" s="105" t="s">
        <v>90</v>
      </c>
      <c r="B46" s="24" t="s">
        <v>91</v>
      </c>
      <c r="C46" s="114" t="s">
        <v>92</v>
      </c>
      <c r="D46" s="48">
        <v>909.035</v>
      </c>
      <c r="E46" s="71"/>
    </row>
    <row r="47" spans="1:5" ht="42" customHeight="1">
      <c r="A47" s="105"/>
      <c r="B47" s="24" t="s">
        <v>138</v>
      </c>
      <c r="C47" s="114"/>
      <c r="D47" s="48">
        <v>23.9</v>
      </c>
      <c r="E47" s="71"/>
    </row>
    <row r="48" spans="1:5" ht="219.75" customHeight="1">
      <c r="A48" s="23" t="s">
        <v>413</v>
      </c>
      <c r="B48" s="72" t="s">
        <v>411</v>
      </c>
      <c r="C48" s="29" t="s">
        <v>92</v>
      </c>
      <c r="D48" s="48">
        <v>167.2</v>
      </c>
      <c r="E48" s="71"/>
    </row>
    <row r="49" spans="1:5" ht="252" customHeight="1">
      <c r="A49" s="23"/>
      <c r="B49" s="73" t="s">
        <v>412</v>
      </c>
      <c r="C49" s="29"/>
      <c r="D49" s="48">
        <v>167.2</v>
      </c>
      <c r="E49" s="71"/>
    </row>
    <row r="50" spans="1:6" ht="36" customHeight="1">
      <c r="A50" s="105" t="s">
        <v>129</v>
      </c>
      <c r="B50" s="33" t="s">
        <v>130</v>
      </c>
      <c r="C50" s="114" t="s">
        <v>92</v>
      </c>
      <c r="D50" s="48">
        <v>1179.733</v>
      </c>
      <c r="E50" s="71"/>
      <c r="F50" s="5"/>
    </row>
    <row r="51" spans="1:5" ht="36" customHeight="1">
      <c r="A51" s="105"/>
      <c r="B51" s="24" t="s">
        <v>138</v>
      </c>
      <c r="C51" s="114"/>
      <c r="D51" s="48">
        <v>53.06</v>
      </c>
      <c r="E51" s="71"/>
    </row>
    <row r="52" spans="1:5" ht="36" customHeight="1">
      <c r="A52" s="23" t="s">
        <v>27</v>
      </c>
      <c r="B52" s="24" t="s">
        <v>28</v>
      </c>
      <c r="C52" s="29" t="s">
        <v>92</v>
      </c>
      <c r="D52" s="48">
        <f>30+8.1</f>
        <v>38.1</v>
      </c>
      <c r="E52" s="71"/>
    </row>
    <row r="53" spans="1:6" ht="54" customHeight="1">
      <c r="A53" s="28">
        <v>23</v>
      </c>
      <c r="B53" s="1" t="s">
        <v>401</v>
      </c>
      <c r="C53" s="29"/>
      <c r="D53" s="48">
        <f>SUM(D54)</f>
        <v>7</v>
      </c>
      <c r="E53" s="71"/>
      <c r="F53" s="5"/>
    </row>
    <row r="54" spans="1:5" ht="20.25" customHeight="1">
      <c r="A54" s="23" t="s">
        <v>90</v>
      </c>
      <c r="B54" s="24" t="s">
        <v>91</v>
      </c>
      <c r="C54" s="29" t="s">
        <v>92</v>
      </c>
      <c r="D54" s="48">
        <v>7</v>
      </c>
      <c r="E54" s="71"/>
    </row>
    <row r="55" spans="1:6" ht="36" customHeight="1">
      <c r="A55" s="28">
        <v>24</v>
      </c>
      <c r="B55" s="1" t="s">
        <v>107</v>
      </c>
      <c r="C55" s="29"/>
      <c r="D55" s="48">
        <f>SUM(D56+D58+D60+D62+D64)</f>
        <v>3063.7749999999996</v>
      </c>
      <c r="E55" s="71"/>
      <c r="F55" s="5"/>
    </row>
    <row r="56" spans="1:5" ht="19.5" customHeight="1">
      <c r="A56" s="105" t="s">
        <v>108</v>
      </c>
      <c r="B56" s="24" t="s">
        <v>109</v>
      </c>
      <c r="C56" s="114" t="s">
        <v>92</v>
      </c>
      <c r="D56" s="48">
        <v>1.321</v>
      </c>
      <c r="E56" s="71"/>
    </row>
    <row r="57" spans="1:5" ht="38.25" customHeight="1">
      <c r="A57" s="105"/>
      <c r="B57" s="24" t="s">
        <v>138</v>
      </c>
      <c r="C57" s="114"/>
      <c r="D57" s="48">
        <v>1.321</v>
      </c>
      <c r="E57" s="71"/>
    </row>
    <row r="58" spans="1:5" ht="21.75" customHeight="1">
      <c r="A58" s="105" t="s">
        <v>110</v>
      </c>
      <c r="B58" s="24" t="s">
        <v>111</v>
      </c>
      <c r="C58" s="114" t="s">
        <v>92</v>
      </c>
      <c r="D58" s="48">
        <f>275.061-1.999</f>
        <v>273.06199999999995</v>
      </c>
      <c r="E58" s="71"/>
    </row>
    <row r="59" spans="1:5" ht="38.25" customHeight="1">
      <c r="A59" s="105"/>
      <c r="B59" s="24" t="s">
        <v>138</v>
      </c>
      <c r="C59" s="114"/>
      <c r="D59" s="48">
        <f>207.061-16.442</f>
        <v>190.619</v>
      </c>
      <c r="E59" s="71"/>
    </row>
    <row r="60" spans="1:5" ht="37.5">
      <c r="A60" s="105" t="s">
        <v>112</v>
      </c>
      <c r="B60" s="24" t="s">
        <v>113</v>
      </c>
      <c r="C60" s="114" t="s">
        <v>92</v>
      </c>
      <c r="D60" s="48">
        <f>1292.908-62.486</f>
        <v>1230.4219999999998</v>
      </c>
      <c r="E60" s="71"/>
    </row>
    <row r="61" spans="1:5" ht="38.25" customHeight="1">
      <c r="A61" s="105"/>
      <c r="B61" s="24" t="s">
        <v>138</v>
      </c>
      <c r="C61" s="114"/>
      <c r="D61" s="48">
        <f>67.406-62.486-4.92</f>
        <v>8.881784197001252E-15</v>
      </c>
      <c r="E61" s="71"/>
    </row>
    <row r="62" spans="1:5" ht="18.75" customHeight="1">
      <c r="A62" s="105" t="s">
        <v>114</v>
      </c>
      <c r="B62" s="1" t="s">
        <v>115</v>
      </c>
      <c r="C62" s="114" t="s">
        <v>92</v>
      </c>
      <c r="D62" s="48">
        <f>1512.254-3</f>
        <v>1509.254</v>
      </c>
      <c r="E62" s="71"/>
    </row>
    <row r="63" spans="1:5" ht="35.25" customHeight="1">
      <c r="A63" s="105"/>
      <c r="B63" s="24" t="s">
        <v>138</v>
      </c>
      <c r="C63" s="114"/>
      <c r="D63" s="48">
        <v>92.756</v>
      </c>
      <c r="E63" s="71"/>
    </row>
    <row r="64" spans="1:5" ht="18.75" customHeight="1">
      <c r="A64" s="105" t="s">
        <v>116</v>
      </c>
      <c r="B64" s="1" t="s">
        <v>117</v>
      </c>
      <c r="C64" s="114" t="s">
        <v>92</v>
      </c>
      <c r="D64" s="48">
        <f>81.716-32</f>
        <v>49.715999999999994</v>
      </c>
      <c r="E64" s="71"/>
    </row>
    <row r="65" spans="1:5" ht="35.25" customHeight="1">
      <c r="A65" s="105"/>
      <c r="B65" s="24" t="s">
        <v>138</v>
      </c>
      <c r="C65" s="114"/>
      <c r="D65" s="48">
        <f>81.716-32</f>
        <v>49.715999999999994</v>
      </c>
      <c r="E65" s="71"/>
    </row>
    <row r="66" spans="1:6" ht="55.5" customHeight="1">
      <c r="A66" s="28">
        <v>32</v>
      </c>
      <c r="B66" s="1" t="s">
        <v>64</v>
      </c>
      <c r="C66" s="1"/>
      <c r="D66" s="48">
        <f>SUM(D67)</f>
        <v>99.95</v>
      </c>
      <c r="E66" s="71"/>
      <c r="F66" s="5"/>
    </row>
    <row r="67" spans="1:5" ht="19.5" customHeight="1">
      <c r="A67" s="23" t="s">
        <v>90</v>
      </c>
      <c r="B67" s="24" t="s">
        <v>91</v>
      </c>
      <c r="C67" s="29" t="s">
        <v>92</v>
      </c>
      <c r="D67" s="48">
        <f>14+85.95</f>
        <v>99.95</v>
      </c>
      <c r="E67" s="71"/>
    </row>
    <row r="68" spans="1:5" ht="36" customHeight="1">
      <c r="A68" s="28">
        <v>40</v>
      </c>
      <c r="B68" s="1" t="s">
        <v>132</v>
      </c>
      <c r="C68" s="29"/>
      <c r="D68" s="48">
        <f>SUM(D69+D70+D72+D74+D76)</f>
        <v>100219.32900000001</v>
      </c>
      <c r="E68" s="71"/>
    </row>
    <row r="69" spans="1:5" ht="21.75" customHeight="1">
      <c r="A69" s="23" t="s">
        <v>90</v>
      </c>
      <c r="B69" s="24" t="s">
        <v>91</v>
      </c>
      <c r="C69" s="29" t="s">
        <v>92</v>
      </c>
      <c r="D69" s="48">
        <v>35</v>
      </c>
      <c r="E69" s="71"/>
    </row>
    <row r="70" spans="1:5" ht="39" customHeight="1">
      <c r="A70" s="105" t="s">
        <v>118</v>
      </c>
      <c r="B70" s="24" t="s">
        <v>119</v>
      </c>
      <c r="C70" s="114" t="s">
        <v>92</v>
      </c>
      <c r="D70" s="48">
        <f>53254.196+38412.988</f>
        <v>91667.18400000001</v>
      </c>
      <c r="E70" s="71"/>
    </row>
    <row r="71" spans="1:5" ht="38.25" customHeight="1">
      <c r="A71" s="105"/>
      <c r="B71" s="24" t="s">
        <v>138</v>
      </c>
      <c r="C71" s="114"/>
      <c r="D71" s="48">
        <v>11964.167</v>
      </c>
      <c r="E71" s="71"/>
    </row>
    <row r="72" spans="1:5" ht="59.25" customHeight="1">
      <c r="A72" s="105" t="s">
        <v>150</v>
      </c>
      <c r="B72" s="24" t="s">
        <v>151</v>
      </c>
      <c r="C72" s="114" t="s">
        <v>92</v>
      </c>
      <c r="D72" s="48">
        <f>780.803+1000.043</f>
        <v>1780.846</v>
      </c>
      <c r="E72" s="71"/>
    </row>
    <row r="73" spans="1:5" ht="38.25" customHeight="1">
      <c r="A73" s="105"/>
      <c r="B73" s="24" t="s">
        <v>138</v>
      </c>
      <c r="C73" s="114"/>
      <c r="D73" s="48">
        <v>91.403</v>
      </c>
      <c r="E73" s="71"/>
    </row>
    <row r="74" spans="1:5" ht="20.25" customHeight="1">
      <c r="A74" s="105" t="s">
        <v>122</v>
      </c>
      <c r="B74" s="1" t="s">
        <v>133</v>
      </c>
      <c r="C74" s="114" t="s">
        <v>92</v>
      </c>
      <c r="D74" s="48">
        <v>3894.79</v>
      </c>
      <c r="E74" s="71"/>
    </row>
    <row r="75" spans="1:5" ht="38.25" customHeight="1">
      <c r="A75" s="105"/>
      <c r="B75" s="24" t="s">
        <v>138</v>
      </c>
      <c r="C75" s="114"/>
      <c r="D75" s="48">
        <v>672.751</v>
      </c>
      <c r="E75" s="71"/>
    </row>
    <row r="76" spans="1:5" ht="18" customHeight="1">
      <c r="A76" s="105" t="s">
        <v>120</v>
      </c>
      <c r="B76" s="24" t="s">
        <v>93</v>
      </c>
      <c r="C76" s="114" t="s">
        <v>92</v>
      </c>
      <c r="D76" s="48">
        <f>1287.772+1422.029+131.708</f>
        <v>2841.509</v>
      </c>
      <c r="E76" s="71"/>
    </row>
    <row r="77" spans="1:5" ht="38.25" customHeight="1">
      <c r="A77" s="105"/>
      <c r="B77" s="24" t="s">
        <v>138</v>
      </c>
      <c r="C77" s="114"/>
      <c r="D77" s="48">
        <v>636.716</v>
      </c>
      <c r="E77" s="71"/>
    </row>
    <row r="78" spans="1:5" ht="36" customHeight="1">
      <c r="A78" s="28">
        <v>45</v>
      </c>
      <c r="B78" s="1" t="s">
        <v>123</v>
      </c>
      <c r="C78" s="29" t="s">
        <v>121</v>
      </c>
      <c r="D78" s="48">
        <f>SUM(D79)</f>
        <v>28</v>
      </c>
      <c r="E78" s="71"/>
    </row>
    <row r="79" spans="1:5" ht="21.75" customHeight="1">
      <c r="A79" s="23" t="s">
        <v>90</v>
      </c>
      <c r="B79" s="24" t="s">
        <v>91</v>
      </c>
      <c r="C79" s="29" t="s">
        <v>92</v>
      </c>
      <c r="D79" s="48">
        <f>61.915-33.915</f>
        <v>28</v>
      </c>
      <c r="E79" s="71"/>
    </row>
    <row r="80" spans="1:5" ht="39" customHeight="1">
      <c r="A80" s="28">
        <v>48</v>
      </c>
      <c r="B80" s="1" t="s">
        <v>167</v>
      </c>
      <c r="C80" s="29" t="s">
        <v>121</v>
      </c>
      <c r="D80" s="48">
        <f>SUM(D81+D82+D84)</f>
        <v>812.7189999999999</v>
      </c>
      <c r="E80" s="71"/>
    </row>
    <row r="81" spans="1:5" ht="21.75" customHeight="1">
      <c r="A81" s="23" t="s">
        <v>90</v>
      </c>
      <c r="B81" s="24" t="s">
        <v>91</v>
      </c>
      <c r="C81" s="29" t="s">
        <v>92</v>
      </c>
      <c r="D81" s="48">
        <v>14</v>
      </c>
      <c r="E81" s="71"/>
    </row>
    <row r="82" spans="1:5" ht="37.5" customHeight="1">
      <c r="A82" s="105" t="s">
        <v>394</v>
      </c>
      <c r="B82" s="24" t="s">
        <v>395</v>
      </c>
      <c r="C82" s="114" t="s">
        <v>92</v>
      </c>
      <c r="D82" s="48">
        <f>1550.464-852.232</f>
        <v>698.232</v>
      </c>
      <c r="E82" s="71"/>
    </row>
    <row r="83" spans="1:5" ht="35.25" customHeight="1">
      <c r="A83" s="105"/>
      <c r="B83" s="24" t="s">
        <v>138</v>
      </c>
      <c r="C83" s="114"/>
      <c r="D83" s="48">
        <v>590.672</v>
      </c>
      <c r="E83" s="71"/>
    </row>
    <row r="84" spans="1:5" ht="19.5" customHeight="1">
      <c r="A84" s="105" t="s">
        <v>120</v>
      </c>
      <c r="B84" s="1" t="s">
        <v>93</v>
      </c>
      <c r="C84" s="114" t="s">
        <v>92</v>
      </c>
      <c r="D84" s="48">
        <v>100.487</v>
      </c>
      <c r="E84" s="71"/>
    </row>
    <row r="85" spans="1:5" ht="35.25" customHeight="1">
      <c r="A85" s="105"/>
      <c r="B85" s="24" t="s">
        <v>138</v>
      </c>
      <c r="C85" s="114"/>
      <c r="D85" s="48">
        <v>24.487</v>
      </c>
      <c r="E85" s="71"/>
    </row>
    <row r="86" spans="1:5" ht="39" customHeight="1">
      <c r="A86" s="28">
        <v>56</v>
      </c>
      <c r="B86" s="1" t="s">
        <v>124</v>
      </c>
      <c r="C86" s="1" t="s">
        <v>121</v>
      </c>
      <c r="D86" s="48">
        <f>SUM(D87)</f>
        <v>21</v>
      </c>
      <c r="E86" s="71"/>
    </row>
    <row r="87" spans="1:5" ht="18" customHeight="1">
      <c r="A87" s="23" t="s">
        <v>90</v>
      </c>
      <c r="B87" s="24" t="s">
        <v>91</v>
      </c>
      <c r="C87" s="29" t="s">
        <v>92</v>
      </c>
      <c r="D87" s="48">
        <f>41.72+98.6-20.72-98.6</f>
        <v>21</v>
      </c>
      <c r="E87" s="71"/>
    </row>
    <row r="88" spans="1:5" ht="39" customHeight="1">
      <c r="A88" s="28">
        <v>60</v>
      </c>
      <c r="B88" s="1" t="s">
        <v>396</v>
      </c>
      <c r="C88" s="1" t="s">
        <v>121</v>
      </c>
      <c r="D88" s="48">
        <f>SUM(D89)</f>
        <v>21</v>
      </c>
      <c r="E88" s="71"/>
    </row>
    <row r="89" spans="1:5" ht="21.75" customHeight="1">
      <c r="A89" s="23" t="s">
        <v>90</v>
      </c>
      <c r="B89" s="24" t="s">
        <v>91</v>
      </c>
      <c r="C89" s="29" t="s">
        <v>92</v>
      </c>
      <c r="D89" s="48">
        <v>21</v>
      </c>
      <c r="E89" s="71"/>
    </row>
    <row r="90" spans="1:5" ht="57" customHeight="1">
      <c r="A90" s="23" t="s">
        <v>125</v>
      </c>
      <c r="B90" s="1" t="s">
        <v>126</v>
      </c>
      <c r="C90" s="1"/>
      <c r="D90" s="48">
        <f>SUM(D91+D92)</f>
        <v>1141.999</v>
      </c>
      <c r="E90" s="71"/>
    </row>
    <row r="91" spans="1:5" ht="21.75" customHeight="1">
      <c r="A91" s="23" t="s">
        <v>90</v>
      </c>
      <c r="B91" s="24" t="s">
        <v>91</v>
      </c>
      <c r="C91" s="29" t="s">
        <v>92</v>
      </c>
      <c r="D91" s="48">
        <v>7</v>
      </c>
      <c r="E91" s="71"/>
    </row>
    <row r="92" spans="1:5" ht="37.5" customHeight="1">
      <c r="A92" s="105" t="s">
        <v>156</v>
      </c>
      <c r="B92" s="24" t="s">
        <v>157</v>
      </c>
      <c r="C92" s="114" t="s">
        <v>92</v>
      </c>
      <c r="D92" s="48">
        <f>1734.999-600</f>
        <v>1134.999</v>
      </c>
      <c r="E92" s="71"/>
    </row>
    <row r="93" spans="1:5" ht="35.25" customHeight="1">
      <c r="A93" s="105"/>
      <c r="B93" s="24" t="s">
        <v>138</v>
      </c>
      <c r="C93" s="114"/>
      <c r="D93" s="48">
        <v>480.946</v>
      </c>
      <c r="E93" s="71"/>
    </row>
    <row r="94" spans="1:5" ht="55.5" customHeight="1">
      <c r="A94" s="28">
        <v>67</v>
      </c>
      <c r="B94" s="1" t="s">
        <v>134</v>
      </c>
      <c r="C94" s="29"/>
      <c r="D94" s="48">
        <f>SUM(D95:D97)</f>
        <v>6354.408</v>
      </c>
      <c r="E94" s="71"/>
    </row>
    <row r="95" spans="1:5" ht="21.75" customHeight="1">
      <c r="A95" s="23" t="s">
        <v>90</v>
      </c>
      <c r="B95" s="24" t="s">
        <v>91</v>
      </c>
      <c r="C95" s="29" t="s">
        <v>92</v>
      </c>
      <c r="D95" s="48">
        <v>7</v>
      </c>
      <c r="E95" s="71"/>
    </row>
    <row r="96" spans="1:5" ht="58.5" customHeight="1">
      <c r="A96" s="23" t="s">
        <v>80</v>
      </c>
      <c r="B96" s="1" t="s">
        <v>87</v>
      </c>
      <c r="C96" s="29" t="s">
        <v>92</v>
      </c>
      <c r="D96" s="48">
        <v>6121.139</v>
      </c>
      <c r="E96" s="71"/>
    </row>
    <row r="97" spans="1:5" ht="27.75" customHeight="1">
      <c r="A97" s="23" t="s">
        <v>127</v>
      </c>
      <c r="B97" s="1" t="s">
        <v>128</v>
      </c>
      <c r="C97" s="29" t="s">
        <v>92</v>
      </c>
      <c r="D97" s="48">
        <v>226.269</v>
      </c>
      <c r="E97" s="71"/>
    </row>
    <row r="98" spans="1:5" ht="40.5" customHeight="1">
      <c r="A98" s="23">
        <v>73</v>
      </c>
      <c r="B98" s="1" t="s">
        <v>75</v>
      </c>
      <c r="C98" s="29"/>
      <c r="D98" s="48">
        <f>SUM(D99:D99)</f>
        <v>35</v>
      </c>
      <c r="E98" s="71"/>
    </row>
    <row r="99" spans="1:5" ht="26.25" customHeight="1">
      <c r="A99" s="23" t="s">
        <v>90</v>
      </c>
      <c r="B99" s="24" t="s">
        <v>91</v>
      </c>
      <c r="C99" s="29" t="s">
        <v>92</v>
      </c>
      <c r="D99" s="48">
        <v>35</v>
      </c>
      <c r="E99" s="71"/>
    </row>
    <row r="100" spans="1:5" ht="39" customHeight="1">
      <c r="A100" s="23" t="s">
        <v>162</v>
      </c>
      <c r="B100" s="1" t="s">
        <v>163</v>
      </c>
      <c r="C100" s="29"/>
      <c r="D100" s="48">
        <f>SUM(D101)</f>
        <v>70</v>
      </c>
      <c r="E100" s="71"/>
    </row>
    <row r="101" spans="1:5" ht="27" customHeight="1">
      <c r="A101" s="23" t="s">
        <v>90</v>
      </c>
      <c r="B101" s="24" t="s">
        <v>91</v>
      </c>
      <c r="C101" s="29" t="s">
        <v>92</v>
      </c>
      <c r="D101" s="48">
        <v>70</v>
      </c>
      <c r="E101" s="71"/>
    </row>
    <row r="102" spans="1:5" ht="37.5" customHeight="1">
      <c r="A102" s="23" t="s">
        <v>153</v>
      </c>
      <c r="B102" s="1" t="s">
        <v>152</v>
      </c>
      <c r="C102" s="1"/>
      <c r="D102" s="48">
        <f>SUM(D103)</f>
        <v>51.032</v>
      </c>
      <c r="E102" s="71"/>
    </row>
    <row r="103" spans="1:5" ht="24" customHeight="1">
      <c r="A103" s="105" t="s">
        <v>90</v>
      </c>
      <c r="B103" s="24" t="s">
        <v>91</v>
      </c>
      <c r="C103" s="114" t="s">
        <v>92</v>
      </c>
      <c r="D103" s="48">
        <f>68.812+24.3-42.08</f>
        <v>51.032</v>
      </c>
      <c r="E103" s="71"/>
    </row>
    <row r="104" spans="1:5" ht="35.25" customHeight="1">
      <c r="A104" s="105"/>
      <c r="B104" s="24" t="s">
        <v>138</v>
      </c>
      <c r="C104" s="114"/>
      <c r="D104" s="48">
        <f>47.812-42.08</f>
        <v>5.731999999999999</v>
      </c>
      <c r="E104" s="71"/>
    </row>
    <row r="105" spans="1:5" ht="39.75" customHeight="1">
      <c r="A105" s="23" t="s">
        <v>154</v>
      </c>
      <c r="B105" s="1" t="s">
        <v>155</v>
      </c>
      <c r="C105" s="1"/>
      <c r="D105" s="48">
        <f>SUM(D106+D107)</f>
        <v>28.223</v>
      </c>
      <c r="E105" s="71"/>
    </row>
    <row r="106" spans="1:5" ht="26.25" customHeight="1">
      <c r="A106" s="23" t="s">
        <v>90</v>
      </c>
      <c r="B106" s="24" t="s">
        <v>91</v>
      </c>
      <c r="C106" s="29" t="s">
        <v>92</v>
      </c>
      <c r="D106" s="48">
        <f>27.827-6.827</f>
        <v>21</v>
      </c>
      <c r="E106" s="71"/>
    </row>
    <row r="107" spans="1:5" ht="24" customHeight="1">
      <c r="A107" s="105" t="s">
        <v>122</v>
      </c>
      <c r="B107" s="1" t="s">
        <v>147</v>
      </c>
      <c r="C107" s="114" t="s">
        <v>92</v>
      </c>
      <c r="D107" s="48">
        <f>0.396+6.827</f>
        <v>7.223</v>
      </c>
      <c r="E107" s="71"/>
    </row>
    <row r="108" spans="1:5" ht="35.25" customHeight="1">
      <c r="A108" s="105"/>
      <c r="B108" s="24" t="s">
        <v>138</v>
      </c>
      <c r="C108" s="114"/>
      <c r="D108" s="48">
        <f>0.396</f>
        <v>0.396</v>
      </c>
      <c r="E108" s="71"/>
    </row>
    <row r="109" spans="1:5" ht="43.5" customHeight="1">
      <c r="A109" s="23" t="s">
        <v>136</v>
      </c>
      <c r="B109" s="1" t="s">
        <v>78</v>
      </c>
      <c r="C109" s="26"/>
      <c r="D109" s="74">
        <f>SUM(D110)</f>
        <v>89.30000000000001</v>
      </c>
      <c r="E109" s="71"/>
    </row>
    <row r="110" spans="1:5" ht="29.25" customHeight="1">
      <c r="A110" s="23" t="s">
        <v>90</v>
      </c>
      <c r="B110" s="26" t="s">
        <v>148</v>
      </c>
      <c r="C110" s="58" t="s">
        <v>92</v>
      </c>
      <c r="D110" s="74">
        <f>27.975+68.3-6.975</f>
        <v>89.30000000000001</v>
      </c>
      <c r="E110" s="71"/>
    </row>
    <row r="111" spans="1:5" ht="36.75" customHeight="1">
      <c r="A111" s="23" t="s">
        <v>164</v>
      </c>
      <c r="B111" s="24" t="s">
        <v>166</v>
      </c>
      <c r="C111" s="26"/>
      <c r="D111" s="48">
        <f>SUM(D112+D114)</f>
        <v>109.942</v>
      </c>
      <c r="E111" s="71"/>
    </row>
    <row r="112" spans="1:5" ht="24.75" customHeight="1">
      <c r="A112" s="105" t="s">
        <v>90</v>
      </c>
      <c r="B112" s="26" t="s">
        <v>148</v>
      </c>
      <c r="C112" s="114" t="s">
        <v>92</v>
      </c>
      <c r="D112" s="75">
        <f>42.375+20.767</f>
        <v>63.141999999999996</v>
      </c>
      <c r="E112" s="71"/>
    </row>
    <row r="113" spans="1:5" ht="36.75" customHeight="1">
      <c r="A113" s="105"/>
      <c r="B113" s="24" t="s">
        <v>138</v>
      </c>
      <c r="C113" s="114"/>
      <c r="D113" s="76" t="s">
        <v>165</v>
      </c>
      <c r="E113" s="71"/>
    </row>
    <row r="114" spans="1:5" ht="30" customHeight="1">
      <c r="A114" s="28">
        <v>100203</v>
      </c>
      <c r="B114" s="1" t="s">
        <v>147</v>
      </c>
      <c r="C114" s="29" t="s">
        <v>92</v>
      </c>
      <c r="D114" s="76" t="s">
        <v>26</v>
      </c>
      <c r="E114" s="71"/>
    </row>
    <row r="115" spans="1:5" ht="38.25" customHeight="1">
      <c r="A115" s="28">
        <v>94</v>
      </c>
      <c r="B115" s="1" t="s">
        <v>142</v>
      </c>
      <c r="C115" s="27"/>
      <c r="D115" s="74">
        <f>SUM(D116:D116)</f>
        <v>27.975</v>
      </c>
      <c r="E115" s="5"/>
    </row>
    <row r="116" spans="1:5" ht="26.25" customHeight="1">
      <c r="A116" s="105" t="s">
        <v>90</v>
      </c>
      <c r="B116" s="26" t="s">
        <v>148</v>
      </c>
      <c r="C116" s="114" t="s">
        <v>92</v>
      </c>
      <c r="D116" s="74">
        <v>27.975</v>
      </c>
      <c r="E116" s="5"/>
    </row>
    <row r="117" spans="1:5" ht="36.75" customHeight="1">
      <c r="A117" s="105"/>
      <c r="B117" s="24" t="s">
        <v>138</v>
      </c>
      <c r="C117" s="114"/>
      <c r="D117" s="76" t="s">
        <v>397</v>
      </c>
      <c r="E117" s="71"/>
    </row>
    <row r="118" spans="1:5" ht="42.75" customHeight="1">
      <c r="A118" s="23" t="s">
        <v>131</v>
      </c>
      <c r="B118" s="1" t="s">
        <v>79</v>
      </c>
      <c r="C118" s="26"/>
      <c r="D118" s="48">
        <f>SUM(D119)</f>
        <v>21</v>
      </c>
      <c r="E118" s="71"/>
    </row>
    <row r="119" spans="1:5" ht="27.75" customHeight="1">
      <c r="A119" s="23" t="s">
        <v>90</v>
      </c>
      <c r="B119" s="26" t="s">
        <v>148</v>
      </c>
      <c r="C119" s="58" t="s">
        <v>92</v>
      </c>
      <c r="D119" s="48">
        <f>27.975-6.975</f>
        <v>21</v>
      </c>
      <c r="E119" s="71"/>
    </row>
    <row r="120" spans="1:5" ht="39.75" customHeight="1">
      <c r="A120" s="23" t="s">
        <v>137</v>
      </c>
      <c r="B120" s="1" t="s">
        <v>149</v>
      </c>
      <c r="C120" s="58"/>
      <c r="D120" s="48">
        <f>SUM(D121+D123)</f>
        <v>97.047</v>
      </c>
      <c r="E120" s="71"/>
    </row>
    <row r="121" spans="1:5" ht="24" customHeight="1">
      <c r="A121" s="105" t="s">
        <v>90</v>
      </c>
      <c r="B121" s="24" t="s">
        <v>148</v>
      </c>
      <c r="C121" s="114" t="s">
        <v>92</v>
      </c>
      <c r="D121" s="48">
        <v>27.975</v>
      </c>
      <c r="E121" s="71"/>
    </row>
    <row r="122" spans="1:5" ht="36.75" customHeight="1">
      <c r="A122" s="105"/>
      <c r="B122" s="24" t="s">
        <v>138</v>
      </c>
      <c r="C122" s="114"/>
      <c r="D122" s="48">
        <v>6.975</v>
      </c>
      <c r="E122" s="71"/>
    </row>
    <row r="123" spans="1:4" ht="35.25" customHeight="1" thickBot="1">
      <c r="A123" s="77">
        <v>100203</v>
      </c>
      <c r="B123" s="52" t="s">
        <v>147</v>
      </c>
      <c r="C123" s="59" t="s">
        <v>92</v>
      </c>
      <c r="D123" s="60">
        <v>69.072</v>
      </c>
    </row>
    <row r="124" spans="1:4" ht="24" customHeight="1">
      <c r="A124" s="117"/>
      <c r="B124" s="117"/>
      <c r="C124" s="117"/>
      <c r="D124" s="117"/>
    </row>
    <row r="125" spans="1:5" s="80" customFormat="1" ht="86.25" customHeight="1">
      <c r="A125" s="115" t="s">
        <v>421</v>
      </c>
      <c r="B125" s="115"/>
      <c r="C125" s="116" t="s">
        <v>422</v>
      </c>
      <c r="D125" s="116"/>
      <c r="E125" s="79"/>
    </row>
    <row r="126" ht="18.75" hidden="1"/>
  </sheetData>
  <sheetProtection/>
  <mergeCells count="70">
    <mergeCell ref="A82:A83"/>
    <mergeCell ref="A103:A104"/>
    <mergeCell ref="C103:C104"/>
    <mergeCell ref="C92:C93"/>
    <mergeCell ref="C84:C85"/>
    <mergeCell ref="A92:A93"/>
    <mergeCell ref="A107:A108"/>
    <mergeCell ref="C107:C108"/>
    <mergeCell ref="A112:A113"/>
    <mergeCell ref="C112:C113"/>
    <mergeCell ref="C17:C18"/>
    <mergeCell ref="A37:A38"/>
    <mergeCell ref="A33:A34"/>
    <mergeCell ref="C33:C34"/>
    <mergeCell ref="A35:A36"/>
    <mergeCell ref="C35:C36"/>
    <mergeCell ref="A21:A22"/>
    <mergeCell ref="A28:A29"/>
    <mergeCell ref="C28:C29"/>
    <mergeCell ref="C21:C22"/>
    <mergeCell ref="A58:A59"/>
    <mergeCell ref="C39:C40"/>
    <mergeCell ref="C41:C42"/>
    <mergeCell ref="A50:A51"/>
    <mergeCell ref="C58:C59"/>
    <mergeCell ref="C50:C51"/>
    <mergeCell ref="C15:C16"/>
    <mergeCell ref="C56:C57"/>
    <mergeCell ref="A39:A40"/>
    <mergeCell ref="A41:A42"/>
    <mergeCell ref="C37:C38"/>
    <mergeCell ref="A17:A18"/>
    <mergeCell ref="A19:A20"/>
    <mergeCell ref="C19:C20"/>
    <mergeCell ref="C24:C25"/>
    <mergeCell ref="A24:A25"/>
    <mergeCell ref="A116:A117"/>
    <mergeCell ref="C116:C117"/>
    <mergeCell ref="A2:D2"/>
    <mergeCell ref="C4:C5"/>
    <mergeCell ref="D4:D5"/>
    <mergeCell ref="A15:A16"/>
    <mergeCell ref="A9:A10"/>
    <mergeCell ref="C9:C10"/>
    <mergeCell ref="A11:A12"/>
    <mergeCell ref="C11:C12"/>
    <mergeCell ref="A60:A61"/>
    <mergeCell ref="A62:A63"/>
    <mergeCell ref="A125:B125"/>
    <mergeCell ref="C125:D125"/>
    <mergeCell ref="A76:A77"/>
    <mergeCell ref="C76:C77"/>
    <mergeCell ref="C121:C122"/>
    <mergeCell ref="A121:A122"/>
    <mergeCell ref="A124:D124"/>
    <mergeCell ref="A84:A85"/>
    <mergeCell ref="C64:C65"/>
    <mergeCell ref="C72:C73"/>
    <mergeCell ref="C70:C71"/>
    <mergeCell ref="C62:C63"/>
    <mergeCell ref="C82:C83"/>
    <mergeCell ref="A46:A47"/>
    <mergeCell ref="C46:C47"/>
    <mergeCell ref="A56:A57"/>
    <mergeCell ref="A74:A75"/>
    <mergeCell ref="C74:C75"/>
    <mergeCell ref="A72:A73"/>
    <mergeCell ref="A70:A71"/>
    <mergeCell ref="C60:C61"/>
    <mergeCell ref="A64:A65"/>
  </mergeCells>
  <printOptions/>
  <pageMargins left="0.9055118110236221" right="0.31496062992125984" top="0.5511811023622047" bottom="0.35433070866141736" header="0.31496062992125984" footer="0.31496062992125984"/>
  <pageSetup firstPageNumber="31" useFirstPageNumber="1" horizontalDpi="600" verticalDpi="600" orientation="portrait" paperSize="9" scale="8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Admin</cp:lastModifiedBy>
  <cp:lastPrinted>2014-11-07T08:42:11Z</cp:lastPrinted>
  <dcterms:created xsi:type="dcterms:W3CDTF">2010-08-18T08:39:04Z</dcterms:created>
  <dcterms:modified xsi:type="dcterms:W3CDTF">2014-12-25T12:18:01Z</dcterms:modified>
  <cp:category/>
  <cp:version/>
  <cp:contentType/>
  <cp:contentStatus/>
</cp:coreProperties>
</file>