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30" windowWidth="11265" windowHeight="9765"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4.2'!$A$1:$D$60</definedName>
    <definedName name="_xlnm.Print_Area" localSheetId="0">'таб.4.1'!$A$1:$H$234</definedName>
  </definedNames>
  <calcPr fullCalcOnLoad="1"/>
</workbook>
</file>

<file path=xl/sharedStrings.xml><?xml version="1.0" encoding="utf-8"?>
<sst xmlns="http://schemas.openxmlformats.org/spreadsheetml/2006/main" count="864" uniqueCount="341">
  <si>
    <t>Запорізьке комунальне підприємство міського електротранспорту "Запоріжелектротранс" (придбання 10 од. нових тролейбусів вітчизняного виробництва )</t>
  </si>
  <si>
    <t>15.01.2015 №4</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</si>
  <si>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</si>
  <si>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</si>
  <si>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</si>
  <si>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</si>
  <si>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</si>
  <si>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</si>
  <si>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</si>
  <si>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</si>
  <si>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</si>
  <si>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</si>
  <si>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</si>
  <si>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</si>
  <si>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</si>
  <si>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</si>
  <si>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</si>
  <si>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</si>
  <si>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</si>
  <si>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</si>
  <si>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</si>
  <si>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</si>
  <si>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</si>
  <si>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</si>
  <si>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</si>
  <si>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</si>
  <si>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</si>
  <si>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</si>
  <si>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</si>
  <si>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</si>
  <si>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</si>
  <si>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</si>
  <si>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</si>
  <si>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</si>
  <si>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</si>
  <si>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</si>
  <si>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</si>
  <si>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</si>
  <si>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</si>
  <si>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</si>
  <si>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</si>
  <si>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</si>
  <si>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</si>
  <si>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</si>
  <si>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</si>
  <si>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</si>
  <si>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</si>
  <si>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</si>
  <si>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</si>
  <si>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</si>
  <si>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</si>
  <si>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</si>
  <si>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</si>
  <si>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</si>
  <si>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</si>
  <si>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</si>
  <si>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</si>
  <si>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</si>
  <si>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</si>
  <si>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</si>
  <si>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080500</t>
  </si>
  <si>
    <t>Загальні і спеціалізовані стоматологічні поліклініки</t>
  </si>
  <si>
    <t>070202</t>
  </si>
  <si>
    <t>Вечірні (змінні) школи</t>
  </si>
  <si>
    <t>130107</t>
  </si>
  <si>
    <t>Утримання та навчально-тренувальна робота дитячо-юнацьких спортивних шкіл</t>
  </si>
  <si>
    <t xml:space="preserve">Органи місцевого самоврядування </t>
  </si>
  <si>
    <t>100106</t>
  </si>
  <si>
    <t>Капітальний ремонт житлового фонду об'єднань співвласників багатоквартирних будинків</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</si>
  <si>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</si>
  <si>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</si>
  <si>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</si>
  <si>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</si>
  <si>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</si>
  <si>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</si>
  <si>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93</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</si>
  <si>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</si>
  <si>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</si>
  <si>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</si>
  <si>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</si>
  <si>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</si>
  <si>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</si>
  <si>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</si>
  <si>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</si>
  <si>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</si>
  <si>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</si>
  <si>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</si>
  <si>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</si>
  <si>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</si>
  <si>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</si>
  <si>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</si>
  <si>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</si>
  <si>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</si>
  <si>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</si>
  <si>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</si>
  <si>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</si>
  <si>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</si>
  <si>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</si>
  <si>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</si>
  <si>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</si>
  <si>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</si>
  <si>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</si>
  <si>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</si>
  <si>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</si>
  <si>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</si>
  <si>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</si>
  <si>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</si>
  <si>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</si>
  <si>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</si>
  <si>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</si>
  <si>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</si>
  <si>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</si>
  <si>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</si>
  <si>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</si>
  <si>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</si>
  <si>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</si>
  <si>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КП "Титан"</t>
  </si>
  <si>
    <t xml:space="preserve">Будівництво водогону Д=315 мм по вул.Сапожнікова, м.Запоріжжя </t>
  </si>
  <si>
    <t>Реконструкція тротуару по вул. Новокузнецькій (непарна сторона)</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</si>
  <si>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</si>
  <si>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</si>
  <si>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</si>
  <si>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Управління з питань транспортного забезпечення та зв'язку Запорізької міської ради</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</si>
  <si>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</si>
  <si>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</si>
  <si>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</si>
  <si>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</si>
  <si>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</si>
  <si>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</si>
  <si>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</si>
  <si>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</si>
  <si>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</si>
  <si>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</si>
  <si>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Реконструкція будівлі Міського Палацу дитячої та юнацької творчості по пл. Леніна, 1 </t>
  </si>
  <si>
    <t>Реконструкція контактної мережі тролейбусу на греблі "Дніпрогес" і на дільниці від площі Леніна до естакади через шлюзи</t>
  </si>
  <si>
    <t>Реконструкція зовнішнього освітлення в районі вул. Правда - вул. Чубаря, м.Запоріжжя (проектні та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</si>
  <si>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</si>
  <si>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вул.Перемоги, 131а</t>
  </si>
  <si>
    <t>вул.Дегтярьова, 5а</t>
  </si>
  <si>
    <t>вул.Тенісна, 11</t>
  </si>
  <si>
    <t>пр.Ювілейний,23А</t>
  </si>
  <si>
    <t>пр.40 річчя Перемоги,67</t>
  </si>
  <si>
    <t>вул.Чернівецька, 6</t>
  </si>
  <si>
    <t>вул.Узбекистанська, 5</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</si>
  <si>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</si>
  <si>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</si>
  <si>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</si>
  <si>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</si>
  <si>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вул. Деповська</t>
  </si>
  <si>
    <t>Реконструкція мереж зовнішнього освітлення по вул. Армавірська</t>
  </si>
  <si>
    <t>Будівництво мереж зовнішнього освітлення І мосту ім. Преображенського (новий Дніпро) у м.Запоріжжі (проектні та будівельні роботи)</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</si>
  <si>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</si>
  <si>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</si>
  <si>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</si>
  <si>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 xml:space="preserve">150101 </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</si>
  <si>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</si>
  <si>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</si>
  <si>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</si>
  <si>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</si>
  <si>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</si>
  <si>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</si>
  <si>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 xml:space="preserve">Будівництво мереж зовнішнього освітлення ІІ мосту ім. Преображенського (старий Дніпро) у м.Запоріжжі (проектні та будівельні роботи) </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</si>
  <si>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</si>
  <si>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</si>
  <si>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</si>
  <si>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</si>
  <si>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</si>
  <si>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</si>
  <si>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Реконструкція будівлі  насосної станції (літера А) з розташуванням в ній котельної та насосної групи по вул. Софіївській, 232б в м. Запоріжжі</t>
  </si>
  <si>
    <t>Гуртожиток по вул.Жовтнева,2 - реконструкція системи теплопостачання</t>
  </si>
  <si>
    <t>Реконструкція вул. Уральської від вул. Кругової до вул. Чарівної  в Шевченківському районі м. Запоріжжя (проектні роботи)</t>
  </si>
  <si>
    <t>Будівництво водопропуску через річку Сагайдачку по вул.Скельній в м.Запоріжжя</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</si>
  <si>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</si>
  <si>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</si>
  <si>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</si>
  <si>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Реконструкція вул. Жовтневої від пр. Леніна  до вул.  Жуковського в Жовтневому районі м. Запоріжжя (проектні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</si>
  <si>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</si>
  <si>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</si>
  <si>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</si>
  <si>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</si>
  <si>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</si>
  <si>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</si>
  <si>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Реконструкція Палацу спорту "Юність" у м.Запоріжжя (проектні  та будівельні роботи)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</si>
  <si>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</si>
  <si>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Реконструкція водогону з його виносом з-під житлової забудови по вул. Первомайській (від вул. Кооперативної до вул.Української, 92) в м.Запоріжжі</t>
  </si>
  <si>
    <t>Реконструкція мостового переходу через залізницю по вул. Заводській в м.Запоріжжі</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</si>
  <si>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</si>
  <si>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</si>
  <si>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</si>
  <si>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Будівництво та встановлення оглядових веж</t>
  </si>
  <si>
    <t>Житловий будинок по вул.Дзержинського, 52 - реконструкція в м. Запоріжжі</t>
  </si>
  <si>
    <t>Реконструкція мереж зовнішнього освітлення Центрального парку культури і відпочинку "Дубовий гай" в м. Запоріжжі ТП-267 (парк "Дубовий гай")"</t>
  </si>
  <si>
    <t>Будівництво дороги до каналізаційної насосної станції №3 по вул. Лізи Чайкіної  (проектні роботи)</t>
  </si>
  <si>
    <t xml:space="preserve">Реконструкція амбулаторії №6  Центру первинної медико-санітарної допомоги № 2 по вул. Брюллова, 6 в м.Запоріжжя (проектні роботи) </t>
  </si>
  <si>
    <t>Нове будівництво гостьової автостоянки КП "Центральний парк культури і відпочинку "Дубовий гай" по Прибережній магістралі в м. Запоріжжі</t>
  </si>
  <si>
    <t>Нове будівництво ґрунтової підпірної  стінки в котловані незавершеного будівництва житлового будинку по вул.Горького, 167 в м. Запоріжжі</t>
  </si>
  <si>
    <t>Будівництво світлофорного об'єкту на перехресті вул. Радгоспної - вул. Магара в м.Запоріжжя (проектні та будівельні роботи)</t>
  </si>
  <si>
    <t>Будівництво мереж освітлення оглядових веж</t>
  </si>
  <si>
    <t>Реконструкція вул. Сталеварів (від пр. Леніна  до вул. Перемоги)</t>
  </si>
  <si>
    <t>Реконструкція житлового будинку по пл. Профспілок, 4</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</si>
  <si>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</si>
  <si>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</si>
  <si>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Реконструкція мереж зовнішнього освітлення по вул. Тополіна ТП-52 у м. Запоріжжя</t>
  </si>
  <si>
    <t xml:space="preserve">Реконструкція вул. Жуковського від вул. Леппіка до вул. Залізничної  у Жовтневому районі м. Запоріжжя (проектні  роботи) </t>
  </si>
  <si>
    <t>до Програми економічного і соціального розвитку                                                                                   м. Запоріжжя на 2015 рік</t>
  </si>
  <si>
    <t xml:space="preserve">Перелік видатків,  які у 2015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</si>
  <si>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2015 році будуть проводитися за рахунок коштів бюджету розвитку міста </t>
  </si>
  <si>
    <t>Видатки на 2015 рік</t>
  </si>
  <si>
    <t>Перелік капітальних видатків, які у 2015 році будуть проводитися за рахунок коштів бюджету розвитку  міста</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</si>
  <si>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</si>
  <si>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77 по вул. Маяковського, 3а Орджонікідзевського району, м. Запоріжжя (проектні та будівельні роботи)</t>
  </si>
  <si>
    <t>Термомодернізація загальноосвітньої школи І-ІІІ ступенів № 101 по вул.Бочарова, 10-б  м.Запоріжжя (проектні роботи)</t>
  </si>
  <si>
    <t>Термомодернізація дошкільного навчального закладу (ясла-садок) № 126 «Суничка», вул.Патріотична, 40а м.Запоріжжя (проектні роботи)</t>
  </si>
  <si>
    <t>Нове будівництво дошкільного навчального закладу №49 в мікрорайоні № 6 по вул. Бородінська в м. Запоріжжі (проектні роботи та експертиза)</t>
  </si>
  <si>
    <t>Реконструкція будівлі загальноосвітньої школи І-ІІІ ступенів № 75 по вул.Історична,92 Заводського району</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</si>
  <si>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</si>
  <si>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</si>
  <si>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</si>
  <si>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</si>
  <si>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</si>
  <si>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</si>
  <si>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</si>
  <si>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</si>
  <si>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</si>
  <si>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</si>
  <si>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Реконструкція вул. Медичної в межах від вул. Айвазовського до вул. Панаса Мирного (проектні та будівельні роботи)</t>
  </si>
  <si>
    <t>Реконструкція пішохідного переходу через балку Маркусова від вул. Історичної до вул. Сеченова в м. Запоріжжі</t>
  </si>
  <si>
    <t>Реконструкція вулично-шляхової мережі по вул. Квітучій в межах від вул. Братської до вул. Вінницької в Ленінському районі</t>
  </si>
  <si>
    <t xml:space="preserve">Будівництво зливової каналізації по вул. Іванова у Шевченківському районі м. Запоріжжя </t>
  </si>
  <si>
    <t>Реконструкція пам"ятника Т.Г. Шевченку з прилеглою територією у Шевченківському районі  м.Запоріжжя</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</si>
  <si>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</si>
  <si>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</si>
  <si>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</si>
  <si>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Реконструкція зливової каналізації від вул. Карпенко-Карого до вул. Листопрокатна в м. Запоріжжя (проектні роботи)</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</si>
  <si>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t>
  </si>
  <si>
    <t xml:space="preserve">Реконструкція дороги по вул. Південноукраїнська та вул. Панфіловців з влаштуванням гостьових автомобільних стоянок </t>
  </si>
  <si>
    <t>Реконструкція  центральної алеї парку "Дубовий гай" в м.Запоріжжя</t>
  </si>
  <si>
    <t xml:space="preserve">Комунальний заклад "Міська клінічна лікарня №3" - реконструкція відділення очної травми та приймального відділення </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</si>
  <si>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</si>
  <si>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світлофорного об'єкту з визивним пристроєм на перехресті бул.Шевченка-бул.Гвардійського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</si>
  <si>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м.Запоріжжі (проектні роботи)</t>
  </si>
  <si>
    <t>070803</t>
  </si>
  <si>
    <t>Забезпечення технічного нагляду за будівництвом і капітальним ремонтом та іншими окремими господарськими функціями</t>
  </si>
  <si>
    <t>070805</t>
  </si>
  <si>
    <t>200700</t>
  </si>
  <si>
    <t>Інші природоохоронні заходи</t>
  </si>
  <si>
    <t>Внески органів місцевого самоврядування у статутні капітали суб'єктів підприємницької діяльності</t>
  </si>
  <si>
    <t>Комунальне підприємство "Запоріжміськсвітло" (придбання станції диспетчерського пункту з програмним забезпеченням АРМ Міськсвітло - 1 од.,  мінінавантажувача 745 Авант - 2 од., автопідіймача ВІПО-18-01 - 2 од.)</t>
  </si>
  <si>
    <t>Комунальне ремонтно-будівельне підприємство "Зеленбуд" (придбання поливомийного автомобілю МДКЗ-16-09  МАЗ-5337W - 4 од., самоскиду на базі шасі AC-G 3309-CC900мм - 2 од., тракторів МТЗ-82.1.26 - 2 од.)</t>
  </si>
  <si>
    <t>МКП "Основаніє"</t>
  </si>
  <si>
    <t>КП "ЕЛУАШ"</t>
  </si>
  <si>
    <t>КП "Запоріжміськсвітло"</t>
  </si>
  <si>
    <t>КРБП "Зеленбуд"</t>
  </si>
  <si>
    <t xml:space="preserve">170703 </t>
  </si>
  <si>
    <t>Видатки на проведення робіт, повязаних із будівництвом, реконструкцією, ремонтом автомобільних доріг</t>
  </si>
  <si>
    <t>Реконструкція каналізаційного напірного колектору діаметром 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</si>
  <si>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</si>
  <si>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по пр. Металургів від вул. Рекордної до вул. Лучєвої</t>
  </si>
  <si>
    <t>Заходи щодо відновлення і підтримання сприятливого гідрологічного режиму та санітарного стану річок. Розчистка русла балки Поповка (проектні роботи)</t>
  </si>
  <si>
    <t>Реконструкція самопливного каналізаційного колектору від вул. Новгородська до ЦОС-2. Ділянка колектору від дюкеру до ЦОС-2 (проектні роботи)</t>
  </si>
  <si>
    <t>120100</t>
  </si>
  <si>
    <t>Телебачення і радіомовлення</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</si>
  <si>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</si>
  <si>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(придбання детектору вибухових речовин - 1 од.)</t>
  </si>
  <si>
    <t>180409</t>
  </si>
  <si>
    <t>Реконструкція системи газопостачання газопроводу низького тиску в районі житлового будинку №24 по вул.Лобановського</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</si>
  <si>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</si>
  <si>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Реконструкція вул.Рекордної від вул. Портова до вул. Алюмінієва (проектні роботи) </t>
  </si>
  <si>
    <t xml:space="preserve">Реконструкція вулично-шляхової мережі   по вул. Грибоєдова  від Щасливої до вул. Тобольської у Ленінському районі м. Запоріжжя  (проектні  роботи) </t>
  </si>
  <si>
    <t>Реконструкція зливової каналізації по вул. Тургенєва в м. Запоріжжя  (проектні роботи)</t>
  </si>
  <si>
    <t>Реконструкція скверу на пл. Театральній зі спорудженням пам'ятника Т.Г. Шевченку (проектні роботи та експертиза)</t>
  </si>
  <si>
    <t>Влаштування флагштоків у парку Металургів в м.Запоріжжі на Алеї Пам'яті Героїв, загиблих в АТО - нове будівництво</t>
  </si>
  <si>
    <t>Будівництво світлофорних об'єктів, в тому числі:</t>
  </si>
  <si>
    <t>Будівництво світлофорного об'єкту на перехресті по вул.Гребельній в районі пішохідного переходу навпроти меморіалу "Скорботна Мати" в м.Запоріжжя (проектні та будівельні роботи)</t>
  </si>
  <si>
    <t>вул. Кузнєцова,34б</t>
  </si>
  <si>
    <t>Реконструкція каналізаційного колектору до КНС-1 по вул. Українській</t>
  </si>
  <si>
    <t>Реконструкція самопливного каналізаційного колектору від вул. Новгородська до ЦОС-2. Ділянка переходу під  вул. Задніпровська та залізницею</t>
  </si>
  <si>
    <t>Розширення і реконструкція центральних каналізаційних очисних споруд Лівого берега  (ЦОС-1). Технологічні трубопроводи (колектор К-28)</t>
  </si>
  <si>
    <t>Роботи пов`язані з поліпшенням технічного стану та благоустрою малої водойми ЦПКтаВ "Дубовий гай". Реконструкція</t>
  </si>
  <si>
    <t>Реконструкція тролейбусної лінії від вул. Сєдова до вул.Південного шосе, 13 в м. Запоріжжя</t>
  </si>
  <si>
    <t>Виготовлення та встановлення пам'ятника Т.Г. Шевченку в сквері Театральному м. Запоріжжя - нове будівництво</t>
  </si>
  <si>
    <t>ЗКПМЕ "Запоріжелектротранс"</t>
  </si>
  <si>
    <t>КП "Міжнародний аеропорт Запоріжжя"</t>
  </si>
  <si>
    <t xml:space="preserve">Реконструкція зливової каналізації по вул. Задніпровської в м. Запоріжжя (проектні роботи)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</si>
  <si>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</si>
  <si>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</si>
  <si>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</si>
  <si>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Будівництво світлофорного об'єкту на перехресті вул. Північне шосе - дорога на Сталепрокатний завод у м. Запоріжжі</t>
  </si>
  <si>
    <t>Реконструкція світлофорного об'єкту з визивним пристроєм на перехресті вул.Чарівної-вул. Цитрусової в м.Запоріжжі (проектні та будівельні роботи)</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</si>
  <si>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</si>
  <si>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 у м.Запоріжжя (проектні та будівельні роботи)</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</si>
  <si>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</si>
  <si>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м.Запоріжжя (проектні та будівельні роботи)</t>
  </si>
  <si>
    <t>Будівництво мереж зовнішнього освітлення вулиці Історична (від ж/б №1 до ж/б № 5) у м. Запоріжжі (проектні та будівельні роботи)</t>
  </si>
  <si>
    <t>Будівництво мереж зовнішнього освітлення вулиці  Косарєва (від вул. Билкіна до вул. Автобусної)  у м. Запоріжжі (проектні та будівельні роботи)</t>
  </si>
  <si>
    <t>Будівництво мереж зовнішнього освітлення  пров.Кедровий (від вул. Учнівської до вул. 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</si>
  <si>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</si>
  <si>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Будівництво мереж зовнішнього освітлення Прибережна автомагістраль (рятувальна станція КП "Титан") у м.Запоріжжі  (проектні роботи та експертиза)</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</si>
  <si>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</si>
  <si>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</si>
  <si>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 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</si>
  <si>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</si>
  <si>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 xml:space="preserve">Реконструкція мереж зовнішнього освітлення на внутрішньоквартальній території по вул. Малиновського ТП-153 у м.Запоріжжя </t>
  </si>
  <si>
    <t xml:space="preserve">Реконструкція мереж зовнішнього освітлення на внутрішньоквартальній території по вул. Малиновського ТП-158  у м.Запоріжжя </t>
  </si>
  <si>
    <t xml:space="preserve">Реконструкція мереж зовнішнього освітлення на внутрішньоквартальній території по вул. Малиновського  ТП-118  у м.Запоріжжя </t>
  </si>
  <si>
    <t>Реконструкція внутрішньоквартальних мереж зовнішнього освітлення на території по вул. Бородинська 2 етап ТП-885 в м.Запоріжжі</t>
  </si>
  <si>
    <t>Реконструкція мереж зовнішнього освітлення по вул. Новгородська (гуртожиток по вул. Новгородська) у м.Запоріжжі</t>
  </si>
  <si>
    <t>Реконструкція мереж зовнішнього освітлення по вул. Теплова в м.Запоріжжі</t>
  </si>
  <si>
    <t>Реконструкція мереж зовнішнього освітлення по вул. Кустанайська в м.Запоріжжі</t>
  </si>
  <si>
    <t>Реконструкція мереж зовнішнього освітлення по вул. Крилова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</si>
  <si>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</si>
  <si>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</si>
  <si>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</si>
  <si>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вул.Халтуріна з виходом на вул.Ялтинську в м.Запоріжжя</t>
  </si>
  <si>
    <t>Реконструкція мереж зовнішнього освітлення вздовж автодорожнього проїзду по спорудах греблі ДніпроГЕС (автодорожній проїзд від пл. Леніна до греблі ДніпроГЕС лівий берег р. Дніпро, автодорожній проїзд від  греблі ДніпроГЕС до бул. Вінтера правий берег р. Дніпро, ТП- 74) в м. Запоріжжя</t>
  </si>
  <si>
    <t>Реконструкція мереж зовнішнього освітлення по вул.Трегубова в м.Запоріжжі</t>
  </si>
  <si>
    <t>Реконструкція мереж зовнішнього освітлення по вул. Ризька в м.Запоріжжі</t>
  </si>
  <si>
    <t>Реконструкція мереж зовнішнього освітлення по вул. Автодорівська  в м.Запоріжжі</t>
  </si>
  <si>
    <t>Реконструкція мереж зовнішнього освітлення по вул. Третьої п’ятирічки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</si>
  <si>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</si>
  <si>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Будівництво Кушугумського кладовища в м.Запоріжжя</t>
  </si>
  <si>
    <t>Будівництво мереж зовнішнього освітлення, в тому числі:</t>
  </si>
  <si>
    <t>Реконструкція мереж зовнішнього освітлення Програма "Світло", в тому числі:</t>
  </si>
  <si>
    <t>Будівництво дитячих майданчиків  (проектні та будівельні роботи), в тому числі за адресами:</t>
  </si>
  <si>
    <t>Внески у статутні капітали комунальних підприємств міста, в тому числі:</t>
  </si>
  <si>
    <t>Внески у статутні капітали комунальних підприємств міста,  в тому числі:</t>
  </si>
  <si>
    <t>Реконструкція каналізаційних мереж діаметром 150 мм від ж/б №218 по пр. Леніна до пр. Металургів м.Запоріжжя</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</si>
  <si>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</si>
  <si>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</si>
  <si>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</si>
  <si>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</si>
  <si>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</si>
  <si>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</si>
  <si>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КП "Титан" (придбання грузопасажирської Газелі ГАЗ 330273 4X4 - 1 од., пряжеприбиральної машини "Коваллучіо" - 1 од., машини дорожньої комбінованої МДКЗ - 10 - 1 од., придбання пам'ятних знаків "Запорізьким захисникам України"- 2 од.)</t>
  </si>
  <si>
    <t>Районна адміністрація Запорізької міської ради по Шевченківському району</t>
  </si>
  <si>
    <t>Реконструкція скверу вул.Бочарова в Шевченківському районі м.Запоріжжя</t>
  </si>
  <si>
    <t>Реконструкція пішохідної частини проспекту Маяковського в м. Запоріжжі</t>
  </si>
  <si>
    <t>Міське комунальне підприємство "Основаніє" (придбання трактору Беларусь 82.1 - 6 од., трактору Беларусь 320 МУ - 1 од., трактору Борекс - 2 од., причепу тракторного ПТС-4,5 - 10 од., придбання деревоподрібнюючої машини - 2 од.)</t>
  </si>
  <si>
    <t>Комунальне підприємство "Експлуатаційне лінійне управління автомобільних шляхів" (придбання фронтального навантажувача В-130 - 2 од., машини дорожньої МДКЗ-10 на шасі самоскида МАЗ-555102-220 (з щітковими, піскорозкидувальним обладнанням з відвалом) - 2 од., дорожньо-розміточної машини з самохідним приводом руху - 1 од., асфальтоукладача на гусеничному ходу з комплектацією - 1 од.)</t>
  </si>
  <si>
    <t>розроблення містобудівної документації</t>
  </si>
  <si>
    <t>оплата послуг аукціону та придбання обладнання</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</si>
</sst>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 numFmtId="201" formatCode="_-* #,##0.0_р_._-;\-* #,##0.0_р_._-;_-* &quot;-&quot;??_р_._-;_-@_-"/>
    <numFmt numFmtId="202" formatCode="_-* #,##0.000_р_._-;\-* #,##0.000_р_._-;_-* &quot;-&quot;??_р_._-;_-@_-"/>
    <numFmt numFmtId="203" formatCode="#,##0.000;[Red]#,##0.000"/>
  </numFmts>
  <fonts count="3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2"/>
      <name val="Times New Roman"/>
      <family val="1"/>
    </font>
    <font>
      <sz val="10"/>
      <name val="Times New Roman"/>
      <family val="1"/>
    </font>
    <font>
      <sz val="16"/>
      <name val="Times New Roman"/>
      <family val="1"/>
    </font>
    <font>
      <sz val="11"/>
      <name val="Calibri"/>
      <family val="2"/>
    </font>
    <font>
      <sz val="10"/>
      <name val="Arial"/>
      <family val="2"/>
    </font>
    <font>
      <sz val="15"/>
      <name val="Times New Roman"/>
      <family val="1"/>
    </font>
    <font>
      <u val="single"/>
      <sz val="11"/>
      <color indexed="12"/>
      <name val="Calibri"/>
      <family val="2"/>
    </font>
    <font>
      <u val="single"/>
      <sz val="11"/>
      <color indexed="20"/>
      <name val="Calibri"/>
      <family val="2"/>
    </font>
    <font>
      <b/>
      <u val="single"/>
      <sz val="16"/>
      <name val="Times New Roman"/>
      <family val="1"/>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medium"/>
      <bottom style="thin"/>
    </border>
    <border>
      <left style="thin"/>
      <right style="medium"/>
      <top style="thin"/>
      <bottom>
        <color indexed="63"/>
      </bottom>
    </border>
  </borders>
  <cellStyleXfs count="9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0" fillId="0" borderId="0">
      <alignment/>
      <protection/>
    </xf>
    <xf numFmtId="0" fontId="30"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43">
    <xf numFmtId="0" fontId="0" fillId="0" borderId="0" xfId="0" applyAlignment="1">
      <alignment/>
    </xf>
    <xf numFmtId="49" fontId="19" fillId="46" borderId="0" xfId="0" applyNumberFormat="1" applyFont="1" applyFill="1" applyBorder="1" applyAlignment="1">
      <alignment horizontal="center" vertical="center" wrapText="1"/>
    </xf>
    <xf numFmtId="0" fontId="19" fillId="46" borderId="0" xfId="0" applyFont="1" applyFill="1" applyBorder="1" applyAlignment="1">
      <alignment horizontal="center" vertical="center" wrapText="1"/>
    </xf>
    <xf numFmtId="2" fontId="19" fillId="46" borderId="0" xfId="0" applyNumberFormat="1"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20" fillId="46" borderId="11" xfId="0" applyFont="1" applyFill="1" applyBorder="1" applyAlignment="1">
      <alignment horizontal="center" vertical="center" wrapText="1"/>
    </xf>
    <xf numFmtId="0" fontId="19" fillId="46" borderId="12" xfId="0" applyFont="1" applyFill="1" applyBorder="1" applyAlignment="1">
      <alignment horizontal="center" vertical="center" wrapText="1"/>
    </xf>
    <xf numFmtId="0" fontId="19" fillId="46" borderId="13" xfId="0"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10" xfId="0" applyFont="1" applyFill="1" applyBorder="1" applyAlignment="1">
      <alignment horizontal="center" vertical="center" wrapText="1"/>
    </xf>
    <xf numFmtId="192" fontId="19" fillId="46" borderId="0" xfId="0" applyNumberFormat="1" applyFont="1" applyFill="1" applyBorder="1" applyAlignment="1">
      <alignment horizontal="center" vertical="center" wrapText="1"/>
    </xf>
    <xf numFmtId="192" fontId="19" fillId="46" borderId="15" xfId="0" applyNumberFormat="1" applyFont="1" applyFill="1" applyBorder="1" applyAlignment="1">
      <alignment horizontal="center" vertical="center" wrapText="1"/>
    </xf>
    <xf numFmtId="0" fontId="19" fillId="46" borderId="16" xfId="795" applyFont="1" applyFill="1" applyBorder="1" applyAlignment="1">
      <alignment horizontal="left" vertical="center" wrapText="1"/>
      <protection/>
    </xf>
    <xf numFmtId="0" fontId="19" fillId="46" borderId="0" xfId="0" applyFont="1" applyFill="1" applyAlignment="1">
      <alignment vertical="center" wrapText="1"/>
    </xf>
    <xf numFmtId="0" fontId="19" fillId="46" borderId="16" xfId="0" applyFont="1" applyFill="1" applyBorder="1" applyAlignment="1">
      <alignment horizontal="left" vertical="top" wrapText="1"/>
    </xf>
    <xf numFmtId="0" fontId="19" fillId="46" borderId="0" xfId="0" applyFont="1" applyFill="1" applyBorder="1" applyAlignment="1">
      <alignment vertical="center" wrapText="1"/>
    </xf>
    <xf numFmtId="0" fontId="18" fillId="46" borderId="0" xfId="0" applyFont="1" applyFill="1" applyBorder="1" applyAlignment="1">
      <alignment vertical="center" wrapText="1"/>
    </xf>
    <xf numFmtId="0" fontId="18" fillId="46" borderId="0" xfId="0" applyFont="1" applyFill="1" applyAlignment="1">
      <alignment vertical="center" wrapText="1"/>
    </xf>
    <xf numFmtId="0" fontId="19" fillId="46" borderId="0" xfId="0" applyFont="1" applyFill="1" applyAlignment="1">
      <alignment horizontal="center" vertical="center" wrapText="1"/>
    </xf>
    <xf numFmtId="0" fontId="19" fillId="46" borderId="16" xfId="0" applyFont="1" applyFill="1" applyBorder="1" applyAlignment="1">
      <alignment horizontal="left" vertical="center" wrapText="1"/>
    </xf>
    <xf numFmtId="192" fontId="19" fillId="0" borderId="16" xfId="0" applyNumberFormat="1" applyFont="1" applyFill="1" applyBorder="1" applyAlignment="1">
      <alignment horizontal="center" vertical="center" wrapText="1"/>
    </xf>
    <xf numFmtId="203" fontId="19" fillId="0" borderId="16" xfId="795" applyNumberFormat="1" applyFont="1" applyFill="1" applyBorder="1" applyAlignment="1">
      <alignment horizontal="left" vertical="center" wrapText="1"/>
      <protection/>
    </xf>
    <xf numFmtId="0" fontId="19" fillId="0" borderId="16" xfId="0" applyFont="1" applyFill="1" applyBorder="1" applyAlignment="1">
      <alignment horizontal="left" vertical="center" wrapText="1"/>
    </xf>
    <xf numFmtId="49" fontId="19" fillId="0" borderId="16" xfId="0" applyNumberFormat="1" applyFont="1" applyFill="1" applyBorder="1" applyAlignment="1">
      <alignment vertical="center" wrapText="1"/>
    </xf>
    <xf numFmtId="49" fontId="19" fillId="0" borderId="16" xfId="795" applyNumberFormat="1" applyFont="1" applyFill="1" applyBorder="1" applyAlignment="1">
      <alignment horizontal="left" vertical="center" wrapText="1"/>
      <protection/>
    </xf>
    <xf numFmtId="49" fontId="19" fillId="0" borderId="16" xfId="0" applyNumberFormat="1" applyFont="1" applyFill="1" applyBorder="1" applyAlignment="1">
      <alignment horizontal="left" vertical="center" wrapText="1"/>
    </xf>
    <xf numFmtId="182" fontId="19" fillId="0" borderId="16" xfId="871"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803" applyFont="1" applyFill="1" applyBorder="1" applyAlignment="1">
      <alignment horizontal="left" vertical="center" wrapText="1"/>
      <protection/>
    </xf>
    <xf numFmtId="0" fontId="19" fillId="0" borderId="0" xfId="0" applyFont="1" applyFill="1" applyBorder="1" applyAlignment="1">
      <alignment horizontal="center" vertical="center"/>
    </xf>
    <xf numFmtId="0" fontId="19" fillId="0" borderId="16" xfId="787" applyFont="1" applyFill="1" applyBorder="1" applyAlignment="1">
      <alignment horizontal="left" vertical="center" wrapText="1"/>
      <protection/>
    </xf>
    <xf numFmtId="192" fontId="19" fillId="0" borderId="16" xfId="787" applyNumberFormat="1" applyFont="1" applyFill="1" applyBorder="1" applyAlignment="1">
      <alignment horizontal="center" vertical="center" wrapText="1"/>
      <protection/>
    </xf>
    <xf numFmtId="192" fontId="19" fillId="0" borderId="16" xfId="803" applyNumberFormat="1" applyFont="1" applyFill="1" applyBorder="1" applyAlignment="1">
      <alignment horizontal="center" vertical="center" wrapText="1"/>
      <protection/>
    </xf>
    <xf numFmtId="0" fontId="19" fillId="0" borderId="16" xfId="412" applyFont="1" applyFill="1" applyBorder="1" applyAlignment="1">
      <alignment horizontal="left" vertical="center" wrapText="1"/>
      <protection/>
    </xf>
    <xf numFmtId="0" fontId="19" fillId="0" borderId="16" xfId="795" applyFont="1" applyFill="1" applyBorder="1" applyAlignment="1">
      <alignment horizontal="left" vertical="center" wrapText="1"/>
      <protection/>
    </xf>
    <xf numFmtId="181" fontId="19" fillId="0" borderId="16" xfId="0" applyNumberFormat="1" applyFont="1" applyFill="1" applyBorder="1" applyAlignment="1">
      <alignment horizontal="center" vertical="center" wrapText="1"/>
    </xf>
    <xf numFmtId="192" fontId="19" fillId="0" borderId="16" xfId="795" applyNumberFormat="1" applyFont="1" applyFill="1" applyBorder="1" applyAlignment="1">
      <alignment horizontal="center" vertical="center" wrapText="1"/>
      <protection/>
    </xf>
    <xf numFmtId="182" fontId="19" fillId="0" borderId="16"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7" xfId="0" applyFont="1" applyFill="1" applyBorder="1" applyAlignment="1">
      <alignment horizontal="center" vertical="center" wrapText="1"/>
    </xf>
    <xf numFmtId="0" fontId="19" fillId="0" borderId="0" xfId="0" applyFont="1" applyFill="1" applyAlignment="1">
      <alignment wrapText="1"/>
    </xf>
    <xf numFmtId="200" fontId="19" fillId="0" borderId="16" xfId="0" applyNumberFormat="1" applyFont="1" applyFill="1" applyBorder="1" applyAlignment="1">
      <alignment horizontal="center" vertical="center" wrapText="1"/>
    </xf>
    <xf numFmtId="192" fontId="19" fillId="0" borderId="16" xfId="801" applyNumberFormat="1" applyFont="1" applyFill="1" applyBorder="1" applyAlignment="1">
      <alignment horizontal="center" vertical="center" wrapText="1"/>
      <protection/>
    </xf>
    <xf numFmtId="0" fontId="19" fillId="0" borderId="16" xfId="0" applyFont="1" applyFill="1" applyBorder="1" applyAlignment="1">
      <alignment horizontal="center" vertical="center" wrapText="1"/>
    </xf>
    <xf numFmtId="192" fontId="19" fillId="0" borderId="16" xfId="411" applyNumberFormat="1" applyFont="1" applyFill="1" applyBorder="1" applyAlignment="1">
      <alignment horizontal="center" vertical="center" wrapText="1"/>
      <protection/>
    </xf>
    <xf numFmtId="0" fontId="19" fillId="0" borderId="16" xfId="784" applyFont="1" applyFill="1" applyBorder="1" applyAlignment="1">
      <alignment horizontal="left" vertical="center" wrapText="1"/>
      <protection/>
    </xf>
    <xf numFmtId="2" fontId="19" fillId="0" borderId="16" xfId="0" applyNumberFormat="1" applyFont="1" applyFill="1" applyBorder="1" applyAlignment="1">
      <alignment horizontal="left" vertical="center" wrapText="1"/>
    </xf>
    <xf numFmtId="0" fontId="19" fillId="0" borderId="16" xfId="785" applyFont="1" applyFill="1" applyBorder="1" applyAlignment="1">
      <alignment horizontal="left" vertical="center" wrapText="1"/>
      <protection/>
    </xf>
    <xf numFmtId="0" fontId="26" fillId="0" borderId="0" xfId="0" applyFont="1" applyFill="1" applyAlignment="1">
      <alignment wrapText="1"/>
    </xf>
    <xf numFmtId="0" fontId="19" fillId="0" borderId="16" xfId="802" applyFont="1" applyFill="1" applyBorder="1" applyAlignment="1">
      <alignment horizontal="left" vertical="center" wrapText="1"/>
      <protection/>
    </xf>
    <xf numFmtId="0" fontId="19" fillId="0" borderId="16" xfId="801" applyFont="1" applyFill="1" applyBorder="1" applyAlignment="1">
      <alignment horizontal="left" vertical="center" wrapText="1"/>
      <protection/>
    </xf>
    <xf numFmtId="181" fontId="19" fillId="0" borderId="16" xfId="787" applyNumberFormat="1" applyFont="1" applyFill="1" applyBorder="1" applyAlignment="1">
      <alignment horizontal="center" vertical="center" wrapText="1"/>
      <protection/>
    </xf>
    <xf numFmtId="0" fontId="19" fillId="0" borderId="16" xfId="0" applyFont="1" applyFill="1" applyBorder="1" applyAlignment="1">
      <alignment vertical="center" wrapText="1"/>
    </xf>
    <xf numFmtId="0" fontId="26" fillId="0" borderId="15" xfId="0" applyFont="1" applyFill="1" applyBorder="1" applyAlignment="1">
      <alignment horizontal="center" vertical="center" wrapText="1"/>
    </xf>
    <xf numFmtId="192" fontId="19" fillId="0" borderId="16" xfId="0" applyNumberFormat="1" applyFont="1" applyFill="1" applyBorder="1" applyAlignment="1">
      <alignment horizontal="center" vertical="center"/>
    </xf>
    <xf numFmtId="0" fontId="19" fillId="0" borderId="16" xfId="0" applyFont="1" applyFill="1" applyBorder="1" applyAlignment="1">
      <alignment horizontal="justify" vertical="top" wrapText="1"/>
    </xf>
    <xf numFmtId="0" fontId="19" fillId="0" borderId="15" xfId="0" applyFont="1" applyFill="1" applyBorder="1" applyAlignment="1">
      <alignment vertical="center" wrapText="1"/>
    </xf>
    <xf numFmtId="49" fontId="19" fillId="46" borderId="17" xfId="0" applyNumberFormat="1" applyFont="1" applyFill="1" applyBorder="1" applyAlignment="1">
      <alignment horizontal="center" vertical="center"/>
    </xf>
    <xf numFmtId="49" fontId="19" fillId="46" borderId="17" xfId="0" applyNumberFormat="1" applyFont="1" applyFill="1" applyBorder="1" applyAlignment="1">
      <alignment horizontal="center" vertical="center" wrapText="1"/>
    </xf>
    <xf numFmtId="0" fontId="19" fillId="46" borderId="16" xfId="0" applyFont="1" applyFill="1" applyBorder="1" applyAlignment="1">
      <alignment horizontal="center" vertical="center" wrapText="1"/>
    </xf>
    <xf numFmtId="0" fontId="19" fillId="0" borderId="0" xfId="0" applyFont="1" applyFill="1" applyBorder="1" applyAlignment="1">
      <alignment horizontal="left" vertical="center" wrapText="1"/>
    </xf>
    <xf numFmtId="180" fontId="19"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left" vertical="center" wrapText="1"/>
    </xf>
    <xf numFmtId="49" fontId="25" fillId="0" borderId="0" xfId="0" applyNumberFormat="1" applyFont="1" applyFill="1" applyBorder="1" applyAlignment="1">
      <alignment vertical="center" wrapText="1"/>
    </xf>
    <xf numFmtId="180" fontId="25" fillId="0" borderId="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6" xfId="0" applyFont="1" applyFill="1" applyBorder="1" applyAlignment="1">
      <alignment vertical="top" wrapText="1"/>
    </xf>
    <xf numFmtId="49" fontId="19" fillId="0" borderId="17" xfId="0" applyNumberFormat="1" applyFont="1" applyFill="1" applyBorder="1" applyAlignment="1">
      <alignment horizontal="center" vertical="center"/>
    </xf>
    <xf numFmtId="180" fontId="19" fillId="0" borderId="16" xfId="0" applyNumberFormat="1" applyFont="1" applyFill="1" applyBorder="1" applyAlignment="1">
      <alignment horizontal="center" vertical="center" wrapText="1"/>
    </xf>
    <xf numFmtId="0" fontId="23" fillId="0" borderId="16" xfId="0" applyFont="1" applyFill="1" applyBorder="1" applyAlignment="1">
      <alignment horizontal="left" vertical="center" wrapText="1"/>
    </xf>
    <xf numFmtId="0" fontId="19" fillId="0" borderId="16" xfId="784" applyNumberFormat="1" applyFont="1" applyFill="1" applyBorder="1" applyAlignment="1">
      <alignment horizontal="left" vertical="center" wrapText="1"/>
      <protection/>
    </xf>
    <xf numFmtId="192" fontId="19" fillId="0" borderId="16" xfId="784" applyNumberFormat="1" applyFont="1" applyFill="1" applyBorder="1" applyAlignment="1">
      <alignment horizontal="center" vertical="center" wrapText="1"/>
      <protection/>
    </xf>
    <xf numFmtId="192" fontId="19" fillId="20" borderId="0"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192" fontId="19" fillId="0" borderId="15" xfId="0" applyNumberFormat="1" applyFont="1" applyFill="1" applyBorder="1" applyAlignment="1">
      <alignment horizontal="center" vertical="center" wrapText="1"/>
    </xf>
    <xf numFmtId="181" fontId="25" fillId="0" borderId="16" xfId="0" applyNumberFormat="1" applyFont="1" applyFill="1" applyBorder="1" applyAlignment="1">
      <alignment horizontal="center" vertical="center" wrapText="1"/>
    </xf>
    <xf numFmtId="0" fontId="26" fillId="0" borderId="0" xfId="784" applyFont="1" applyFill="1" applyAlignment="1">
      <alignment wrapText="1"/>
      <protection/>
    </xf>
    <xf numFmtId="0" fontId="19" fillId="0" borderId="17" xfId="784" applyFont="1" applyFill="1" applyBorder="1" applyAlignment="1">
      <alignment horizontal="center" vertical="center" wrapText="1"/>
      <protection/>
    </xf>
    <xf numFmtId="0" fontId="19" fillId="0" borderId="15" xfId="0" applyFont="1" applyFill="1" applyBorder="1" applyAlignment="1">
      <alignment wrapText="1"/>
    </xf>
    <xf numFmtId="49" fontId="19" fillId="0" borderId="19" xfId="0" applyNumberFormat="1" applyFont="1" applyFill="1" applyBorder="1" applyAlignment="1">
      <alignment horizontal="center" vertical="center" wrapText="1"/>
    </xf>
    <xf numFmtId="0" fontId="19" fillId="0" borderId="20" xfId="0" applyFont="1" applyFill="1" applyBorder="1" applyAlignment="1">
      <alignment horizontal="left" vertical="center" wrapText="1"/>
    </xf>
    <xf numFmtId="192" fontId="19" fillId="0" borderId="20" xfId="0" applyNumberFormat="1" applyFont="1" applyFill="1" applyBorder="1" applyAlignment="1">
      <alignment horizontal="center" vertical="center" wrapText="1"/>
    </xf>
    <xf numFmtId="182" fontId="19" fillId="0" borderId="20" xfId="871" applyNumberFormat="1" applyFont="1" applyFill="1" applyBorder="1" applyAlignment="1">
      <alignment horizontal="center" vertical="center" wrapText="1"/>
    </xf>
    <xf numFmtId="49" fontId="19" fillId="46" borderId="19" xfId="0" applyNumberFormat="1" applyFont="1" applyFill="1" applyBorder="1" applyAlignment="1">
      <alignment horizontal="center" vertical="center" wrapText="1"/>
    </xf>
    <xf numFmtId="49" fontId="19" fillId="46" borderId="20" xfId="0" applyNumberFormat="1" applyFont="1" applyFill="1" applyBorder="1" applyAlignment="1">
      <alignment horizontal="left" vertical="center" wrapText="1"/>
    </xf>
    <xf numFmtId="0" fontId="19" fillId="46" borderId="20" xfId="0" applyFont="1" applyFill="1" applyBorder="1" applyAlignment="1">
      <alignment horizontal="center" vertical="center" wrapText="1"/>
    </xf>
    <xf numFmtId="0" fontId="19" fillId="46" borderId="21" xfId="0" applyNumberFormat="1" applyFont="1" applyFill="1" applyBorder="1" applyAlignment="1">
      <alignment horizontal="center" vertical="center" wrapText="1"/>
    </xf>
    <xf numFmtId="192" fontId="19" fillId="0" borderId="0" xfId="0" applyNumberFormat="1" applyFont="1" applyFill="1" applyBorder="1" applyAlignment="1">
      <alignment horizontal="center" vertical="center"/>
    </xf>
    <xf numFmtId="0" fontId="19" fillId="46" borderId="18" xfId="0" applyFont="1" applyFill="1" applyBorder="1" applyAlignment="1">
      <alignment horizontal="center" vertical="center" wrapText="1"/>
    </xf>
    <xf numFmtId="0" fontId="19" fillId="46" borderId="22" xfId="0" applyFont="1" applyFill="1" applyBorder="1" applyAlignment="1">
      <alignment horizontal="center" vertical="center" wrapText="1"/>
    </xf>
    <xf numFmtId="2" fontId="19" fillId="0" borderId="16" xfId="0" applyNumberFormat="1" applyFont="1" applyFill="1" applyBorder="1" applyAlignment="1">
      <alignment vertical="center" wrapText="1"/>
    </xf>
    <xf numFmtId="0" fontId="19" fillId="0" borderId="16" xfId="784" applyFont="1" applyFill="1" applyBorder="1" applyAlignment="1">
      <alignment horizontal="left" wrapText="1"/>
      <protection/>
    </xf>
    <xf numFmtId="192" fontId="19" fillId="0" borderId="16" xfId="871"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1" fontId="19" fillId="0" borderId="13"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8" xfId="0" applyFont="1" applyFill="1" applyBorder="1" applyAlignment="1">
      <alignment horizontal="left" vertical="center" wrapText="1"/>
    </xf>
    <xf numFmtId="192" fontId="28" fillId="0" borderId="18" xfId="0" applyNumberFormat="1" applyFont="1" applyFill="1" applyBorder="1" applyAlignment="1">
      <alignment horizontal="center" vertical="center" wrapText="1"/>
    </xf>
    <xf numFmtId="192" fontId="28" fillId="0" borderId="23" xfId="0" applyNumberFormat="1" applyFont="1" applyFill="1" applyBorder="1" applyAlignment="1">
      <alignment horizontal="center" vertical="center" wrapText="1"/>
    </xf>
    <xf numFmtId="192" fontId="19" fillId="0" borderId="20" xfId="0" applyNumberFormat="1" applyFont="1" applyFill="1" applyBorder="1" applyAlignment="1">
      <alignment horizontal="center" vertical="center"/>
    </xf>
    <xf numFmtId="181" fontId="19" fillId="0" borderId="20" xfId="0" applyNumberFormat="1" applyFont="1" applyFill="1" applyBorder="1" applyAlignment="1">
      <alignment horizontal="center" vertical="center" wrapText="1"/>
    </xf>
    <xf numFmtId="0" fontId="19" fillId="0" borderId="20" xfId="784" applyFont="1" applyFill="1" applyBorder="1" applyAlignment="1">
      <alignment horizontal="left" wrapText="1"/>
      <protection/>
    </xf>
    <xf numFmtId="0" fontId="19" fillId="46" borderId="18" xfId="0" applyFont="1" applyFill="1" applyBorder="1" applyAlignment="1">
      <alignment horizontal="left" vertical="center" wrapText="1"/>
    </xf>
    <xf numFmtId="192" fontId="19" fillId="46" borderId="23" xfId="0" applyNumberFormat="1" applyFont="1" applyFill="1" applyBorder="1" applyAlignment="1">
      <alignment horizontal="center" vertical="center" wrapText="1"/>
    </xf>
    <xf numFmtId="0" fontId="19" fillId="46" borderId="17" xfId="0" applyFont="1" applyFill="1" applyBorder="1" applyAlignment="1">
      <alignment horizontal="center" vertical="center" wrapText="1"/>
    </xf>
    <xf numFmtId="49" fontId="19" fillId="46" borderId="16" xfId="0" applyNumberFormat="1" applyFont="1" applyFill="1" applyBorder="1" applyAlignment="1">
      <alignment horizontal="left" vertical="center" wrapText="1"/>
    </xf>
    <xf numFmtId="0" fontId="19" fillId="46" borderId="22" xfId="0" applyFont="1" applyFill="1" applyBorder="1" applyAlignment="1">
      <alignment horizontal="center" vertical="center" wrapText="1"/>
    </xf>
    <xf numFmtId="49" fontId="25" fillId="0" borderId="0" xfId="0" applyNumberFormat="1" applyFont="1" applyFill="1" applyBorder="1" applyAlignment="1">
      <alignment horizontal="right" wrapText="1"/>
    </xf>
    <xf numFmtId="0" fontId="19" fillId="0" borderId="18"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19" fillId="0" borderId="16" xfId="784" applyFont="1" applyFill="1" applyBorder="1" applyAlignment="1">
      <alignment horizontal="center" vertical="center" wrapText="1"/>
      <protection/>
    </xf>
    <xf numFmtId="0" fontId="19" fillId="0" borderId="16" xfId="0" applyFont="1" applyFill="1" applyBorder="1" applyAlignment="1">
      <alignment horizontal="left" vertical="center" wrapText="1"/>
    </xf>
    <xf numFmtId="49" fontId="25" fillId="0" borderId="0" xfId="0" applyNumberFormat="1" applyFont="1" applyFill="1" applyBorder="1" applyAlignment="1">
      <alignment horizontal="center" wrapText="1"/>
    </xf>
    <xf numFmtId="0" fontId="19"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6" xfId="784" applyFont="1" applyFill="1" applyBorder="1" applyAlignment="1">
      <alignment horizontal="left" vertical="center" wrapText="1"/>
      <protection/>
    </xf>
    <xf numFmtId="0" fontId="19" fillId="0" borderId="17" xfId="784" applyFont="1" applyFill="1" applyBorder="1" applyAlignment="1">
      <alignment horizontal="center" vertical="center" wrapText="1"/>
      <protection/>
    </xf>
    <xf numFmtId="49" fontId="19" fillId="0" borderId="17" xfId="0" applyNumberFormat="1" applyFont="1" applyFill="1" applyBorder="1" applyAlignment="1">
      <alignment horizontal="center" vertical="center"/>
    </xf>
    <xf numFmtId="180" fontId="19" fillId="0" borderId="18" xfId="0" applyNumberFormat="1" applyFont="1" applyFill="1" applyBorder="1" applyAlignment="1">
      <alignment horizontal="center" vertical="center" textRotation="90" wrapText="1"/>
    </xf>
    <xf numFmtId="180" fontId="19" fillId="0" borderId="20" xfId="0" applyNumberFormat="1" applyFont="1" applyFill="1" applyBorder="1" applyAlignment="1">
      <alignment horizontal="center" vertical="center" textRotation="90" wrapText="1"/>
    </xf>
    <xf numFmtId="0" fontId="25" fillId="0" borderId="0" xfId="0" applyFont="1" applyFill="1" applyBorder="1" applyAlignment="1">
      <alignment horizontal="left" wrapText="1"/>
    </xf>
    <xf numFmtId="0" fontId="25" fillId="0" borderId="0" xfId="0" applyFont="1" applyFill="1" applyAlignment="1">
      <alignment horizontal="left" vertical="center" wrapText="1"/>
    </xf>
    <xf numFmtId="0" fontId="25" fillId="0" borderId="0" xfId="0" applyFont="1" applyFill="1" applyAlignment="1">
      <alignment horizontal="left" wrapText="1"/>
    </xf>
    <xf numFmtId="49" fontId="19" fillId="46" borderId="0" xfId="0" applyNumberFormat="1" applyFont="1" applyFill="1" applyBorder="1" applyAlignment="1">
      <alignment horizontal="center" wrapText="1"/>
    </xf>
    <xf numFmtId="0" fontId="19" fillId="46" borderId="18"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8" fillId="46" borderId="0" xfId="0" applyFont="1" applyFill="1" applyBorder="1" applyAlignment="1">
      <alignment horizontal="left" wrapText="1"/>
    </xf>
    <xf numFmtId="0" fontId="18" fillId="46" borderId="0" xfId="0" applyFont="1" applyFill="1" applyAlignment="1">
      <alignment horizontal="center" wrapText="1"/>
    </xf>
    <xf numFmtId="0" fontId="19" fillId="46" borderId="0" xfId="0" applyFont="1" applyFill="1" applyBorder="1" applyAlignment="1">
      <alignment horizontal="left" vertical="center" wrapText="1"/>
    </xf>
    <xf numFmtId="0" fontId="31" fillId="0" borderId="0" xfId="0" applyFont="1" applyFill="1" applyAlignment="1">
      <alignment horizontal="left" vertical="center" wrapText="1"/>
    </xf>
  </cellXfs>
  <cellStyles count="953">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1 2" xfId="786"/>
    <cellStyle name="Обычный 12" xfId="787"/>
    <cellStyle name="Обычный 2" xfId="788"/>
    <cellStyle name="Обычный 2 2" xfId="789"/>
    <cellStyle name="Обычный 2 3" xfId="790"/>
    <cellStyle name="Обычный 2 4" xfId="791"/>
    <cellStyle name="Обычный 2 5" xfId="792"/>
    <cellStyle name="Обычный 3" xfId="793"/>
    <cellStyle name="Обычный 4" xfId="794"/>
    <cellStyle name="Обычный 5" xfId="795"/>
    <cellStyle name="Обычный 5 2" xfId="796"/>
    <cellStyle name="Обычный 6" xfId="797"/>
    <cellStyle name="Обычный 7" xfId="798"/>
    <cellStyle name="Обычный 8" xfId="799"/>
    <cellStyle name="Обычный 9" xfId="800"/>
    <cellStyle name="Обычный_Бюджет розвитку 2014_17.09.2013 2" xfId="801"/>
    <cellStyle name="Обычный_Лист1 2" xfId="802"/>
    <cellStyle name="Обычный_ПЛАН Бюджету розвитку на 2013_деп.економіки" xfId="803"/>
    <cellStyle name="Followed Hyperlink" xfId="804"/>
    <cellStyle name="Плохой" xfId="805"/>
    <cellStyle name="Плохой 2" xfId="806"/>
    <cellStyle name="Плохой 2 2" xfId="807"/>
    <cellStyle name="Плохой 2 3" xfId="808"/>
    <cellStyle name="Плохой 2 4" xfId="809"/>
    <cellStyle name="Плохой 2 5" xfId="810"/>
    <cellStyle name="Плохой 3" xfId="811"/>
    <cellStyle name="Плохой 3 2" xfId="812"/>
    <cellStyle name="Плохой 3 3" xfId="813"/>
    <cellStyle name="Плохой 3 4" xfId="814"/>
    <cellStyle name="Плохой 3 5" xfId="815"/>
    <cellStyle name="Плохой 4" xfId="816"/>
    <cellStyle name="Плохой 4 2" xfId="817"/>
    <cellStyle name="Плохой 4 3" xfId="818"/>
    <cellStyle name="Плохой 4 4" xfId="819"/>
    <cellStyle name="Плохой 4 5" xfId="820"/>
    <cellStyle name="Плохой 5" xfId="821"/>
    <cellStyle name="Плохой 5 2" xfId="822"/>
    <cellStyle name="Плохой 5 3" xfId="823"/>
    <cellStyle name="Плохой 5 4" xfId="824"/>
    <cellStyle name="Плохой 5 5" xfId="825"/>
    <cellStyle name="Плохой 6" xfId="826"/>
    <cellStyle name="Пояснение" xfId="827"/>
    <cellStyle name="Пояснение 2" xfId="828"/>
    <cellStyle name="Пояснение 2 2" xfId="829"/>
    <cellStyle name="Пояснение 2 3" xfId="830"/>
    <cellStyle name="Пояснение 2 4" xfId="831"/>
    <cellStyle name="Пояснение 2 5" xfId="832"/>
    <cellStyle name="Пояснение 3" xfId="833"/>
    <cellStyle name="Пояснение 3 2" xfId="834"/>
    <cellStyle name="Пояснение 3 3" xfId="835"/>
    <cellStyle name="Пояснение 3 4" xfId="836"/>
    <cellStyle name="Пояснение 3 5" xfId="837"/>
    <cellStyle name="Пояснение 4" xfId="838"/>
    <cellStyle name="Пояснение 4 2" xfId="839"/>
    <cellStyle name="Пояснение 4 3" xfId="840"/>
    <cellStyle name="Пояснение 4 4" xfId="841"/>
    <cellStyle name="Пояснение 4 5" xfId="842"/>
    <cellStyle name="Пояснение 5" xfId="843"/>
    <cellStyle name="Пояснение 5 2" xfId="844"/>
    <cellStyle name="Пояснение 5 3" xfId="845"/>
    <cellStyle name="Пояснение 5 4" xfId="846"/>
    <cellStyle name="Пояснение 5 5" xfId="847"/>
    <cellStyle name="Примечание" xfId="848"/>
    <cellStyle name="Примечание 2" xfId="849"/>
    <cellStyle name="Примечание 2 2" xfId="850"/>
    <cellStyle name="Примечание 2 3" xfId="851"/>
    <cellStyle name="Примечание 2 4" xfId="852"/>
    <cellStyle name="Примечание 2 5" xfId="853"/>
    <cellStyle name="Примечание 3" xfId="854"/>
    <cellStyle name="Примечание 3 2" xfId="855"/>
    <cellStyle name="Примечание 3 3" xfId="856"/>
    <cellStyle name="Примечание 3 4" xfId="857"/>
    <cellStyle name="Примечание 3 5" xfId="858"/>
    <cellStyle name="Примечание 4" xfId="859"/>
    <cellStyle name="Примечание 4 2" xfId="860"/>
    <cellStyle name="Примечание 4 3" xfId="861"/>
    <cellStyle name="Примечание 4 4" xfId="862"/>
    <cellStyle name="Примечание 4 5" xfId="863"/>
    <cellStyle name="Примечание 5" xfId="864"/>
    <cellStyle name="Примечание 5 2" xfId="865"/>
    <cellStyle name="Примечание 5 3" xfId="866"/>
    <cellStyle name="Примечание 5 4" xfId="867"/>
    <cellStyle name="Примечание 5 5" xfId="868"/>
    <cellStyle name="Примечание 6" xfId="869"/>
    <cellStyle name="Percent" xfId="870"/>
    <cellStyle name="Процентный 2" xfId="871"/>
    <cellStyle name="Процентный 2 10" xfId="872"/>
    <cellStyle name="Процентный 2 11" xfId="873"/>
    <cellStyle name="Процентный 2 12" xfId="874"/>
    <cellStyle name="Процентный 2 13" xfId="875"/>
    <cellStyle name="Процентный 2 14" xfId="876"/>
    <cellStyle name="Процентный 2 15" xfId="877"/>
    <cellStyle name="Процентный 2 16" xfId="878"/>
    <cellStyle name="Процентный 2 17" xfId="879"/>
    <cellStyle name="Процентный 2 18" xfId="880"/>
    <cellStyle name="Процентный 2 19" xfId="881"/>
    <cellStyle name="Процентный 2 2" xfId="882"/>
    <cellStyle name="Процентный 2 20" xfId="883"/>
    <cellStyle name="Процентный 2 21" xfId="884"/>
    <cellStyle name="Процентный 2 22" xfId="885"/>
    <cellStyle name="Процентный 2 23" xfId="886"/>
    <cellStyle name="Процентный 2 24" xfId="887"/>
    <cellStyle name="Процентный 2 25" xfId="888"/>
    <cellStyle name="Процентный 2 26" xfId="889"/>
    <cellStyle name="Процентный 2 27" xfId="890"/>
    <cellStyle name="Процентный 2 3" xfId="891"/>
    <cellStyle name="Процентный 2 3 2" xfId="892"/>
    <cellStyle name="Процентный 2 4" xfId="893"/>
    <cellStyle name="Процентный 2 5" xfId="894"/>
    <cellStyle name="Процентный 2 6" xfId="895"/>
    <cellStyle name="Процентный 2 7" xfId="896"/>
    <cellStyle name="Процентный 2 8" xfId="897"/>
    <cellStyle name="Процентный 2 9" xfId="898"/>
    <cellStyle name="Процентный 5" xfId="899"/>
    <cellStyle name="Процентный 5 2" xfId="900"/>
    <cellStyle name="Связанная ячейка" xfId="901"/>
    <cellStyle name="Связанная ячейка 2" xfId="902"/>
    <cellStyle name="Связанная ячейка 2 2" xfId="903"/>
    <cellStyle name="Связанная ячейка 2 3" xfId="904"/>
    <cellStyle name="Связанная ячейка 2 4" xfId="905"/>
    <cellStyle name="Связанная ячейка 2 5" xfId="906"/>
    <cellStyle name="Связанная ячейка 3" xfId="907"/>
    <cellStyle name="Связанная ячейка 3 2" xfId="908"/>
    <cellStyle name="Связанная ячейка 3 3" xfId="909"/>
    <cellStyle name="Связанная ячейка 3 4" xfId="910"/>
    <cellStyle name="Связанная ячейка 3 5" xfId="911"/>
    <cellStyle name="Связанная ячейка 4" xfId="912"/>
    <cellStyle name="Связанная ячейка 4 2" xfId="913"/>
    <cellStyle name="Связанная ячейка 4 3" xfId="914"/>
    <cellStyle name="Связанная ячейка 4 4" xfId="915"/>
    <cellStyle name="Связанная ячейка 4 5" xfId="916"/>
    <cellStyle name="Связанная ячейка 5" xfId="917"/>
    <cellStyle name="Связанная ячейка 5 2" xfId="918"/>
    <cellStyle name="Связанная ячейка 5 3" xfId="919"/>
    <cellStyle name="Связанная ячейка 5 4" xfId="920"/>
    <cellStyle name="Связанная ячейка 5 5" xfId="921"/>
    <cellStyle name="Текст предупреждения" xfId="922"/>
    <cellStyle name="Текст предупреждения 2" xfId="923"/>
    <cellStyle name="Текст предупреждения 2 2" xfId="924"/>
    <cellStyle name="Текст предупреждения 2 3" xfId="925"/>
    <cellStyle name="Текст предупреждения 2 4" xfId="926"/>
    <cellStyle name="Текст предупреждения 2 5" xfId="927"/>
    <cellStyle name="Текст предупреждения 3" xfId="928"/>
    <cellStyle name="Текст предупреждения 3 2" xfId="929"/>
    <cellStyle name="Текст предупреждения 3 3" xfId="930"/>
    <cellStyle name="Текст предупреждения 3 4" xfId="931"/>
    <cellStyle name="Текст предупреждения 3 5" xfId="932"/>
    <cellStyle name="Текст предупреждения 4" xfId="933"/>
    <cellStyle name="Текст предупреждения 4 2" xfId="934"/>
    <cellStyle name="Текст предупреждения 4 3" xfId="935"/>
    <cellStyle name="Текст предупреждения 4 4" xfId="936"/>
    <cellStyle name="Текст предупреждения 4 5" xfId="937"/>
    <cellStyle name="Текст предупреждения 5" xfId="938"/>
    <cellStyle name="Текст предупреждения 5 2" xfId="939"/>
    <cellStyle name="Текст предупреждения 5 3" xfId="940"/>
    <cellStyle name="Текст предупреждения 5 4" xfId="941"/>
    <cellStyle name="Текст предупреждения 5 5" xfId="942"/>
    <cellStyle name="Comma" xfId="943"/>
    <cellStyle name="Comma [0]" xfId="944"/>
    <cellStyle name="Хороший" xfId="945"/>
    <cellStyle name="Хороший 2" xfId="946"/>
    <cellStyle name="Хороший 2 2" xfId="947"/>
    <cellStyle name="Хороший 2 3" xfId="948"/>
    <cellStyle name="Хороший 2 4" xfId="949"/>
    <cellStyle name="Хороший 2 5" xfId="950"/>
    <cellStyle name="Хороший 3" xfId="951"/>
    <cellStyle name="Хороший 3 2" xfId="952"/>
    <cellStyle name="Хороший 3 3" xfId="953"/>
    <cellStyle name="Хороший 3 4" xfId="954"/>
    <cellStyle name="Хороший 3 5" xfId="955"/>
    <cellStyle name="Хороший 4" xfId="956"/>
    <cellStyle name="Хороший 4 2" xfId="957"/>
    <cellStyle name="Хороший 4 3" xfId="958"/>
    <cellStyle name="Хороший 4 4" xfId="959"/>
    <cellStyle name="Хороший 4 5" xfId="960"/>
    <cellStyle name="Хороший 5" xfId="961"/>
    <cellStyle name="Хороший 5 2" xfId="962"/>
    <cellStyle name="Хороший 5 3" xfId="963"/>
    <cellStyle name="Хороший 5 4" xfId="964"/>
    <cellStyle name="Хороший 5 5" xfId="965"/>
    <cellStyle name="Хороший 6" xfId="9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234"/>
  <sheetViews>
    <sheetView tabSelected="1" view="pageBreakPreview" zoomScale="90" zoomScaleSheetLayoutView="90" workbookViewId="0" topLeftCell="A1">
      <selection activeCell="F4" sqref="F4:H4"/>
    </sheetView>
  </sheetViews>
  <sheetFormatPr defaultColWidth="9.140625" defaultRowHeight="15"/>
  <cols>
    <col min="1" max="1" width="13.00390625" style="27" customWidth="1"/>
    <col min="2" max="2" width="27.57421875" style="62" customWidth="1"/>
    <col min="3" max="3" width="60.7109375" style="62" customWidth="1"/>
    <col min="4" max="4" width="17.8515625" style="27" customWidth="1"/>
    <col min="5" max="5" width="10.8515625" style="27" customWidth="1"/>
    <col min="6" max="6" width="16.140625" style="63" customWidth="1"/>
    <col min="7" max="7" width="17.00390625" style="27" customWidth="1"/>
    <col min="8" max="8" width="16.00390625" style="27" customWidth="1"/>
    <col min="9" max="9" width="27.57421875" style="27" customWidth="1"/>
    <col min="10" max="16384" width="9.140625" style="27" customWidth="1"/>
  </cols>
  <sheetData>
    <row r="1" spans="5:8" ht="24" customHeight="1">
      <c r="E1" s="63"/>
      <c r="F1" s="132" t="s">
        <v>78</v>
      </c>
      <c r="G1" s="132"/>
      <c r="H1" s="64"/>
    </row>
    <row r="2" spans="5:8" ht="21" customHeight="1">
      <c r="E2" s="63"/>
      <c r="F2" s="121" t="s">
        <v>79</v>
      </c>
      <c r="G2" s="121"/>
      <c r="H2" s="64"/>
    </row>
    <row r="3" spans="5:8" ht="24.75" customHeight="1">
      <c r="E3" s="63"/>
      <c r="F3" s="142" t="s">
        <v>1</v>
      </c>
      <c r="G3" s="133"/>
      <c r="H3" s="133"/>
    </row>
    <row r="4" spans="1:8" s="42" customFormat="1" ht="23.25" customHeight="1">
      <c r="A4" s="40"/>
      <c r="B4" s="65"/>
      <c r="C4" s="65"/>
      <c r="D4" s="40"/>
      <c r="F4" s="134" t="s">
        <v>80</v>
      </c>
      <c r="G4" s="134"/>
      <c r="H4" s="134"/>
    </row>
    <row r="5" spans="1:8" s="42" customFormat="1" ht="27.75" customHeight="1">
      <c r="A5" s="40"/>
      <c r="B5" s="65"/>
      <c r="C5" s="65"/>
      <c r="D5" s="40"/>
      <c r="F5" s="133" t="s">
        <v>204</v>
      </c>
      <c r="G5" s="133"/>
      <c r="H5" s="133"/>
    </row>
    <row r="6" spans="1:8" s="42" customFormat="1" ht="35.25" customHeight="1">
      <c r="A6" s="40"/>
      <c r="B6" s="65"/>
      <c r="C6" s="65"/>
      <c r="D6" s="40"/>
      <c r="E6" s="66"/>
      <c r="F6" s="133"/>
      <c r="G6" s="133"/>
      <c r="H6" s="133"/>
    </row>
    <row r="7" spans="1:8" ht="41.25" customHeight="1">
      <c r="A7" s="124" t="s">
        <v>205</v>
      </c>
      <c r="B7" s="124"/>
      <c r="C7" s="124"/>
      <c r="D7" s="124"/>
      <c r="E7" s="124"/>
      <c r="F7" s="124"/>
      <c r="G7" s="124"/>
      <c r="H7" s="124"/>
    </row>
    <row r="8" spans="1:8" ht="30.75" customHeight="1">
      <c r="A8" s="67"/>
      <c r="B8" s="68"/>
      <c r="C8" s="68"/>
      <c r="D8" s="67"/>
      <c r="E8" s="64"/>
      <c r="F8" s="69"/>
      <c r="G8" s="118" t="s">
        <v>81</v>
      </c>
      <c r="H8" s="118"/>
    </row>
    <row r="9" spans="1:8" ht="40.5" customHeight="1">
      <c r="A9" s="124" t="s">
        <v>206</v>
      </c>
      <c r="B9" s="124"/>
      <c r="C9" s="124"/>
      <c r="D9" s="124"/>
      <c r="E9" s="124"/>
      <c r="F9" s="124"/>
      <c r="G9" s="124"/>
      <c r="H9" s="124"/>
    </row>
    <row r="10" spans="1:8" ht="19.5" customHeight="1" thickBot="1">
      <c r="A10" s="64"/>
      <c r="B10" s="121"/>
      <c r="C10" s="121"/>
      <c r="D10" s="64"/>
      <c r="E10" s="70"/>
      <c r="F10" s="64"/>
      <c r="G10" s="64"/>
      <c r="H10" s="64" t="s">
        <v>8</v>
      </c>
    </row>
    <row r="11" spans="1:8" ht="85.5" customHeight="1">
      <c r="A11" s="71" t="s">
        <v>9</v>
      </c>
      <c r="B11" s="72" t="s">
        <v>2</v>
      </c>
      <c r="C11" s="119" t="s">
        <v>10</v>
      </c>
      <c r="D11" s="119" t="s">
        <v>82</v>
      </c>
      <c r="E11" s="130" t="s">
        <v>83</v>
      </c>
      <c r="F11" s="119" t="s">
        <v>84</v>
      </c>
      <c r="G11" s="119" t="s">
        <v>207</v>
      </c>
      <c r="H11" s="125" t="s">
        <v>85</v>
      </c>
    </row>
    <row r="12" spans="1:8" ht="100.5" customHeight="1" thickBot="1">
      <c r="A12" s="73" t="s">
        <v>11</v>
      </c>
      <c r="B12" s="74" t="s">
        <v>12</v>
      </c>
      <c r="C12" s="120"/>
      <c r="D12" s="120"/>
      <c r="E12" s="131"/>
      <c r="F12" s="120"/>
      <c r="G12" s="120"/>
      <c r="H12" s="126"/>
    </row>
    <row r="13" spans="1:8" ht="18.75" customHeight="1" thickBot="1">
      <c r="A13" s="102">
        <v>1</v>
      </c>
      <c r="B13" s="103">
        <v>2</v>
      </c>
      <c r="C13" s="103">
        <v>3</v>
      </c>
      <c r="D13" s="103">
        <v>4</v>
      </c>
      <c r="E13" s="104">
        <v>5</v>
      </c>
      <c r="F13" s="103">
        <v>6</v>
      </c>
      <c r="G13" s="103">
        <v>7</v>
      </c>
      <c r="H13" s="105">
        <v>8</v>
      </c>
    </row>
    <row r="14" spans="1:8" ht="29.25" customHeight="1">
      <c r="A14" s="106"/>
      <c r="B14" s="107"/>
      <c r="C14" s="107" t="s">
        <v>13</v>
      </c>
      <c r="D14" s="108">
        <f>SUM(D15+D28+D48+D51+D53+D55+D195+D206+D215+D221+D230+D233)</f>
        <v>560536.4554</v>
      </c>
      <c r="E14" s="108"/>
      <c r="F14" s="108">
        <f>SUM(F15+F28+F48+F51+F53+F55+F195+F206+F215+F221+F230+F233)</f>
        <v>433019.20438999997</v>
      </c>
      <c r="G14" s="108">
        <f>SUM(G15+G28+G48+G51+G53+G55+G195+G206+G215+G221+G230+G233)</f>
        <v>250597.02619999993</v>
      </c>
      <c r="H14" s="109"/>
    </row>
    <row r="15" spans="1:8" ht="75" customHeight="1">
      <c r="A15" s="41">
        <v>10</v>
      </c>
      <c r="B15" s="22" t="s">
        <v>4</v>
      </c>
      <c r="C15" s="22"/>
      <c r="D15" s="20">
        <f>SUM(D16+D17+D18+D19+D20+D21+D22+D23+D24+D25+D26+D27)</f>
        <v>176283.663</v>
      </c>
      <c r="E15" s="26"/>
      <c r="F15" s="20">
        <f>SUM(F16+F17+F18+F19+F20+F21+F22+F23+F24+F25+F26+F27)</f>
        <v>132834.84982</v>
      </c>
      <c r="G15" s="20">
        <f>SUM(G16+G17+G18+G19+G20+G21+G22+G23+G24+G25+G26+G27)</f>
        <v>38831.306000000004</v>
      </c>
      <c r="H15" s="29"/>
    </row>
    <row r="16" spans="1:8" ht="39.75" customHeight="1">
      <c r="A16" s="28" t="s">
        <v>87</v>
      </c>
      <c r="B16" s="22" t="s">
        <v>86</v>
      </c>
      <c r="C16" s="36" t="s">
        <v>88</v>
      </c>
      <c r="D16" s="20">
        <v>6379.139</v>
      </c>
      <c r="E16" s="26">
        <f aca="true" t="shared" si="0" ref="E16:E21">100-(F16/D16)*100</f>
        <v>72.80433346882705</v>
      </c>
      <c r="F16" s="20">
        <f>D16-(1687.311+344.04021+44.9761+181.131+636.19824+755.9243+631.8392+362.86958)</f>
        <v>1734.8493700000008</v>
      </c>
      <c r="G16" s="20">
        <v>457.169</v>
      </c>
      <c r="H16" s="29" t="s">
        <v>89</v>
      </c>
    </row>
    <row r="17" spans="1:8" ht="56.25" customHeight="1">
      <c r="A17" s="28" t="s">
        <v>87</v>
      </c>
      <c r="B17" s="22" t="s">
        <v>86</v>
      </c>
      <c r="C17" s="22" t="s">
        <v>214</v>
      </c>
      <c r="D17" s="20">
        <v>9880.23</v>
      </c>
      <c r="E17" s="26">
        <f t="shared" si="0"/>
        <v>13.045217570846006</v>
      </c>
      <c r="F17" s="20">
        <f>D17-(1069.7+206.46924+0.13313+10.89113+1.704)</f>
        <v>8591.3325</v>
      </c>
      <c r="G17" s="20">
        <v>2000</v>
      </c>
      <c r="H17" s="29" t="s">
        <v>89</v>
      </c>
    </row>
    <row r="18" spans="1:8" ht="74.25" customHeight="1">
      <c r="A18" s="28" t="s">
        <v>87</v>
      </c>
      <c r="B18" s="22" t="s">
        <v>86</v>
      </c>
      <c r="C18" s="22" t="s">
        <v>90</v>
      </c>
      <c r="D18" s="20">
        <v>18053.4</v>
      </c>
      <c r="E18" s="26">
        <f t="shared" si="0"/>
        <v>62.92101731529794</v>
      </c>
      <c r="F18" s="20">
        <f>D18-(202.12564+117.93706+2239.71048+4367.66298+4431.94778)+0.001</f>
        <v>6694.017060000002</v>
      </c>
      <c r="G18" s="20">
        <v>6694.017</v>
      </c>
      <c r="H18" s="29" t="s">
        <v>89</v>
      </c>
    </row>
    <row r="19" spans="1:8" ht="57.75" customHeight="1">
      <c r="A19" s="28" t="s">
        <v>87</v>
      </c>
      <c r="B19" s="22" t="s">
        <v>86</v>
      </c>
      <c r="C19" s="22" t="s">
        <v>176</v>
      </c>
      <c r="D19" s="20">
        <v>4860</v>
      </c>
      <c r="E19" s="26">
        <f t="shared" si="0"/>
        <v>3.1767090534979445</v>
      </c>
      <c r="F19" s="20">
        <f>D19-(148.19164+6.19642)</f>
        <v>4705.61194</v>
      </c>
      <c r="G19" s="20">
        <v>200</v>
      </c>
      <c r="H19" s="29" t="s">
        <v>89</v>
      </c>
    </row>
    <row r="20" spans="1:8" ht="57" customHeight="1">
      <c r="A20" s="28" t="s">
        <v>87</v>
      </c>
      <c r="B20" s="22" t="s">
        <v>86</v>
      </c>
      <c r="C20" s="22" t="s">
        <v>91</v>
      </c>
      <c r="D20" s="20">
        <v>7650.634</v>
      </c>
      <c r="E20" s="26">
        <f t="shared" si="0"/>
        <v>28.407241020809522</v>
      </c>
      <c r="F20" s="20">
        <f>SUM(D20-1794.66356-378.67048)</f>
        <v>5477.29996</v>
      </c>
      <c r="G20" s="20">
        <v>5477.3</v>
      </c>
      <c r="H20" s="29" t="s">
        <v>89</v>
      </c>
    </row>
    <row r="21" spans="1:8" ht="42" customHeight="1">
      <c r="A21" s="28" t="s">
        <v>87</v>
      </c>
      <c r="B21" s="22" t="s">
        <v>86</v>
      </c>
      <c r="C21" s="22" t="s">
        <v>182</v>
      </c>
      <c r="D21" s="20">
        <v>99995.818</v>
      </c>
      <c r="E21" s="26">
        <f t="shared" si="0"/>
        <v>21.4663506027822</v>
      </c>
      <c r="F21" s="20">
        <f>SUM(D21-941.16388-1592.174-18932.115)</f>
        <v>78530.36512</v>
      </c>
      <c r="G21" s="20">
        <v>9869.564</v>
      </c>
      <c r="H21" s="29" t="s">
        <v>89</v>
      </c>
    </row>
    <row r="22" spans="1:8" ht="42.75" customHeight="1">
      <c r="A22" s="28" t="s">
        <v>87</v>
      </c>
      <c r="B22" s="22" t="s">
        <v>86</v>
      </c>
      <c r="C22" s="22" t="s">
        <v>133</v>
      </c>
      <c r="D22" s="20">
        <v>14129.905</v>
      </c>
      <c r="E22" s="26">
        <f aca="true" t="shared" si="1" ref="E22:E27">100-(F22/D22)*100</f>
        <v>9.261992915026667</v>
      </c>
      <c r="F22" s="20">
        <f>SUM(D22-299.89-699.9996-308.8212)</f>
        <v>12821.194200000002</v>
      </c>
      <c r="G22" s="20">
        <v>250</v>
      </c>
      <c r="H22" s="29" t="s">
        <v>89</v>
      </c>
    </row>
    <row r="23" spans="1:8" ht="59.25" customHeight="1">
      <c r="A23" s="28" t="s">
        <v>87</v>
      </c>
      <c r="B23" s="22" t="s">
        <v>86</v>
      </c>
      <c r="C23" s="21" t="s">
        <v>209</v>
      </c>
      <c r="D23" s="20">
        <v>13134.537</v>
      </c>
      <c r="E23" s="26">
        <f t="shared" si="1"/>
        <v>8.027365791424558</v>
      </c>
      <c r="F23" s="20">
        <f>SUM(D23-796.858-70-74.6-67.92753-44.9718)</f>
        <v>12080.17967</v>
      </c>
      <c r="G23" s="20">
        <v>12080.18</v>
      </c>
      <c r="H23" s="29" t="s">
        <v>89</v>
      </c>
    </row>
    <row r="24" spans="1:8" ht="78" customHeight="1">
      <c r="A24" s="28" t="s">
        <v>87</v>
      </c>
      <c r="B24" s="22" t="s">
        <v>86</v>
      </c>
      <c r="C24" s="36" t="s">
        <v>210</v>
      </c>
      <c r="D24" s="20">
        <v>500</v>
      </c>
      <c r="E24" s="26">
        <f t="shared" si="1"/>
        <v>0</v>
      </c>
      <c r="F24" s="20">
        <f>SUM(D24)</f>
        <v>500</v>
      </c>
      <c r="G24" s="20">
        <v>500</v>
      </c>
      <c r="H24" s="29" t="s">
        <v>89</v>
      </c>
    </row>
    <row r="25" spans="1:8" ht="58.5" customHeight="1">
      <c r="A25" s="28" t="s">
        <v>87</v>
      </c>
      <c r="B25" s="22" t="s">
        <v>86</v>
      </c>
      <c r="C25" s="75" t="s">
        <v>211</v>
      </c>
      <c r="D25" s="20">
        <v>350</v>
      </c>
      <c r="E25" s="26">
        <f t="shared" si="1"/>
        <v>0</v>
      </c>
      <c r="F25" s="20">
        <f>SUM(D25)</f>
        <v>350</v>
      </c>
      <c r="G25" s="20">
        <v>350</v>
      </c>
      <c r="H25" s="29" t="s">
        <v>89</v>
      </c>
    </row>
    <row r="26" spans="1:8" ht="56.25" customHeight="1">
      <c r="A26" s="28" t="s">
        <v>87</v>
      </c>
      <c r="B26" s="22" t="s">
        <v>86</v>
      </c>
      <c r="C26" s="75" t="s">
        <v>212</v>
      </c>
      <c r="D26" s="20">
        <v>350</v>
      </c>
      <c r="E26" s="26">
        <f t="shared" si="1"/>
        <v>0</v>
      </c>
      <c r="F26" s="20">
        <f>SUM(D26)</f>
        <v>350</v>
      </c>
      <c r="G26" s="20">
        <v>350</v>
      </c>
      <c r="H26" s="29" t="s">
        <v>89</v>
      </c>
    </row>
    <row r="27" spans="1:8" ht="58.5" customHeight="1">
      <c r="A27" s="28" t="s">
        <v>87</v>
      </c>
      <c r="B27" s="22" t="s">
        <v>86</v>
      </c>
      <c r="C27" s="22" t="s">
        <v>213</v>
      </c>
      <c r="D27" s="20">
        <v>1000</v>
      </c>
      <c r="E27" s="26">
        <f t="shared" si="1"/>
        <v>0</v>
      </c>
      <c r="F27" s="20">
        <f>SUM(D27)</f>
        <v>1000</v>
      </c>
      <c r="G27" s="20">
        <v>603.076</v>
      </c>
      <c r="H27" s="29" t="s">
        <v>89</v>
      </c>
    </row>
    <row r="28" spans="1:8" ht="72" customHeight="1">
      <c r="A28" s="41">
        <v>14</v>
      </c>
      <c r="B28" s="22" t="s">
        <v>92</v>
      </c>
      <c r="C28" s="22"/>
      <c r="D28" s="20">
        <f>SUM(D29+D30+D31+D32+D33+D34+D35+D36+D37+D38+D39+D40+D41+D42+D43+D44+D45+D46+D47)</f>
        <v>69290.661</v>
      </c>
      <c r="E28" s="26"/>
      <c r="F28" s="20">
        <f>SUM(F29+F30+F31+F32+F33+F34+F35+F36+F37+F38+F39+F40+F41+F42+F43+F44+F45+F46+F47)</f>
        <v>46653.13277000001</v>
      </c>
      <c r="G28" s="20">
        <f>SUM(G29+G30+G31+G32+G33+G34+G35+G36+G37+G38+G39+G40+G41+G42+G43+G44+G45+G46+G47)</f>
        <v>17993.009</v>
      </c>
      <c r="H28" s="29"/>
    </row>
    <row r="29" spans="1:8" ht="74.25" customHeight="1">
      <c r="A29" s="28" t="s">
        <v>87</v>
      </c>
      <c r="B29" s="22" t="s">
        <v>86</v>
      </c>
      <c r="C29" s="24" t="s">
        <v>215</v>
      </c>
      <c r="D29" s="20">
        <v>8930.226</v>
      </c>
      <c r="E29" s="26">
        <f aca="true" t="shared" si="2" ref="E29:E47">100-(F29/D29)*100</f>
        <v>44.50180297788656</v>
      </c>
      <c r="F29" s="20">
        <f>D29-(1.65492+3.86148+683.13948+758.24118+1668.69212+858.5234)+0.001</f>
        <v>4956.114420000001</v>
      </c>
      <c r="G29" s="20">
        <v>4956.114</v>
      </c>
      <c r="H29" s="29" t="s">
        <v>89</v>
      </c>
    </row>
    <row r="30" spans="1:8" ht="57.75" customHeight="1">
      <c r="A30" s="28" t="s">
        <v>87</v>
      </c>
      <c r="B30" s="22" t="s">
        <v>86</v>
      </c>
      <c r="C30" s="24" t="s">
        <v>216</v>
      </c>
      <c r="D30" s="20">
        <v>5540.75</v>
      </c>
      <c r="E30" s="26">
        <f t="shared" si="2"/>
        <v>89.1946868203763</v>
      </c>
      <c r="F30" s="20">
        <f>SUM(D30-3400.219-1162.82481-379.0118)+0.001</f>
        <v>598.6953899999999</v>
      </c>
      <c r="G30" s="20">
        <v>598.695</v>
      </c>
      <c r="H30" s="29" t="s">
        <v>89</v>
      </c>
    </row>
    <row r="31" spans="1:8" ht="75.75" customHeight="1">
      <c r="A31" s="28" t="s">
        <v>87</v>
      </c>
      <c r="B31" s="22" t="s">
        <v>86</v>
      </c>
      <c r="C31" s="25" t="s">
        <v>97</v>
      </c>
      <c r="D31" s="20">
        <v>8142.051</v>
      </c>
      <c r="E31" s="26">
        <f t="shared" si="2"/>
        <v>92.79237172550258</v>
      </c>
      <c r="F31" s="20">
        <f>D31-(1388.68+1250+594.39965+183.85879+1020+1166.7+415.61717+592.54223+943.40439)</f>
        <v>586.8487700000005</v>
      </c>
      <c r="G31" s="20">
        <v>586.849</v>
      </c>
      <c r="H31" s="29" t="s">
        <v>89</v>
      </c>
    </row>
    <row r="32" spans="1:8" ht="92.25" customHeight="1">
      <c r="A32" s="28" t="s">
        <v>87</v>
      </c>
      <c r="B32" s="22" t="s">
        <v>86</v>
      </c>
      <c r="C32" s="25" t="s">
        <v>160</v>
      </c>
      <c r="D32" s="20">
        <v>27395.31</v>
      </c>
      <c r="E32" s="26">
        <f t="shared" si="2"/>
        <v>3.6595323068072503</v>
      </c>
      <c r="F32" s="20">
        <f>SUM(D32-767.38333-34.52556-200.63133)</f>
        <v>26392.769780000002</v>
      </c>
      <c r="G32" s="20">
        <v>2000</v>
      </c>
      <c r="H32" s="29" t="s">
        <v>89</v>
      </c>
    </row>
    <row r="33" spans="1:8" ht="77.25" customHeight="1">
      <c r="A33" s="28" t="s">
        <v>87</v>
      </c>
      <c r="B33" s="22" t="s">
        <v>86</v>
      </c>
      <c r="C33" s="25" t="s">
        <v>93</v>
      </c>
      <c r="D33" s="20">
        <v>3575.299</v>
      </c>
      <c r="E33" s="26">
        <f t="shared" si="2"/>
        <v>43.04060052040403</v>
      </c>
      <c r="F33" s="20">
        <f>D33-(30.1488+136.05183+2.41403+1098.10391+272.11159)</f>
        <v>2036.46884</v>
      </c>
      <c r="G33" s="20">
        <v>1558.862</v>
      </c>
      <c r="H33" s="29" t="s">
        <v>89</v>
      </c>
    </row>
    <row r="34" spans="1:8" ht="58.5" customHeight="1">
      <c r="A34" s="28" t="s">
        <v>87</v>
      </c>
      <c r="B34" s="22" t="s">
        <v>86</v>
      </c>
      <c r="C34" s="22" t="s">
        <v>94</v>
      </c>
      <c r="D34" s="20">
        <v>2581.403</v>
      </c>
      <c r="E34" s="26">
        <f t="shared" si="2"/>
        <v>8.202309751712534</v>
      </c>
      <c r="F34" s="20">
        <f>SUM(D34-141.81762-58.18238-11.73467)</f>
        <v>2369.66833</v>
      </c>
      <c r="G34" s="20">
        <v>20.907</v>
      </c>
      <c r="H34" s="29" t="s">
        <v>89</v>
      </c>
    </row>
    <row r="35" spans="1:8" ht="79.5" customHeight="1">
      <c r="A35" s="28" t="s">
        <v>87</v>
      </c>
      <c r="B35" s="22" t="s">
        <v>86</v>
      </c>
      <c r="C35" s="22" t="s">
        <v>95</v>
      </c>
      <c r="D35" s="20">
        <v>1801.032</v>
      </c>
      <c r="E35" s="26">
        <f t="shared" si="2"/>
        <v>8.126401973979355</v>
      </c>
      <c r="F35" s="20">
        <f>SUM(D35-100.44048-45.91862)</f>
        <v>1654.6729</v>
      </c>
      <c r="G35" s="20">
        <v>1654.673</v>
      </c>
      <c r="H35" s="29" t="s">
        <v>89</v>
      </c>
    </row>
    <row r="36" spans="1:8" ht="60" customHeight="1">
      <c r="A36" s="28" t="s">
        <v>87</v>
      </c>
      <c r="B36" s="22" t="s">
        <v>86</v>
      </c>
      <c r="C36" s="25" t="s">
        <v>96</v>
      </c>
      <c r="D36" s="20">
        <f>300+20.647</f>
        <v>320.647</v>
      </c>
      <c r="E36" s="26">
        <f t="shared" si="2"/>
        <v>77.82022909928989</v>
      </c>
      <c r="F36" s="20">
        <f>SUM(D36-30.81-101.86493-116.8533)</f>
        <v>71.11876999999997</v>
      </c>
      <c r="G36" s="20">
        <v>11.91</v>
      </c>
      <c r="H36" s="29" t="s">
        <v>89</v>
      </c>
    </row>
    <row r="37" spans="1:8" ht="73.5" customHeight="1">
      <c r="A37" s="41">
        <v>150101</v>
      </c>
      <c r="B37" s="22" t="s">
        <v>86</v>
      </c>
      <c r="C37" s="22" t="s">
        <v>164</v>
      </c>
      <c r="D37" s="20">
        <v>157.51</v>
      </c>
      <c r="E37" s="26">
        <f t="shared" si="2"/>
        <v>94.84214335597741</v>
      </c>
      <c r="F37" s="20">
        <f>SUM(D37-149.38686)+0.001</f>
        <v>8.124139999999977</v>
      </c>
      <c r="G37" s="20">
        <v>8.124</v>
      </c>
      <c r="H37" s="29" t="s">
        <v>89</v>
      </c>
    </row>
    <row r="38" spans="1:8" s="31" customFormat="1" ht="60.75" customHeight="1">
      <c r="A38" s="28" t="s">
        <v>87</v>
      </c>
      <c r="B38" s="22" t="s">
        <v>86</v>
      </c>
      <c r="C38" s="22" t="s">
        <v>237</v>
      </c>
      <c r="D38" s="20">
        <v>1517.885</v>
      </c>
      <c r="E38" s="26">
        <f t="shared" si="2"/>
        <v>11.062589063071314</v>
      </c>
      <c r="F38" s="20">
        <f>SUM(D38-120.9915-46.92588)</f>
        <v>1349.96762</v>
      </c>
      <c r="G38" s="20">
        <v>1349.968</v>
      </c>
      <c r="H38" s="29" t="s">
        <v>89</v>
      </c>
    </row>
    <row r="39" spans="1:8" s="31" customFormat="1" ht="76.5" customHeight="1">
      <c r="A39" s="28" t="s">
        <v>87</v>
      </c>
      <c r="B39" s="22" t="s">
        <v>86</v>
      </c>
      <c r="C39" s="22" t="s">
        <v>99</v>
      </c>
      <c r="D39" s="20">
        <v>415.206</v>
      </c>
      <c r="E39" s="26">
        <f t="shared" si="2"/>
        <v>85.10859669657953</v>
      </c>
      <c r="F39" s="20">
        <f>SUM(D39-353.376)</f>
        <v>61.83000000000004</v>
      </c>
      <c r="G39" s="20">
        <v>61.83</v>
      </c>
      <c r="H39" s="29" t="s">
        <v>89</v>
      </c>
    </row>
    <row r="40" spans="1:8" s="31" customFormat="1" ht="57" customHeight="1">
      <c r="A40" s="28" t="s">
        <v>87</v>
      </c>
      <c r="B40" s="22" t="s">
        <v>86</v>
      </c>
      <c r="C40" s="22" t="s">
        <v>98</v>
      </c>
      <c r="D40" s="20">
        <v>2647.748</v>
      </c>
      <c r="E40" s="26">
        <f t="shared" si="2"/>
        <v>59.0794920815727</v>
      </c>
      <c r="F40" s="20">
        <f>D40-397.07106-1167.20501</f>
        <v>1083.4719300000004</v>
      </c>
      <c r="G40" s="20">
        <v>1083.472</v>
      </c>
      <c r="H40" s="29" t="s">
        <v>89</v>
      </c>
    </row>
    <row r="41" spans="1:8" s="31" customFormat="1" ht="76.5" customHeight="1">
      <c r="A41" s="28" t="s">
        <v>154</v>
      </c>
      <c r="B41" s="45" t="s">
        <v>86</v>
      </c>
      <c r="C41" s="22" t="s">
        <v>188</v>
      </c>
      <c r="D41" s="20">
        <v>950</v>
      </c>
      <c r="E41" s="26">
        <f t="shared" si="2"/>
        <v>0</v>
      </c>
      <c r="F41" s="20">
        <f>SUM(D41)</f>
        <v>950</v>
      </c>
      <c r="G41" s="20">
        <v>950</v>
      </c>
      <c r="H41" s="29" t="s">
        <v>89</v>
      </c>
    </row>
    <row r="42" spans="1:8" s="31" customFormat="1" ht="58.5" customHeight="1">
      <c r="A42" s="28" t="s">
        <v>154</v>
      </c>
      <c r="B42" s="45" t="s">
        <v>86</v>
      </c>
      <c r="C42" s="22" t="s">
        <v>193</v>
      </c>
      <c r="D42" s="20">
        <v>563.594</v>
      </c>
      <c r="E42" s="26">
        <f t="shared" si="2"/>
        <v>81.08471346394744</v>
      </c>
      <c r="F42" s="20">
        <f>SUM(D42-456.98958)+0.001</f>
        <v>106.60542000000007</v>
      </c>
      <c r="G42" s="20">
        <v>106.605</v>
      </c>
      <c r="H42" s="29" t="s">
        <v>89</v>
      </c>
    </row>
    <row r="43" spans="1:8" s="31" customFormat="1" ht="73.5" customHeight="1">
      <c r="A43" s="28" t="s">
        <v>154</v>
      </c>
      <c r="B43" s="45" t="s">
        <v>86</v>
      </c>
      <c r="C43" s="22" t="s">
        <v>162</v>
      </c>
      <c r="D43" s="20">
        <v>400</v>
      </c>
      <c r="E43" s="26">
        <f t="shared" si="2"/>
        <v>37.0605</v>
      </c>
      <c r="F43" s="20">
        <f>SUM(D43-148.242)</f>
        <v>251.758</v>
      </c>
      <c r="G43" s="20">
        <v>10</v>
      </c>
      <c r="H43" s="29" t="s">
        <v>89</v>
      </c>
    </row>
    <row r="44" spans="1:8" s="31" customFormat="1" ht="95.25" customHeight="1">
      <c r="A44" s="28" t="s">
        <v>154</v>
      </c>
      <c r="B44" s="45" t="s">
        <v>86</v>
      </c>
      <c r="C44" s="23" t="s">
        <v>217</v>
      </c>
      <c r="D44" s="20">
        <v>235</v>
      </c>
      <c r="E44" s="26">
        <f t="shared" si="2"/>
        <v>0</v>
      </c>
      <c r="F44" s="20">
        <f>SUM(D44)</f>
        <v>235</v>
      </c>
      <c r="G44" s="20">
        <v>235</v>
      </c>
      <c r="H44" s="29" t="s">
        <v>89</v>
      </c>
    </row>
    <row r="45" spans="1:8" s="31" customFormat="1" ht="55.5" customHeight="1">
      <c r="A45" s="28" t="s">
        <v>154</v>
      </c>
      <c r="B45" s="45" t="s">
        <v>86</v>
      </c>
      <c r="C45" s="22" t="s">
        <v>218</v>
      </c>
      <c r="D45" s="20">
        <v>3417</v>
      </c>
      <c r="E45" s="26">
        <f t="shared" si="2"/>
        <v>5.179442200760903</v>
      </c>
      <c r="F45" s="20">
        <f>SUM(D45-0.85027-176.13127)</f>
        <v>3240.0184600000002</v>
      </c>
      <c r="G45" s="20">
        <v>2100</v>
      </c>
      <c r="H45" s="29" t="s">
        <v>89</v>
      </c>
    </row>
    <row r="46" spans="1:8" s="31" customFormat="1" ht="76.5" customHeight="1">
      <c r="A46" s="28" t="s">
        <v>154</v>
      </c>
      <c r="B46" s="45" t="s">
        <v>86</v>
      </c>
      <c r="C46" s="24" t="s">
        <v>219</v>
      </c>
      <c r="D46" s="20">
        <v>350</v>
      </c>
      <c r="E46" s="26">
        <f t="shared" si="2"/>
        <v>0</v>
      </c>
      <c r="F46" s="20">
        <f>SUM(D46)</f>
        <v>350</v>
      </c>
      <c r="G46" s="20">
        <v>350</v>
      </c>
      <c r="H46" s="29" t="s">
        <v>89</v>
      </c>
    </row>
    <row r="47" spans="1:8" s="31" customFormat="1" ht="93.75" customHeight="1">
      <c r="A47" s="28" t="s">
        <v>154</v>
      </c>
      <c r="B47" s="45" t="s">
        <v>86</v>
      </c>
      <c r="C47" s="25" t="s">
        <v>220</v>
      </c>
      <c r="D47" s="20">
        <v>350</v>
      </c>
      <c r="E47" s="26">
        <f t="shared" si="2"/>
        <v>0</v>
      </c>
      <c r="F47" s="20">
        <f>SUM(D47)</f>
        <v>350</v>
      </c>
      <c r="G47" s="20">
        <v>350</v>
      </c>
      <c r="H47" s="29" t="s">
        <v>89</v>
      </c>
    </row>
    <row r="48" spans="1:8" ht="72.75" customHeight="1">
      <c r="A48" s="41">
        <v>15</v>
      </c>
      <c r="B48" s="22" t="s">
        <v>5</v>
      </c>
      <c r="C48" s="22"/>
      <c r="D48" s="20">
        <f>SUM(D49+D50)</f>
        <v>6274.216</v>
      </c>
      <c r="E48" s="26"/>
      <c r="F48" s="20">
        <f>SUM(F49+F50)</f>
        <v>4240.052450000001</v>
      </c>
      <c r="G48" s="20">
        <f>SUM(G49+G50)</f>
        <v>4240.052</v>
      </c>
      <c r="H48" s="29"/>
    </row>
    <row r="49" spans="1:8" ht="36" customHeight="1">
      <c r="A49" s="28" t="s">
        <v>87</v>
      </c>
      <c r="B49" s="22" t="s">
        <v>86</v>
      </c>
      <c r="C49" s="36" t="s">
        <v>100</v>
      </c>
      <c r="D49" s="20">
        <v>5974.216</v>
      </c>
      <c r="E49" s="26">
        <f>100-(F49/D49)*100</f>
        <v>34.049045933391085</v>
      </c>
      <c r="F49" s="20">
        <f>D49-141.38581-1614.5504-278.22834+0.001</f>
        <v>3940.0524500000006</v>
      </c>
      <c r="G49" s="20">
        <v>3940.052</v>
      </c>
      <c r="H49" s="29" t="s">
        <v>89</v>
      </c>
    </row>
    <row r="50" spans="1:8" ht="55.5" customHeight="1">
      <c r="A50" s="28" t="s">
        <v>87</v>
      </c>
      <c r="B50" s="45" t="s">
        <v>86</v>
      </c>
      <c r="C50" s="22" t="s">
        <v>163</v>
      </c>
      <c r="D50" s="20">
        <v>300</v>
      </c>
      <c r="E50" s="26">
        <f>100-(F50/D50)*100</f>
        <v>0</v>
      </c>
      <c r="F50" s="20">
        <f>SUM(D50)</f>
        <v>300</v>
      </c>
      <c r="G50" s="20">
        <v>300</v>
      </c>
      <c r="H50" s="29" t="s">
        <v>89</v>
      </c>
    </row>
    <row r="51" spans="1:8" ht="57.75" customHeight="1">
      <c r="A51" s="41">
        <v>24</v>
      </c>
      <c r="B51" s="22" t="s">
        <v>34</v>
      </c>
      <c r="C51" s="22"/>
      <c r="D51" s="20">
        <f>SUM(D52)</f>
        <v>157.847</v>
      </c>
      <c r="E51" s="26"/>
      <c r="F51" s="20">
        <f>SUM(F52)</f>
        <v>157.847</v>
      </c>
      <c r="G51" s="20">
        <f>SUM(G52)</f>
        <v>157.847</v>
      </c>
      <c r="H51" s="29"/>
    </row>
    <row r="52" spans="1:8" ht="77.25" customHeight="1">
      <c r="A52" s="28" t="s">
        <v>87</v>
      </c>
      <c r="B52" s="22" t="s">
        <v>86</v>
      </c>
      <c r="C52" s="22" t="s">
        <v>319</v>
      </c>
      <c r="D52" s="20">
        <v>157.847</v>
      </c>
      <c r="E52" s="26">
        <f>100-(F52/D52)*100</f>
        <v>0</v>
      </c>
      <c r="F52" s="20">
        <f>SUM(D52)</f>
        <v>157.847</v>
      </c>
      <c r="G52" s="20">
        <v>157.847</v>
      </c>
      <c r="H52" s="29" t="s">
        <v>89</v>
      </c>
    </row>
    <row r="53" spans="1:8" ht="96" customHeight="1">
      <c r="A53" s="41">
        <v>32</v>
      </c>
      <c r="B53" s="22" t="s">
        <v>101</v>
      </c>
      <c r="C53" s="22"/>
      <c r="D53" s="20">
        <f>SUM(D54)</f>
        <v>1071.2</v>
      </c>
      <c r="E53" s="26"/>
      <c r="F53" s="20">
        <f>SUM(F54)</f>
        <v>666.1095700000001</v>
      </c>
      <c r="G53" s="20">
        <f>SUM(G54)</f>
        <v>305.245</v>
      </c>
      <c r="H53" s="29"/>
    </row>
    <row r="54" spans="1:8" ht="58.5" customHeight="1">
      <c r="A54" s="28" t="s">
        <v>87</v>
      </c>
      <c r="B54" s="22" t="s">
        <v>86</v>
      </c>
      <c r="C54" s="22" t="s">
        <v>102</v>
      </c>
      <c r="D54" s="20">
        <v>1071.2</v>
      </c>
      <c r="E54" s="26">
        <f>100-(F54/D54)*100</f>
        <v>37.816507654966394</v>
      </c>
      <c r="F54" s="20">
        <f>SUM(D54-85-320.09043)</f>
        <v>666.1095700000001</v>
      </c>
      <c r="G54" s="20">
        <v>305.245</v>
      </c>
      <c r="H54" s="29" t="s">
        <v>89</v>
      </c>
    </row>
    <row r="55" spans="1:8" ht="104.25" customHeight="1">
      <c r="A55" s="41">
        <v>40</v>
      </c>
      <c r="B55" s="22" t="s">
        <v>103</v>
      </c>
      <c r="C55" s="22"/>
      <c r="D55" s="20">
        <f>SUM(D56+D57+D58+D59+D60+D61+D62+D63+D64+D65+D66+D67+D68+D69+D70+D71+D72+D73+D74+D75+D76+D77+D78+D79+D80+D81+D82+D83+D84+D85+D86+D87+D88+D89+D90+D91+D92+D93+D94+D95+D96+D97+D98+D99+D100+D101+D102+D103+D104+D105+D106+D107+D108+D109+D110+D111+D112+D113+D114+D115+D116+D117+D118+D119+D120+D121+D122+D123+D124+D137+D152+D180+D189)</f>
        <v>178337.2244</v>
      </c>
      <c r="E55" s="26"/>
      <c r="F55" s="20">
        <f>SUM(F56+F57+F58+F59+F60+F61+F62+F63+F64+F65+F66+F67+F68+F69+F70+F71+F72+F73+F74+F75+F76+F77+F78+F79+F80+F81+F82+F83+F84+F85+F86+F87+F88+F89+F90+F91+F92+F93+F94+F95+F96+F97+F98+F99+F100+F101+F102+F103+F104+F105+F106+F107+F108+F109+F110+F111+F112+F113+F114+F115+F116+F117+F118+F119+F120+F121+F122+F123+F124+F137+F152+F180+F189)</f>
        <v>141104.78332999998</v>
      </c>
      <c r="G55" s="20">
        <f>SUM(G56+G57+G58+G59+G60+G61+G62+G63+G64+G65+G66+G67+G68+G69+G70+G71+G72+G73+G74+G75+G76+G77+G78+G79+G80+G81+G82+G83+G84+G85+G86+G87+G88+G89+G90+G91+G92+G93+G94+G95+G96+G97+G98+G99+G100+G101+G102+G103+G104+G105+G106+G107+G108+G109+G110+G111+G112+G113+G114+G115+G116+G117+G118+G119+G120+G121+G122+G123+G124+G137+G152+G180+G189)</f>
        <v>119380.22119999997</v>
      </c>
      <c r="H55" s="29"/>
    </row>
    <row r="56" spans="1:8" ht="44.25" customHeight="1">
      <c r="A56" s="28" t="s">
        <v>87</v>
      </c>
      <c r="B56" s="22" t="s">
        <v>86</v>
      </c>
      <c r="C56" s="22" t="s">
        <v>180</v>
      </c>
      <c r="D56" s="20">
        <v>1471.483</v>
      </c>
      <c r="E56" s="26">
        <f aca="true" t="shared" si="3" ref="E56:E65">100-(F56/D56)*100</f>
        <v>5.762368304628723</v>
      </c>
      <c r="F56" s="20">
        <f>D56-2.16203-79.4784-3.15184</f>
        <v>1386.69073</v>
      </c>
      <c r="G56" s="20">
        <v>1386.691</v>
      </c>
      <c r="H56" s="29" t="s">
        <v>89</v>
      </c>
    </row>
    <row r="57" spans="1:8" ht="38.25" customHeight="1">
      <c r="A57" s="41" t="s">
        <v>87</v>
      </c>
      <c r="B57" s="22" t="s">
        <v>86</v>
      </c>
      <c r="C57" s="22" t="s">
        <v>107</v>
      </c>
      <c r="D57" s="20">
        <v>2321.421</v>
      </c>
      <c r="E57" s="26">
        <f t="shared" si="3"/>
        <v>65.16968529189664</v>
      </c>
      <c r="F57" s="20">
        <f>D57-6.59545-1084.41086-421.85645</f>
        <v>808.5582400000001</v>
      </c>
      <c r="G57" s="20">
        <v>315.609</v>
      </c>
      <c r="H57" s="29" t="s">
        <v>89</v>
      </c>
    </row>
    <row r="58" spans="1:8" s="31" customFormat="1" ht="43.5" customHeight="1">
      <c r="A58" s="28" t="s">
        <v>87</v>
      </c>
      <c r="B58" s="22" t="s">
        <v>86</v>
      </c>
      <c r="C58" s="22" t="s">
        <v>165</v>
      </c>
      <c r="D58" s="20">
        <v>2703.502</v>
      </c>
      <c r="E58" s="26">
        <f t="shared" si="3"/>
        <v>3.6288687783474813</v>
      </c>
      <c r="F58" s="20">
        <f>SUM(D58-98.10754)+0.001</f>
        <v>2605.39546</v>
      </c>
      <c r="G58" s="20">
        <v>2605.395</v>
      </c>
      <c r="H58" s="29" t="s">
        <v>89</v>
      </c>
    </row>
    <row r="59" spans="1:8" s="31" customFormat="1" ht="43.5" customHeight="1">
      <c r="A59" s="28" t="s">
        <v>87</v>
      </c>
      <c r="B59" s="45" t="s">
        <v>86</v>
      </c>
      <c r="C59" s="22" t="s">
        <v>166</v>
      </c>
      <c r="D59" s="20">
        <v>1700</v>
      </c>
      <c r="E59" s="26">
        <f t="shared" si="3"/>
        <v>1.6929476470588156</v>
      </c>
      <c r="F59" s="20">
        <f>SUM(D59-28.78011)</f>
        <v>1671.21989</v>
      </c>
      <c r="G59" s="20">
        <v>1000</v>
      </c>
      <c r="H59" s="29" t="s">
        <v>89</v>
      </c>
    </row>
    <row r="60" spans="1:8" s="31" customFormat="1" ht="43.5" customHeight="1">
      <c r="A60" s="28" t="s">
        <v>87</v>
      </c>
      <c r="B60" s="45" t="s">
        <v>86</v>
      </c>
      <c r="C60" s="22" t="s">
        <v>167</v>
      </c>
      <c r="D60" s="20">
        <v>969.985</v>
      </c>
      <c r="E60" s="26">
        <f t="shared" si="3"/>
        <v>7.363184997706156</v>
      </c>
      <c r="F60" s="20">
        <f>SUM(D60-71.42279)+0.001</f>
        <v>898.56321</v>
      </c>
      <c r="G60" s="20">
        <v>898.563</v>
      </c>
      <c r="H60" s="29" t="s">
        <v>89</v>
      </c>
    </row>
    <row r="61" spans="1:8" ht="41.25" customHeight="1">
      <c r="A61" s="28" t="s">
        <v>87</v>
      </c>
      <c r="B61" s="22" t="s">
        <v>86</v>
      </c>
      <c r="C61" s="36" t="s">
        <v>181</v>
      </c>
      <c r="D61" s="20">
        <v>822.602</v>
      </c>
      <c r="E61" s="26">
        <f t="shared" si="3"/>
        <v>58.78815028409851</v>
      </c>
      <c r="F61" s="20">
        <f>SUM(D61-463.8061-18.7964-0.99)</f>
        <v>339.00949999999995</v>
      </c>
      <c r="G61" s="20">
        <v>339.01</v>
      </c>
      <c r="H61" s="29" t="s">
        <v>89</v>
      </c>
    </row>
    <row r="62" spans="1:8" ht="37.5" customHeight="1">
      <c r="A62" s="28" t="s">
        <v>87</v>
      </c>
      <c r="B62" s="45" t="s">
        <v>86</v>
      </c>
      <c r="C62" s="36" t="s">
        <v>105</v>
      </c>
      <c r="D62" s="20">
        <v>1210.001</v>
      </c>
      <c r="E62" s="26">
        <f t="shared" si="3"/>
        <v>26.650817643952365</v>
      </c>
      <c r="F62" s="20">
        <f>SUM(D62-142.95243-178.12755-1.39518)</f>
        <v>887.5258399999999</v>
      </c>
      <c r="G62" s="20">
        <v>562.624</v>
      </c>
      <c r="H62" s="29" t="s">
        <v>200</v>
      </c>
    </row>
    <row r="63" spans="1:8" ht="37.5" customHeight="1">
      <c r="A63" s="28" t="s">
        <v>87</v>
      </c>
      <c r="B63" s="22" t="s">
        <v>86</v>
      </c>
      <c r="C63" s="36" t="s">
        <v>190</v>
      </c>
      <c r="D63" s="46">
        <v>10600</v>
      </c>
      <c r="E63" s="26">
        <f t="shared" si="3"/>
        <v>2.8018867924528337</v>
      </c>
      <c r="F63" s="34">
        <f>SUM(D63-297)</f>
        <v>10303</v>
      </c>
      <c r="G63" s="20">
        <v>150</v>
      </c>
      <c r="H63" s="29" t="s">
        <v>89</v>
      </c>
    </row>
    <row r="64" spans="1:8" ht="37.5">
      <c r="A64" s="28" t="s">
        <v>87</v>
      </c>
      <c r="B64" s="45" t="s">
        <v>86</v>
      </c>
      <c r="C64" s="30" t="s">
        <v>169</v>
      </c>
      <c r="D64" s="20">
        <v>1989</v>
      </c>
      <c r="E64" s="26">
        <f t="shared" si="3"/>
        <v>0.7541478129713397</v>
      </c>
      <c r="F64" s="34">
        <f>SUM(D64-15)</f>
        <v>1974</v>
      </c>
      <c r="G64" s="34">
        <v>1974</v>
      </c>
      <c r="H64" s="29" t="s">
        <v>89</v>
      </c>
    </row>
    <row r="65" spans="1:8" ht="78" customHeight="1">
      <c r="A65" s="28" t="s">
        <v>87</v>
      </c>
      <c r="B65" s="22" t="s">
        <v>86</v>
      </c>
      <c r="C65" s="22" t="s">
        <v>104</v>
      </c>
      <c r="D65" s="20">
        <v>1512</v>
      </c>
      <c r="E65" s="26">
        <f t="shared" si="3"/>
        <v>49.731709656084654</v>
      </c>
      <c r="F65" s="20">
        <f>D65-509.5064-84.38064-99.94899-58.10742</f>
        <v>760.05655</v>
      </c>
      <c r="G65" s="20">
        <v>760.057</v>
      </c>
      <c r="H65" s="29" t="s">
        <v>89</v>
      </c>
    </row>
    <row r="66" spans="1:8" s="31" customFormat="1" ht="42.75" customHeight="1">
      <c r="A66" s="28" t="s">
        <v>87</v>
      </c>
      <c r="B66" s="22" t="s">
        <v>86</v>
      </c>
      <c r="C66" s="22" t="s">
        <v>199</v>
      </c>
      <c r="D66" s="20">
        <v>742.773</v>
      </c>
      <c r="E66" s="26">
        <f aca="true" t="shared" si="4" ref="E66:E78">100-(F66/D66)*100</f>
        <v>11.360484293317072</v>
      </c>
      <c r="F66" s="20">
        <f>701.5507-43.16131+0.001</f>
        <v>658.39039</v>
      </c>
      <c r="G66" s="20">
        <v>247.171</v>
      </c>
      <c r="H66" s="29" t="s">
        <v>89</v>
      </c>
    </row>
    <row r="67" spans="1:8" s="31" customFormat="1" ht="60" customHeight="1">
      <c r="A67" s="28" t="s">
        <v>87</v>
      </c>
      <c r="B67" s="22" t="s">
        <v>86</v>
      </c>
      <c r="C67" s="54" t="s">
        <v>231</v>
      </c>
      <c r="D67" s="20">
        <v>1500</v>
      </c>
      <c r="E67" s="26">
        <f t="shared" si="4"/>
        <v>0</v>
      </c>
      <c r="F67" s="20">
        <f>SUM(D67)</f>
        <v>1500</v>
      </c>
      <c r="G67" s="20">
        <v>1500</v>
      </c>
      <c r="H67" s="29" t="s">
        <v>89</v>
      </c>
    </row>
    <row r="68" spans="1:8" s="31" customFormat="1" ht="42.75" customHeight="1">
      <c r="A68" s="28" t="s">
        <v>87</v>
      </c>
      <c r="B68" s="22" t="s">
        <v>86</v>
      </c>
      <c r="C68" s="54" t="s">
        <v>232</v>
      </c>
      <c r="D68" s="20">
        <v>406</v>
      </c>
      <c r="E68" s="26">
        <f t="shared" si="4"/>
        <v>0</v>
      </c>
      <c r="F68" s="20">
        <f>SUM(D68)</f>
        <v>406</v>
      </c>
      <c r="G68" s="20">
        <v>179</v>
      </c>
      <c r="H68" s="29" t="s">
        <v>89</v>
      </c>
    </row>
    <row r="69" spans="1:8" s="31" customFormat="1" ht="56.25" customHeight="1">
      <c r="A69" s="28" t="s">
        <v>87</v>
      </c>
      <c r="B69" s="22" t="s">
        <v>86</v>
      </c>
      <c r="C69" s="22" t="s">
        <v>265</v>
      </c>
      <c r="D69" s="20">
        <v>8</v>
      </c>
      <c r="E69" s="26">
        <f t="shared" si="4"/>
        <v>0</v>
      </c>
      <c r="F69" s="20">
        <f>SUM(D69)</f>
        <v>8</v>
      </c>
      <c r="G69" s="20">
        <v>8</v>
      </c>
      <c r="H69" s="29" t="s">
        <v>89</v>
      </c>
    </row>
    <row r="70" spans="1:9" s="31" customFormat="1" ht="39.75" customHeight="1">
      <c r="A70" s="28" t="s">
        <v>87</v>
      </c>
      <c r="B70" s="22" t="s">
        <v>86</v>
      </c>
      <c r="C70" s="47" t="s">
        <v>327</v>
      </c>
      <c r="D70" s="20">
        <v>1338.449</v>
      </c>
      <c r="E70" s="26">
        <f aca="true" t="shared" si="5" ref="E70:E75">100-(F70/D70)*100</f>
        <v>0</v>
      </c>
      <c r="F70" s="20">
        <f aca="true" t="shared" si="6" ref="F70:F75">SUM(D70)</f>
        <v>1338.449</v>
      </c>
      <c r="G70" s="20">
        <v>1338.449</v>
      </c>
      <c r="H70" s="29" t="s">
        <v>89</v>
      </c>
      <c r="I70" s="96"/>
    </row>
    <row r="71" spans="1:8" s="31" customFormat="1" ht="39.75" customHeight="1">
      <c r="A71" s="28" t="s">
        <v>87</v>
      </c>
      <c r="B71" s="22" t="s">
        <v>86</v>
      </c>
      <c r="C71" s="47" t="s">
        <v>328</v>
      </c>
      <c r="D71" s="20">
        <v>1996.795</v>
      </c>
      <c r="E71" s="26">
        <f t="shared" si="5"/>
        <v>0</v>
      </c>
      <c r="F71" s="20">
        <f t="shared" si="6"/>
        <v>1996.795</v>
      </c>
      <c r="G71" s="20">
        <v>1996.795</v>
      </c>
      <c r="H71" s="29" t="s">
        <v>89</v>
      </c>
    </row>
    <row r="72" spans="1:8" s="31" customFormat="1" ht="39.75" customHeight="1">
      <c r="A72" s="28" t="s">
        <v>87</v>
      </c>
      <c r="B72" s="22" t="s">
        <v>86</v>
      </c>
      <c r="C72" s="47" t="s">
        <v>329</v>
      </c>
      <c r="D72" s="20">
        <v>391.778</v>
      </c>
      <c r="E72" s="26">
        <f t="shared" si="5"/>
        <v>0</v>
      </c>
      <c r="F72" s="20">
        <f t="shared" si="6"/>
        <v>391.778</v>
      </c>
      <c r="G72" s="20">
        <v>391.778</v>
      </c>
      <c r="H72" s="29" t="s">
        <v>89</v>
      </c>
    </row>
    <row r="73" spans="1:8" s="31" customFormat="1" ht="39.75" customHeight="1">
      <c r="A73" s="28" t="s">
        <v>87</v>
      </c>
      <c r="B73" s="22" t="s">
        <v>86</v>
      </c>
      <c r="C73" s="47" t="s">
        <v>330</v>
      </c>
      <c r="D73" s="20">
        <v>732.964</v>
      </c>
      <c r="E73" s="26">
        <f t="shared" si="5"/>
        <v>0</v>
      </c>
      <c r="F73" s="20">
        <f t="shared" si="6"/>
        <v>732.964</v>
      </c>
      <c r="G73" s="20">
        <v>732.964</v>
      </c>
      <c r="H73" s="29" t="s">
        <v>89</v>
      </c>
    </row>
    <row r="74" spans="1:8" s="31" customFormat="1" ht="39.75" customHeight="1">
      <c r="A74" s="28" t="s">
        <v>87</v>
      </c>
      <c r="B74" s="22" t="s">
        <v>86</v>
      </c>
      <c r="C74" s="47" t="s">
        <v>331</v>
      </c>
      <c r="D74" s="20">
        <v>581.107</v>
      </c>
      <c r="E74" s="26">
        <f t="shared" si="5"/>
        <v>0</v>
      </c>
      <c r="F74" s="20">
        <f t="shared" si="6"/>
        <v>581.107</v>
      </c>
      <c r="G74" s="20">
        <v>581.107</v>
      </c>
      <c r="H74" s="29" t="s">
        <v>89</v>
      </c>
    </row>
    <row r="75" spans="1:8" s="31" customFormat="1" ht="39.75" customHeight="1">
      <c r="A75" s="28" t="s">
        <v>87</v>
      </c>
      <c r="B75" s="22" t="s">
        <v>86</v>
      </c>
      <c r="C75" s="47" t="s">
        <v>332</v>
      </c>
      <c r="D75" s="20">
        <v>2811.902</v>
      </c>
      <c r="E75" s="26">
        <f t="shared" si="5"/>
        <v>0</v>
      </c>
      <c r="F75" s="20">
        <f t="shared" si="6"/>
        <v>2811.902</v>
      </c>
      <c r="G75" s="20">
        <v>2811.902</v>
      </c>
      <c r="H75" s="29" t="s">
        <v>89</v>
      </c>
    </row>
    <row r="76" spans="1:8" ht="41.25" customHeight="1">
      <c r="A76" s="28" t="s">
        <v>87</v>
      </c>
      <c r="B76" s="22" t="s">
        <v>86</v>
      </c>
      <c r="C76" s="36" t="s">
        <v>106</v>
      </c>
      <c r="D76" s="20">
        <v>4604.675</v>
      </c>
      <c r="E76" s="26">
        <f t="shared" si="4"/>
        <v>87.49967891327834</v>
      </c>
      <c r="F76" s="20">
        <f>SUM(D76-1.41395-1054.50793-2973.15496)+0.001</f>
        <v>575.5991600000004</v>
      </c>
      <c r="G76" s="20">
        <v>575.599</v>
      </c>
      <c r="H76" s="29" t="s">
        <v>89</v>
      </c>
    </row>
    <row r="77" spans="1:8" ht="75" customHeight="1">
      <c r="A77" s="28" t="s">
        <v>87</v>
      </c>
      <c r="B77" s="22" t="s">
        <v>86</v>
      </c>
      <c r="C77" s="47" t="s">
        <v>183</v>
      </c>
      <c r="D77" s="20">
        <v>1108.84</v>
      </c>
      <c r="E77" s="26">
        <f t="shared" si="4"/>
        <v>0</v>
      </c>
      <c r="F77" s="20">
        <f>D77</f>
        <v>1108.84</v>
      </c>
      <c r="G77" s="20">
        <f>400-300</f>
        <v>100</v>
      </c>
      <c r="H77" s="29" t="s">
        <v>89</v>
      </c>
    </row>
    <row r="78" spans="1:8" ht="76.5" customHeight="1">
      <c r="A78" s="28" t="s">
        <v>87</v>
      </c>
      <c r="B78" s="22" t="s">
        <v>86</v>
      </c>
      <c r="C78" s="22" t="s">
        <v>155</v>
      </c>
      <c r="D78" s="20">
        <v>8333</v>
      </c>
      <c r="E78" s="26">
        <f t="shared" si="4"/>
        <v>1.7064615384615394</v>
      </c>
      <c r="F78" s="20">
        <f>D78-142.19944</f>
        <v>8190.80056</v>
      </c>
      <c r="G78" s="20">
        <v>7782.76</v>
      </c>
      <c r="H78" s="29" t="s">
        <v>89</v>
      </c>
    </row>
    <row r="79" spans="1:8" ht="61.5" customHeight="1">
      <c r="A79" s="28" t="s">
        <v>87</v>
      </c>
      <c r="B79" s="22" t="s">
        <v>86</v>
      </c>
      <c r="C79" s="22" t="s">
        <v>168</v>
      </c>
      <c r="D79" s="20">
        <v>8930.209</v>
      </c>
      <c r="E79" s="26">
        <f aca="true" t="shared" si="7" ref="E79:E114">100-(F79/D79)*100</f>
        <v>6.0116091347918115</v>
      </c>
      <c r="F79" s="20">
        <f>SUM(D79-536.84926)</f>
        <v>8393.35974</v>
      </c>
      <c r="G79" s="20">
        <v>2568.303</v>
      </c>
      <c r="H79" s="29" t="s">
        <v>89</v>
      </c>
    </row>
    <row r="80" spans="1:8" ht="38.25" customHeight="1">
      <c r="A80" s="28" t="s">
        <v>87</v>
      </c>
      <c r="B80" s="22" t="s">
        <v>86</v>
      </c>
      <c r="C80" s="22" t="s">
        <v>117</v>
      </c>
      <c r="D80" s="20">
        <v>4027.73</v>
      </c>
      <c r="E80" s="26">
        <f t="shared" si="7"/>
        <v>87.76617151596557</v>
      </c>
      <c r="F80" s="20">
        <f>D80-3.48524-2070.96995-427.07555-1033.45368</f>
        <v>492.7455799999998</v>
      </c>
      <c r="G80" s="20">
        <v>0.205</v>
      </c>
      <c r="H80" s="29" t="s">
        <v>89</v>
      </c>
    </row>
    <row r="81" spans="1:8" ht="56.25" customHeight="1">
      <c r="A81" s="28" t="s">
        <v>87</v>
      </c>
      <c r="B81" s="22" t="s">
        <v>86</v>
      </c>
      <c r="C81" s="22" t="s">
        <v>184</v>
      </c>
      <c r="D81" s="20">
        <v>3068.143</v>
      </c>
      <c r="E81" s="26">
        <f t="shared" si="7"/>
        <v>0.04034525118288457</v>
      </c>
      <c r="F81" s="20">
        <f>D81-1.23785</f>
        <v>3066.90515</v>
      </c>
      <c r="G81" s="20">
        <v>3066.905</v>
      </c>
      <c r="H81" s="29" t="s">
        <v>89</v>
      </c>
    </row>
    <row r="82" spans="1:8" s="31" customFormat="1" ht="40.5" customHeight="1">
      <c r="A82" s="28" t="s">
        <v>87</v>
      </c>
      <c r="B82" s="45" t="s">
        <v>86</v>
      </c>
      <c r="C82" s="22" t="s">
        <v>185</v>
      </c>
      <c r="D82" s="20">
        <v>2000</v>
      </c>
      <c r="E82" s="26">
        <f t="shared" si="7"/>
        <v>3.5408339999999896</v>
      </c>
      <c r="F82" s="20">
        <f>SUM(D82-70.81668)</f>
        <v>1929.18332</v>
      </c>
      <c r="G82" s="20">
        <v>414.184</v>
      </c>
      <c r="H82" s="29" t="s">
        <v>89</v>
      </c>
    </row>
    <row r="83" spans="1:8" s="40" customFormat="1" ht="60" customHeight="1">
      <c r="A83" s="28" t="s">
        <v>87</v>
      </c>
      <c r="B83" s="22" t="s">
        <v>86</v>
      </c>
      <c r="C83" s="22" t="s">
        <v>195</v>
      </c>
      <c r="D83" s="20">
        <v>267.783</v>
      </c>
      <c r="E83" s="26">
        <f t="shared" si="7"/>
        <v>18.626455002744763</v>
      </c>
      <c r="F83" s="20">
        <f>SUM(D83-49.87848)</f>
        <v>217.90452000000002</v>
      </c>
      <c r="G83" s="20">
        <v>217.905</v>
      </c>
      <c r="H83" s="29" t="s">
        <v>89</v>
      </c>
    </row>
    <row r="84" spans="1:8" s="31" customFormat="1" ht="60" customHeight="1">
      <c r="A84" s="28" t="s">
        <v>87</v>
      </c>
      <c r="B84" s="22" t="s">
        <v>86</v>
      </c>
      <c r="C84" s="52" t="s">
        <v>233</v>
      </c>
      <c r="D84" s="44">
        <v>2125</v>
      </c>
      <c r="E84" s="26">
        <f t="shared" si="7"/>
        <v>0</v>
      </c>
      <c r="F84" s="20">
        <f>SUM(D84)</f>
        <v>2125</v>
      </c>
      <c r="G84" s="44">
        <v>2125</v>
      </c>
      <c r="H84" s="29" t="s">
        <v>89</v>
      </c>
    </row>
    <row r="85" spans="1:8" s="31" customFormat="1" ht="45.75" customHeight="1">
      <c r="A85" s="28" t="s">
        <v>87</v>
      </c>
      <c r="B85" s="22" t="s">
        <v>86</v>
      </c>
      <c r="C85" s="52" t="s">
        <v>283</v>
      </c>
      <c r="D85" s="44">
        <v>100</v>
      </c>
      <c r="E85" s="26">
        <f t="shared" si="7"/>
        <v>0</v>
      </c>
      <c r="F85" s="20">
        <f>SUM(D85)</f>
        <v>100</v>
      </c>
      <c r="G85" s="44">
        <v>100</v>
      </c>
      <c r="H85" s="29" t="s">
        <v>89</v>
      </c>
    </row>
    <row r="86" spans="1:8" ht="90.75" customHeight="1">
      <c r="A86" s="28" t="s">
        <v>87</v>
      </c>
      <c r="B86" s="45" t="s">
        <v>86</v>
      </c>
      <c r="C86" s="48" t="s">
        <v>136</v>
      </c>
      <c r="D86" s="20">
        <v>1200</v>
      </c>
      <c r="E86" s="26">
        <f t="shared" si="7"/>
        <v>0</v>
      </c>
      <c r="F86" s="20">
        <f>SUM(D86)</f>
        <v>1200</v>
      </c>
      <c r="G86" s="20">
        <v>1200</v>
      </c>
      <c r="H86" s="29" t="s">
        <v>89</v>
      </c>
    </row>
    <row r="87" spans="1:8" ht="77.25" customHeight="1">
      <c r="A87" s="28" t="s">
        <v>87</v>
      </c>
      <c r="B87" s="22" t="s">
        <v>86</v>
      </c>
      <c r="C87" s="48" t="s">
        <v>221</v>
      </c>
      <c r="D87" s="20">
        <v>1031.825</v>
      </c>
      <c r="E87" s="26">
        <f t="shared" si="7"/>
        <v>6.908516463547599</v>
      </c>
      <c r="F87" s="20">
        <f>SUM(D87-71.2848)+0.001</f>
        <v>960.5412</v>
      </c>
      <c r="G87" s="20">
        <v>960.541</v>
      </c>
      <c r="H87" s="29" t="s">
        <v>89</v>
      </c>
    </row>
    <row r="88" spans="1:8" ht="57" customHeight="1">
      <c r="A88" s="28" t="s">
        <v>87</v>
      </c>
      <c r="B88" s="22" t="s">
        <v>86</v>
      </c>
      <c r="C88" s="22" t="s">
        <v>111</v>
      </c>
      <c r="D88" s="20">
        <v>14805.017</v>
      </c>
      <c r="E88" s="26">
        <f t="shared" si="7"/>
        <v>3.1051689437438625</v>
      </c>
      <c r="F88" s="20">
        <f>D88-(79.512+136.904+219.26723+23.97362+0.06394)</f>
        <v>14345.29621</v>
      </c>
      <c r="G88" s="20">
        <v>87.356</v>
      </c>
      <c r="H88" s="29" t="s">
        <v>89</v>
      </c>
    </row>
    <row r="89" spans="1:8" ht="83.25" customHeight="1">
      <c r="A89" s="28" t="s">
        <v>87</v>
      </c>
      <c r="B89" s="22" t="s">
        <v>86</v>
      </c>
      <c r="C89" s="22" t="s">
        <v>222</v>
      </c>
      <c r="D89" s="20">
        <v>3012.364</v>
      </c>
      <c r="E89" s="26">
        <f t="shared" si="7"/>
        <v>76.4407083606098</v>
      </c>
      <c r="F89" s="20">
        <f>SUM(D89-47.9736-28.99732-1238.64731-987.05415)</f>
        <v>709.6916200000002</v>
      </c>
      <c r="G89" s="20">
        <v>709.692</v>
      </c>
      <c r="H89" s="29" t="s">
        <v>89</v>
      </c>
    </row>
    <row r="90" spans="1:8" s="50" customFormat="1" ht="39" customHeight="1">
      <c r="A90" s="28" t="s">
        <v>87</v>
      </c>
      <c r="B90" s="22" t="s">
        <v>86</v>
      </c>
      <c r="C90" s="49" t="s">
        <v>223</v>
      </c>
      <c r="D90" s="84">
        <v>2037.432</v>
      </c>
      <c r="E90" s="26">
        <f t="shared" si="7"/>
        <v>62.594479717605296</v>
      </c>
      <c r="F90" s="37">
        <f>SUM(D90-1064.43798-210.88298)+0.001</f>
        <v>762.1120400000001</v>
      </c>
      <c r="G90" s="45">
        <v>762.112</v>
      </c>
      <c r="H90" s="29" t="s">
        <v>89</v>
      </c>
    </row>
    <row r="91" spans="1:8" s="50" customFormat="1" ht="57.75" customHeight="1">
      <c r="A91" s="28" t="s">
        <v>87</v>
      </c>
      <c r="B91" s="22" t="s">
        <v>86</v>
      </c>
      <c r="C91" s="51" t="s">
        <v>224</v>
      </c>
      <c r="D91" s="84">
        <v>4483.6</v>
      </c>
      <c r="E91" s="26">
        <f t="shared" si="7"/>
        <v>89.216927022928</v>
      </c>
      <c r="F91" s="37">
        <f>SUM(D91-2979.177-1020.95314)</f>
        <v>483.46986000000027</v>
      </c>
      <c r="G91" s="37">
        <v>483.47</v>
      </c>
      <c r="H91" s="29" t="s">
        <v>89</v>
      </c>
    </row>
    <row r="92" spans="1:8" s="50" customFormat="1" ht="57.75" customHeight="1">
      <c r="A92" s="28" t="s">
        <v>87</v>
      </c>
      <c r="B92" s="22" t="s">
        <v>86</v>
      </c>
      <c r="C92" s="51" t="s">
        <v>225</v>
      </c>
      <c r="D92" s="84">
        <v>992.627</v>
      </c>
      <c r="E92" s="26">
        <f t="shared" si="7"/>
        <v>32.38034427836439</v>
      </c>
      <c r="F92" s="37">
        <f>SUM(D92-321.41604)</f>
        <v>671.2109599999999</v>
      </c>
      <c r="G92" s="45">
        <v>671.211</v>
      </c>
      <c r="H92" s="29" t="s">
        <v>89</v>
      </c>
    </row>
    <row r="93" spans="1:8" ht="39" customHeight="1">
      <c r="A93" s="28" t="s">
        <v>87</v>
      </c>
      <c r="B93" s="22" t="s">
        <v>86</v>
      </c>
      <c r="C93" s="22" t="s">
        <v>112</v>
      </c>
      <c r="D93" s="20">
        <v>2489.88</v>
      </c>
      <c r="E93" s="26">
        <f t="shared" si="7"/>
        <v>94.85133701222549</v>
      </c>
      <c r="F93" s="20">
        <f>SUM(D93-98.21146-96.41545-283.54791-696.4574-357.58275-829.4705)+0.001</f>
        <v>128.1955300000001</v>
      </c>
      <c r="G93" s="20">
        <v>37.49</v>
      </c>
      <c r="H93" s="29" t="s">
        <v>89</v>
      </c>
    </row>
    <row r="94" spans="1:8" ht="42.75" customHeight="1">
      <c r="A94" s="28" t="s">
        <v>87</v>
      </c>
      <c r="B94" s="45" t="s">
        <v>86</v>
      </c>
      <c r="C94" s="22" t="s">
        <v>113</v>
      </c>
      <c r="D94" s="20">
        <v>10526.268</v>
      </c>
      <c r="E94" s="26">
        <f t="shared" si="7"/>
        <v>4.464502423841012</v>
      </c>
      <c r="F94" s="20">
        <f>D94-(60.3528+37.0812+318.25743+30.4963+23.75776)</f>
        <v>10056.32251</v>
      </c>
      <c r="G94" s="20">
        <v>10056.323</v>
      </c>
      <c r="H94" s="29" t="s">
        <v>89</v>
      </c>
    </row>
    <row r="95" spans="1:8" s="31" customFormat="1" ht="73.5" customHeight="1">
      <c r="A95" s="28" t="s">
        <v>87</v>
      </c>
      <c r="B95" s="22" t="s">
        <v>86</v>
      </c>
      <c r="C95" s="22" t="s">
        <v>266</v>
      </c>
      <c r="D95" s="20">
        <v>1217.413</v>
      </c>
      <c r="E95" s="26">
        <f t="shared" si="7"/>
        <v>42.43125710009669</v>
      </c>
      <c r="F95" s="20">
        <f>SUM(D95-38.64-477.92464)+0.001</f>
        <v>700.8493599999999</v>
      </c>
      <c r="G95" s="20">
        <v>700.849</v>
      </c>
      <c r="H95" s="29" t="s">
        <v>89</v>
      </c>
    </row>
    <row r="96" spans="1:8" ht="54.75" customHeight="1">
      <c r="A96" s="28" t="s">
        <v>87</v>
      </c>
      <c r="B96" s="45" t="s">
        <v>86</v>
      </c>
      <c r="C96" s="22" t="s">
        <v>114</v>
      </c>
      <c r="D96" s="20">
        <v>3268.607</v>
      </c>
      <c r="E96" s="26">
        <f t="shared" si="7"/>
        <v>83.70687849594646</v>
      </c>
      <c r="F96" s="20">
        <f>D96-169.644-100.74664-35.67428-1704.05949-725.92548+0.001</f>
        <v>532.5581099999996</v>
      </c>
      <c r="G96" s="20">
        <v>532.558</v>
      </c>
      <c r="H96" s="29" t="s">
        <v>89</v>
      </c>
    </row>
    <row r="97" spans="1:8" ht="59.25" customHeight="1">
      <c r="A97" s="28" t="s">
        <v>87</v>
      </c>
      <c r="B97" s="22" t="s">
        <v>86</v>
      </c>
      <c r="C97" s="22" t="s">
        <v>115</v>
      </c>
      <c r="D97" s="20">
        <v>11704.046</v>
      </c>
      <c r="E97" s="26">
        <f t="shared" si="7"/>
        <v>32.63107689426376</v>
      </c>
      <c r="F97" s="20">
        <f>D97-83.80703-106.15176-11.81917-25.61054-3591.76775</f>
        <v>7884.889749999999</v>
      </c>
      <c r="G97" s="20">
        <v>7884.89</v>
      </c>
      <c r="H97" s="29" t="s">
        <v>89</v>
      </c>
    </row>
    <row r="98" spans="1:8" ht="39" customHeight="1">
      <c r="A98" s="28" t="s">
        <v>87</v>
      </c>
      <c r="B98" s="45" t="s">
        <v>86</v>
      </c>
      <c r="C98" s="30" t="s">
        <v>267</v>
      </c>
      <c r="D98" s="20">
        <v>389.279</v>
      </c>
      <c r="E98" s="26">
        <f t="shared" si="7"/>
        <v>82.4145330213035</v>
      </c>
      <c r="F98" s="20">
        <f>SUM(D98-60-1.5211-259.30137)</f>
        <v>68.45652999999999</v>
      </c>
      <c r="G98" s="20">
        <v>0.654</v>
      </c>
      <c r="H98" s="29" t="s">
        <v>89</v>
      </c>
    </row>
    <row r="99" spans="1:8" ht="58.5" customHeight="1">
      <c r="A99" s="28" t="s">
        <v>87</v>
      </c>
      <c r="B99" s="22" t="s">
        <v>86</v>
      </c>
      <c r="C99" s="22" t="s">
        <v>121</v>
      </c>
      <c r="D99" s="20">
        <v>600</v>
      </c>
      <c r="E99" s="26">
        <f t="shared" si="7"/>
        <v>20.42659333333333</v>
      </c>
      <c r="F99" s="20">
        <f>SUM(D99-1.54756-121.012)</f>
        <v>477.44044</v>
      </c>
      <c r="G99" s="20">
        <v>350</v>
      </c>
      <c r="H99" s="29" t="s">
        <v>89</v>
      </c>
    </row>
    <row r="100" spans="1:8" ht="39.75" customHeight="1">
      <c r="A100" s="28" t="s">
        <v>87</v>
      </c>
      <c r="B100" s="22" t="s">
        <v>86</v>
      </c>
      <c r="C100" s="32" t="s">
        <v>192</v>
      </c>
      <c r="D100" s="33">
        <v>1000</v>
      </c>
      <c r="E100" s="26">
        <f t="shared" si="7"/>
        <v>3.807863999999995</v>
      </c>
      <c r="F100" s="34">
        <f>SUM(D100-38.07864)</f>
        <v>961.92136</v>
      </c>
      <c r="G100" s="33">
        <v>537.06</v>
      </c>
      <c r="H100" s="29" t="s">
        <v>89</v>
      </c>
    </row>
    <row r="101" spans="1:8" ht="56.25">
      <c r="A101" s="28" t="s">
        <v>87</v>
      </c>
      <c r="B101" s="45" t="s">
        <v>86</v>
      </c>
      <c r="C101" s="35" t="s">
        <v>170</v>
      </c>
      <c r="D101" s="33">
        <v>489.913</v>
      </c>
      <c r="E101" s="26">
        <f t="shared" si="7"/>
        <v>0</v>
      </c>
      <c r="F101" s="34">
        <f>SUM(D101)</f>
        <v>489.913</v>
      </c>
      <c r="G101" s="33">
        <v>489.913</v>
      </c>
      <c r="H101" s="29" t="s">
        <v>89</v>
      </c>
    </row>
    <row r="102" spans="1:8" ht="58.5" customHeight="1">
      <c r="A102" s="28" t="s">
        <v>87</v>
      </c>
      <c r="B102" s="45" t="s">
        <v>86</v>
      </c>
      <c r="C102" s="52" t="s">
        <v>203</v>
      </c>
      <c r="D102" s="33">
        <v>383.378</v>
      </c>
      <c r="E102" s="26">
        <f t="shared" si="7"/>
        <v>86.85384920365802</v>
      </c>
      <c r="F102" s="34">
        <f>SUM(D102-332.97955)+0.001</f>
        <v>50.399449999999966</v>
      </c>
      <c r="G102" s="33">
        <v>50.399</v>
      </c>
      <c r="H102" s="29" t="s">
        <v>89</v>
      </c>
    </row>
    <row r="103" spans="1:8" ht="58.5" customHeight="1">
      <c r="A103" s="28" t="s">
        <v>87</v>
      </c>
      <c r="B103" s="45" t="s">
        <v>86</v>
      </c>
      <c r="C103" s="52" t="s">
        <v>175</v>
      </c>
      <c r="D103" s="33">
        <v>240</v>
      </c>
      <c r="E103" s="26">
        <f t="shared" si="7"/>
        <v>52.322020833333326</v>
      </c>
      <c r="F103" s="34">
        <f>SUM(D103-125.57385)+0.001</f>
        <v>114.42715000000001</v>
      </c>
      <c r="G103" s="33">
        <v>50</v>
      </c>
      <c r="H103" s="29" t="s">
        <v>89</v>
      </c>
    </row>
    <row r="104" spans="1:8" ht="39.75" customHeight="1">
      <c r="A104" s="28" t="s">
        <v>87</v>
      </c>
      <c r="B104" s="22" t="s">
        <v>86</v>
      </c>
      <c r="C104" s="22" t="s">
        <v>198</v>
      </c>
      <c r="D104" s="20">
        <v>250</v>
      </c>
      <c r="E104" s="26">
        <f t="shared" si="7"/>
        <v>0</v>
      </c>
      <c r="F104" s="34">
        <f>SUM(D104)</f>
        <v>250</v>
      </c>
      <c r="G104" s="20">
        <v>150</v>
      </c>
      <c r="H104" s="29" t="s">
        <v>89</v>
      </c>
    </row>
    <row r="105" spans="1:9" s="31" customFormat="1" ht="54.75" customHeight="1">
      <c r="A105" s="28" t="s">
        <v>87</v>
      </c>
      <c r="B105" s="22" t="s">
        <v>86</v>
      </c>
      <c r="C105" s="22" t="s">
        <v>226</v>
      </c>
      <c r="D105" s="20">
        <v>1220.465</v>
      </c>
      <c r="E105" s="26">
        <f t="shared" si="7"/>
        <v>70.2748231206958</v>
      </c>
      <c r="F105" s="20">
        <f>SUM(D105-148.21968-709.46094)+0.001</f>
        <v>362.7853799999999</v>
      </c>
      <c r="G105" s="20">
        <v>362.785</v>
      </c>
      <c r="H105" s="29" t="s">
        <v>89</v>
      </c>
      <c r="I105" s="27"/>
    </row>
    <row r="106" spans="1:8" ht="38.25" customHeight="1">
      <c r="A106" s="28" t="s">
        <v>87</v>
      </c>
      <c r="B106" s="30" t="s">
        <v>86</v>
      </c>
      <c r="C106" s="36" t="s">
        <v>118</v>
      </c>
      <c r="D106" s="34">
        <v>2703.767</v>
      </c>
      <c r="E106" s="26">
        <f t="shared" si="7"/>
        <v>3.556768390175634</v>
      </c>
      <c r="F106" s="34">
        <f>SUM(D106-38.81773-57.35)+0.001</f>
        <v>2607.60027</v>
      </c>
      <c r="G106" s="34">
        <v>2607.6</v>
      </c>
      <c r="H106" s="29" t="s">
        <v>89</v>
      </c>
    </row>
    <row r="107" spans="1:8" ht="38.25" customHeight="1">
      <c r="A107" s="28" t="s">
        <v>87</v>
      </c>
      <c r="B107" s="30" t="s">
        <v>86</v>
      </c>
      <c r="C107" s="36" t="s">
        <v>336</v>
      </c>
      <c r="D107" s="34">
        <v>1000</v>
      </c>
      <c r="E107" s="26">
        <f>100-(F107/D107)*100</f>
        <v>0</v>
      </c>
      <c r="F107" s="34">
        <f>SUM(D107)</f>
        <v>1000</v>
      </c>
      <c r="G107" s="34">
        <v>1000</v>
      </c>
      <c r="H107" s="29" t="s">
        <v>89</v>
      </c>
    </row>
    <row r="108" spans="1:8" ht="78.75" customHeight="1">
      <c r="A108" s="28" t="s">
        <v>87</v>
      </c>
      <c r="B108" s="45" t="s">
        <v>86</v>
      </c>
      <c r="C108" s="52" t="s">
        <v>268</v>
      </c>
      <c r="D108" s="44">
        <v>208.941</v>
      </c>
      <c r="E108" s="26">
        <f t="shared" si="7"/>
        <v>0</v>
      </c>
      <c r="F108" s="34">
        <f>SUM(D108)</f>
        <v>208.941</v>
      </c>
      <c r="G108" s="44">
        <v>208.941</v>
      </c>
      <c r="H108" s="29" t="s">
        <v>89</v>
      </c>
    </row>
    <row r="109" spans="1:8" s="40" customFormat="1" ht="60" customHeight="1">
      <c r="A109" s="41">
        <v>150101</v>
      </c>
      <c r="B109" s="45" t="s">
        <v>86</v>
      </c>
      <c r="C109" s="49" t="s">
        <v>227</v>
      </c>
      <c r="D109" s="20">
        <v>4973.996</v>
      </c>
      <c r="E109" s="26">
        <f t="shared" si="7"/>
        <v>2.4527502635707776</v>
      </c>
      <c r="F109" s="20">
        <f>SUM(D109-64.34-57.6597)</f>
        <v>4851.9963</v>
      </c>
      <c r="G109" s="20">
        <v>13.95</v>
      </c>
      <c r="H109" s="29"/>
    </row>
    <row r="110" spans="1:8" ht="39.75" customHeight="1">
      <c r="A110" s="41">
        <v>150101</v>
      </c>
      <c r="B110" s="45" t="s">
        <v>86</v>
      </c>
      <c r="C110" s="52" t="s">
        <v>171</v>
      </c>
      <c r="D110" s="44">
        <v>75.358</v>
      </c>
      <c r="E110" s="26">
        <f t="shared" si="7"/>
        <v>44.72812441943789</v>
      </c>
      <c r="F110" s="34">
        <f>SUM(D110-33.70622)</f>
        <v>41.65178</v>
      </c>
      <c r="G110" s="44">
        <v>41.646</v>
      </c>
      <c r="H110" s="29" t="s">
        <v>89</v>
      </c>
    </row>
    <row r="111" spans="1:8" ht="43.5" customHeight="1">
      <c r="A111" s="41">
        <v>150101</v>
      </c>
      <c r="B111" s="45" t="s">
        <v>86</v>
      </c>
      <c r="C111" s="52" t="s">
        <v>269</v>
      </c>
      <c r="D111" s="44">
        <v>144</v>
      </c>
      <c r="E111" s="26">
        <f t="shared" si="7"/>
        <v>18.19999999999999</v>
      </c>
      <c r="F111" s="34">
        <f>SUM(D111-26.208)</f>
        <v>117.792</v>
      </c>
      <c r="G111" s="44">
        <v>35</v>
      </c>
      <c r="H111" s="29" t="s">
        <v>89</v>
      </c>
    </row>
    <row r="112" spans="1:8" ht="61.5" customHeight="1">
      <c r="A112" s="41">
        <v>150101</v>
      </c>
      <c r="B112" s="45" t="s">
        <v>86</v>
      </c>
      <c r="C112" s="32" t="s">
        <v>201</v>
      </c>
      <c r="D112" s="53">
        <v>75.492</v>
      </c>
      <c r="E112" s="26">
        <f t="shared" si="7"/>
        <v>0</v>
      </c>
      <c r="F112" s="34">
        <f>SUM(D112)</f>
        <v>75.492</v>
      </c>
      <c r="G112" s="53">
        <v>75.492</v>
      </c>
      <c r="H112" s="29" t="s">
        <v>89</v>
      </c>
    </row>
    <row r="113" spans="1:8" ht="41.25" customHeight="1">
      <c r="A113" s="41">
        <v>150101</v>
      </c>
      <c r="B113" s="45" t="s">
        <v>86</v>
      </c>
      <c r="C113" s="52" t="s">
        <v>228</v>
      </c>
      <c r="D113" s="44">
        <v>1100</v>
      </c>
      <c r="E113" s="26">
        <f t="shared" si="7"/>
        <v>0</v>
      </c>
      <c r="F113" s="34">
        <f>SUM(D113)</f>
        <v>1100</v>
      </c>
      <c r="G113" s="44">
        <v>210</v>
      </c>
      <c r="H113" s="29" t="s">
        <v>89</v>
      </c>
    </row>
    <row r="114" spans="1:9" s="31" customFormat="1" ht="75.75" customHeight="1">
      <c r="A114" s="28" t="s">
        <v>87</v>
      </c>
      <c r="B114" s="22" t="s">
        <v>86</v>
      </c>
      <c r="C114" s="36" t="s">
        <v>119</v>
      </c>
      <c r="D114" s="20">
        <v>1084.259</v>
      </c>
      <c r="E114" s="26">
        <f t="shared" si="7"/>
        <v>8.886012474879152</v>
      </c>
      <c r="F114" s="20">
        <f>SUM(D114-96.34739)</f>
        <v>987.91161</v>
      </c>
      <c r="G114" s="20">
        <v>903.42</v>
      </c>
      <c r="H114" s="29" t="s">
        <v>89</v>
      </c>
      <c r="I114" s="27"/>
    </row>
    <row r="115" spans="1:9" s="40" customFormat="1" ht="58.5" customHeight="1">
      <c r="A115" s="28" t="s">
        <v>87</v>
      </c>
      <c r="B115" s="22" t="s">
        <v>86</v>
      </c>
      <c r="C115" s="22" t="s">
        <v>110</v>
      </c>
      <c r="D115" s="20">
        <v>636.238</v>
      </c>
      <c r="E115" s="26">
        <v>0</v>
      </c>
      <c r="F115" s="20">
        <f>D115-396.98945</f>
        <v>239.24855000000008</v>
      </c>
      <c r="G115" s="20">
        <v>239.249</v>
      </c>
      <c r="H115" s="29" t="s">
        <v>89</v>
      </c>
      <c r="I115" s="27"/>
    </row>
    <row r="116" spans="1:8" s="50" customFormat="1" ht="56.25" customHeight="1">
      <c r="A116" s="28" t="s">
        <v>87</v>
      </c>
      <c r="B116" s="22" t="s">
        <v>86</v>
      </c>
      <c r="C116" s="22" t="s">
        <v>229</v>
      </c>
      <c r="D116" s="37">
        <v>400</v>
      </c>
      <c r="E116" s="26">
        <v>0</v>
      </c>
      <c r="F116" s="20">
        <f>D116</f>
        <v>400</v>
      </c>
      <c r="G116" s="37">
        <v>400</v>
      </c>
      <c r="H116" s="29" t="s">
        <v>89</v>
      </c>
    </row>
    <row r="117" spans="1:8" ht="57.75" customHeight="1">
      <c r="A117" s="28" t="s">
        <v>87</v>
      </c>
      <c r="B117" s="45" t="s">
        <v>86</v>
      </c>
      <c r="C117" s="22" t="s">
        <v>270</v>
      </c>
      <c r="D117" s="45">
        <v>376.904</v>
      </c>
      <c r="E117" s="26">
        <f>100-(F117/D117)*100</f>
        <v>2.8818717763674613</v>
      </c>
      <c r="F117" s="37">
        <f>SUM(D117-10.86189)</f>
        <v>366.04211</v>
      </c>
      <c r="G117" s="45">
        <v>18.385</v>
      </c>
      <c r="H117" s="29" t="s">
        <v>89</v>
      </c>
    </row>
    <row r="118" spans="1:8" ht="38.25" customHeight="1">
      <c r="A118" s="28" t="s">
        <v>87</v>
      </c>
      <c r="B118" s="22" t="s">
        <v>86</v>
      </c>
      <c r="C118" s="22" t="s">
        <v>120</v>
      </c>
      <c r="D118" s="20">
        <v>6185.308</v>
      </c>
      <c r="E118" s="26">
        <f>100-(F118/D118)*100</f>
        <v>5.430049885955555</v>
      </c>
      <c r="F118" s="20">
        <f>SUM(D118-197.6733-138.19201)</f>
        <v>5849.44269</v>
      </c>
      <c r="G118" s="20">
        <v>5849.443</v>
      </c>
      <c r="H118" s="29" t="s">
        <v>89</v>
      </c>
    </row>
    <row r="119" spans="1:8" s="31" customFormat="1" ht="63" customHeight="1">
      <c r="A119" s="28" t="s">
        <v>87</v>
      </c>
      <c r="B119" s="22" t="s">
        <v>86</v>
      </c>
      <c r="C119" s="22" t="s">
        <v>194</v>
      </c>
      <c r="D119" s="20">
        <v>164.449</v>
      </c>
      <c r="E119" s="26">
        <v>0</v>
      </c>
      <c r="F119" s="20">
        <v>164.449</v>
      </c>
      <c r="G119" s="20">
        <v>164.449</v>
      </c>
      <c r="H119" s="29" t="s">
        <v>89</v>
      </c>
    </row>
    <row r="120" spans="1:8" ht="58.5" customHeight="1">
      <c r="A120" s="28" t="s">
        <v>87</v>
      </c>
      <c r="B120" s="45" t="s">
        <v>86</v>
      </c>
      <c r="C120" s="22" t="s">
        <v>271</v>
      </c>
      <c r="D120" s="20">
        <v>19.433</v>
      </c>
      <c r="E120" s="26">
        <f>100-(F120/D120)*100</f>
        <v>0</v>
      </c>
      <c r="F120" s="34">
        <f>SUM(D120)</f>
        <v>19.433</v>
      </c>
      <c r="G120" s="20">
        <v>17.44</v>
      </c>
      <c r="H120" s="29" t="s">
        <v>116</v>
      </c>
    </row>
    <row r="121" spans="1:8" ht="93" customHeight="1">
      <c r="A121" s="28" t="s">
        <v>87</v>
      </c>
      <c r="B121" s="45" t="s">
        <v>86</v>
      </c>
      <c r="C121" s="22" t="s">
        <v>238</v>
      </c>
      <c r="D121" s="20">
        <v>3285.91</v>
      </c>
      <c r="E121" s="26">
        <f>100-(F121/D121)*100</f>
        <v>0</v>
      </c>
      <c r="F121" s="34">
        <f>SUM(D121)</f>
        <v>3285.91</v>
      </c>
      <c r="G121" s="20">
        <v>2166.383</v>
      </c>
      <c r="H121" s="29" t="s">
        <v>89</v>
      </c>
    </row>
    <row r="122" spans="1:8" s="31" customFormat="1" ht="37.5" customHeight="1">
      <c r="A122" s="28" t="s">
        <v>87</v>
      </c>
      <c r="B122" s="22" t="s">
        <v>86</v>
      </c>
      <c r="C122" s="52" t="s">
        <v>320</v>
      </c>
      <c r="D122" s="44">
        <v>13492.94</v>
      </c>
      <c r="E122" s="26">
        <f>100-(F122/D122)*100</f>
        <v>21.412500166753873</v>
      </c>
      <c r="F122" s="44">
        <v>10603.7642</v>
      </c>
      <c r="G122" s="20">
        <v>500</v>
      </c>
      <c r="H122" s="29" t="s">
        <v>89</v>
      </c>
    </row>
    <row r="123" spans="1:8" ht="72.75" customHeight="1">
      <c r="A123" s="28" t="s">
        <v>108</v>
      </c>
      <c r="B123" s="22" t="s">
        <v>109</v>
      </c>
      <c r="C123" s="22" t="s">
        <v>109</v>
      </c>
      <c r="D123" s="20"/>
      <c r="E123" s="26"/>
      <c r="F123" s="20"/>
      <c r="G123" s="20">
        <v>3870.326</v>
      </c>
      <c r="H123" s="29"/>
    </row>
    <row r="124" spans="1:8" s="50" customFormat="1" ht="38.25" customHeight="1" hidden="1">
      <c r="A124" s="28" t="s">
        <v>87</v>
      </c>
      <c r="B124" s="22" t="s">
        <v>86</v>
      </c>
      <c r="C124" s="54" t="s">
        <v>272</v>
      </c>
      <c r="D124" s="20">
        <f>SUM(D125:D136)</f>
        <v>2436.3532</v>
      </c>
      <c r="E124" s="54"/>
      <c r="F124" s="20">
        <f>SUM(F125:F136)</f>
        <v>2221.0569</v>
      </c>
      <c r="G124" s="20">
        <f>SUM(G125+G126+G127+G128+G129+G130+G131+G132+G133+G134+G135+G136)</f>
        <v>2221.0570000000002</v>
      </c>
      <c r="H124" s="58"/>
    </row>
    <row r="125" spans="1:8" ht="38.25" customHeight="1">
      <c r="A125" s="28" t="s">
        <v>87</v>
      </c>
      <c r="B125" s="22" t="s">
        <v>86</v>
      </c>
      <c r="C125" s="30" t="s">
        <v>284</v>
      </c>
      <c r="D125" s="34">
        <v>267.878</v>
      </c>
      <c r="E125" s="26">
        <f>100-(F125/D125)*100</f>
        <v>32.239862922673765</v>
      </c>
      <c r="F125" s="34">
        <f>SUM(D125-27.8161-58.5474)</f>
        <v>181.51449999999997</v>
      </c>
      <c r="G125" s="34">
        <v>181.515</v>
      </c>
      <c r="H125" s="29"/>
    </row>
    <row r="126" spans="1:8" ht="40.5" customHeight="1">
      <c r="A126" s="28" t="s">
        <v>87</v>
      </c>
      <c r="B126" s="22" t="s">
        <v>86</v>
      </c>
      <c r="C126" s="30" t="s">
        <v>285</v>
      </c>
      <c r="D126" s="34">
        <v>253.469</v>
      </c>
      <c r="E126" s="26">
        <f>100-(F126/D126)*100</f>
        <v>31.107977701415166</v>
      </c>
      <c r="F126" s="34">
        <f>SUM(D126-24.8546-53.99448)</f>
        <v>174.61991999999998</v>
      </c>
      <c r="G126" s="34">
        <v>174.62</v>
      </c>
      <c r="H126" s="29"/>
    </row>
    <row r="127" spans="1:8" ht="55.5" customHeight="1">
      <c r="A127" s="28" t="s">
        <v>87</v>
      </c>
      <c r="B127" s="22" t="s">
        <v>86</v>
      </c>
      <c r="C127" s="30" t="s">
        <v>286</v>
      </c>
      <c r="D127" s="34">
        <v>219.013</v>
      </c>
      <c r="E127" s="26">
        <f>100-(F127/D127)*100</f>
        <v>11.770351531644238</v>
      </c>
      <c r="F127" s="34">
        <f>SUM(D127-24.8546-0.924)</f>
        <v>193.2344</v>
      </c>
      <c r="G127" s="34">
        <v>193.234</v>
      </c>
      <c r="H127" s="29"/>
    </row>
    <row r="128" spans="1:8" s="31" customFormat="1" ht="57" customHeight="1">
      <c r="A128" s="28" t="s">
        <v>87</v>
      </c>
      <c r="B128" s="22" t="s">
        <v>86</v>
      </c>
      <c r="C128" s="22" t="s">
        <v>287</v>
      </c>
      <c r="D128" s="20">
        <v>147.134</v>
      </c>
      <c r="E128" s="26">
        <v>0</v>
      </c>
      <c r="F128" s="34">
        <f>SUM(D128-24.30512)</f>
        <v>122.82887999999998</v>
      </c>
      <c r="G128" s="20">
        <v>122.829</v>
      </c>
      <c r="H128" s="29"/>
    </row>
    <row r="129" spans="1:8" ht="75" customHeight="1">
      <c r="A129" s="28" t="s">
        <v>87</v>
      </c>
      <c r="B129" s="22" t="s">
        <v>86</v>
      </c>
      <c r="C129" s="32" t="s">
        <v>172</v>
      </c>
      <c r="D129" s="33">
        <v>108.613</v>
      </c>
      <c r="E129" s="26">
        <f aca="true" t="shared" si="8" ref="E129:E136">100-(F129/D129)*100</f>
        <v>0</v>
      </c>
      <c r="F129" s="34">
        <f aca="true" t="shared" si="9" ref="F129:F136">SUM(D129)</f>
        <v>108.613</v>
      </c>
      <c r="G129" s="33">
        <v>108.613</v>
      </c>
      <c r="H129" s="29"/>
    </row>
    <row r="130" spans="1:8" ht="58.5" customHeight="1">
      <c r="A130" s="28" t="s">
        <v>87</v>
      </c>
      <c r="B130" s="22" t="s">
        <v>86</v>
      </c>
      <c r="C130" s="32" t="s">
        <v>173</v>
      </c>
      <c r="D130" s="33">
        <v>198.316</v>
      </c>
      <c r="E130" s="26">
        <f t="shared" si="8"/>
        <v>0</v>
      </c>
      <c r="F130" s="34">
        <f t="shared" si="9"/>
        <v>198.316</v>
      </c>
      <c r="G130" s="33">
        <v>198.316</v>
      </c>
      <c r="H130" s="29"/>
    </row>
    <row r="131" spans="1:8" ht="94.5" customHeight="1">
      <c r="A131" s="28" t="s">
        <v>87</v>
      </c>
      <c r="B131" s="22" t="s">
        <v>86</v>
      </c>
      <c r="C131" s="32" t="s">
        <v>174</v>
      </c>
      <c r="D131" s="33">
        <v>191.5932</v>
      </c>
      <c r="E131" s="26">
        <f t="shared" si="8"/>
        <v>0</v>
      </c>
      <c r="F131" s="34">
        <f t="shared" si="9"/>
        <v>191.5932</v>
      </c>
      <c r="G131" s="33">
        <v>191.593</v>
      </c>
      <c r="H131" s="29"/>
    </row>
    <row r="132" spans="1:8" ht="57.75" customHeight="1">
      <c r="A132" s="28" t="s">
        <v>87</v>
      </c>
      <c r="B132" s="22" t="s">
        <v>86</v>
      </c>
      <c r="C132" s="32" t="s">
        <v>239</v>
      </c>
      <c r="D132" s="33">
        <v>193.084</v>
      </c>
      <c r="E132" s="26">
        <f t="shared" si="8"/>
        <v>0</v>
      </c>
      <c r="F132" s="34">
        <f t="shared" si="9"/>
        <v>193.084</v>
      </c>
      <c r="G132" s="33">
        <v>193.084</v>
      </c>
      <c r="H132" s="29"/>
    </row>
    <row r="133" spans="1:8" ht="60" customHeight="1">
      <c r="A133" s="28" t="s">
        <v>87</v>
      </c>
      <c r="B133" s="22" t="s">
        <v>86</v>
      </c>
      <c r="C133" s="32" t="s">
        <v>240</v>
      </c>
      <c r="D133" s="33">
        <v>275.876</v>
      </c>
      <c r="E133" s="26">
        <f t="shared" si="8"/>
        <v>0</v>
      </c>
      <c r="F133" s="34">
        <f t="shared" si="9"/>
        <v>275.876</v>
      </c>
      <c r="G133" s="33">
        <v>275.876</v>
      </c>
      <c r="H133" s="29"/>
    </row>
    <row r="134" spans="1:8" ht="76.5" customHeight="1">
      <c r="A134" s="28" t="s">
        <v>87</v>
      </c>
      <c r="B134" s="22" t="s">
        <v>86</v>
      </c>
      <c r="C134" s="32" t="s">
        <v>288</v>
      </c>
      <c r="D134" s="33">
        <v>215.23</v>
      </c>
      <c r="E134" s="26">
        <f t="shared" si="8"/>
        <v>0</v>
      </c>
      <c r="F134" s="34">
        <f t="shared" si="9"/>
        <v>215.23</v>
      </c>
      <c r="G134" s="33">
        <v>215.23</v>
      </c>
      <c r="H134" s="29"/>
    </row>
    <row r="135" spans="1:8" ht="57" customHeight="1">
      <c r="A135" s="28" t="s">
        <v>87</v>
      </c>
      <c r="B135" s="22" t="s">
        <v>86</v>
      </c>
      <c r="C135" s="22" t="s">
        <v>196</v>
      </c>
      <c r="D135" s="20">
        <v>219.013</v>
      </c>
      <c r="E135" s="26">
        <f t="shared" si="8"/>
        <v>0</v>
      </c>
      <c r="F135" s="34">
        <f t="shared" si="9"/>
        <v>219.013</v>
      </c>
      <c r="G135" s="20">
        <v>219.013</v>
      </c>
      <c r="H135" s="29"/>
    </row>
    <row r="136" spans="1:8" s="50" customFormat="1" ht="78" customHeight="1">
      <c r="A136" s="28" t="s">
        <v>87</v>
      </c>
      <c r="B136" s="22" t="s">
        <v>86</v>
      </c>
      <c r="C136" s="57" t="s">
        <v>273</v>
      </c>
      <c r="D136" s="45">
        <v>147.134</v>
      </c>
      <c r="E136" s="45">
        <f t="shared" si="8"/>
        <v>0</v>
      </c>
      <c r="F136" s="45">
        <f t="shared" si="9"/>
        <v>147.134</v>
      </c>
      <c r="G136" s="45">
        <v>147.134</v>
      </c>
      <c r="H136" s="58"/>
    </row>
    <row r="137" spans="1:8" s="50" customFormat="1" ht="36.75" customHeight="1">
      <c r="A137" s="28" t="s">
        <v>87</v>
      </c>
      <c r="B137" s="22" t="s">
        <v>86</v>
      </c>
      <c r="C137" s="57" t="s">
        <v>321</v>
      </c>
      <c r="D137" s="20">
        <f>SUM(D138+D139+D140+D141+D142+D143+D144+D145+D146+D147+D148+D149+D150+D151)</f>
        <v>1748.1352000000004</v>
      </c>
      <c r="E137" s="54"/>
      <c r="F137" s="20">
        <f>SUM(F138+F139+F140+F141+F142+F143+F144+F145+F146+F147+F148+F149+F150+F151)</f>
        <v>1667.0491000000002</v>
      </c>
      <c r="G137" s="20">
        <f>SUM(G138+G139+G140+G141+G142+G143+G144+G145+G146+G147+G148+G149+G150+G151)</f>
        <v>1667.0492</v>
      </c>
      <c r="H137" s="58"/>
    </row>
    <row r="138" spans="1:8" s="50" customFormat="1" ht="59.25" customHeight="1">
      <c r="A138" s="41">
        <v>150101</v>
      </c>
      <c r="B138" s="22" t="s">
        <v>86</v>
      </c>
      <c r="C138" s="47" t="s">
        <v>289</v>
      </c>
      <c r="D138" s="20">
        <v>39.509</v>
      </c>
      <c r="E138" s="26">
        <f aca="true" t="shared" si="10" ref="E138:E143">100-(F138/D138)*100</f>
        <v>0</v>
      </c>
      <c r="F138" s="20">
        <f>SUM(D138)</f>
        <v>39.509</v>
      </c>
      <c r="G138" s="20">
        <v>39.509</v>
      </c>
      <c r="H138" s="55"/>
    </row>
    <row r="139" spans="1:8" s="40" customFormat="1" ht="56.25" customHeight="1">
      <c r="A139" s="41">
        <v>150101</v>
      </c>
      <c r="B139" s="22" t="s">
        <v>86</v>
      </c>
      <c r="C139" s="22" t="s">
        <v>290</v>
      </c>
      <c r="D139" s="20">
        <v>37.844</v>
      </c>
      <c r="E139" s="26">
        <f t="shared" si="10"/>
        <v>19.570896311172177</v>
      </c>
      <c r="F139" s="20">
        <f>SUM(D139-7.40641)</f>
        <v>30.43759</v>
      </c>
      <c r="G139" s="20">
        <v>30.438</v>
      </c>
      <c r="H139" s="29"/>
    </row>
    <row r="140" spans="1:8" s="40" customFormat="1" ht="57" customHeight="1">
      <c r="A140" s="41">
        <v>150101</v>
      </c>
      <c r="B140" s="22" t="s">
        <v>86</v>
      </c>
      <c r="C140" s="22" t="s">
        <v>150</v>
      </c>
      <c r="D140" s="20">
        <v>911.047</v>
      </c>
      <c r="E140" s="26">
        <f t="shared" si="10"/>
        <v>2.542719530386478</v>
      </c>
      <c r="F140" s="20">
        <f>SUM(D140-23.16537)</f>
        <v>887.88163</v>
      </c>
      <c r="G140" s="20">
        <v>887.882</v>
      </c>
      <c r="H140" s="29"/>
    </row>
    <row r="141" spans="1:8" s="40" customFormat="1" ht="60.75" customHeight="1">
      <c r="A141" s="41">
        <v>150101</v>
      </c>
      <c r="B141" s="22" t="s">
        <v>86</v>
      </c>
      <c r="C141" s="22" t="s">
        <v>161</v>
      </c>
      <c r="D141" s="20">
        <v>520.135</v>
      </c>
      <c r="E141" s="26">
        <f t="shared" si="10"/>
        <v>3.951043479096782</v>
      </c>
      <c r="F141" s="20">
        <f>SUM(D141-20.55176)+0.001</f>
        <v>499.58423999999997</v>
      </c>
      <c r="G141" s="20">
        <v>499.584</v>
      </c>
      <c r="H141" s="29"/>
    </row>
    <row r="142" spans="1:8" ht="75">
      <c r="A142" s="28" t="s">
        <v>87</v>
      </c>
      <c r="B142" s="22" t="s">
        <v>86</v>
      </c>
      <c r="C142" s="22" t="s">
        <v>291</v>
      </c>
      <c r="D142" s="20">
        <v>79.8828</v>
      </c>
      <c r="E142" s="26">
        <f t="shared" si="10"/>
        <v>0</v>
      </c>
      <c r="F142" s="34">
        <f>SUM(D142)</f>
        <v>79.8828</v>
      </c>
      <c r="G142" s="20">
        <v>79.8828</v>
      </c>
      <c r="H142" s="29"/>
    </row>
    <row r="143" spans="1:8" ht="59.25" customHeight="1">
      <c r="A143" s="28" t="s">
        <v>87</v>
      </c>
      <c r="B143" s="22" t="s">
        <v>86</v>
      </c>
      <c r="C143" s="22" t="s">
        <v>292</v>
      </c>
      <c r="D143" s="20">
        <v>36.0804</v>
      </c>
      <c r="E143" s="26">
        <f t="shared" si="10"/>
        <v>0</v>
      </c>
      <c r="F143" s="34">
        <f>SUM(D143)</f>
        <v>36.0804</v>
      </c>
      <c r="G143" s="20">
        <v>36.0804</v>
      </c>
      <c r="H143" s="29"/>
    </row>
    <row r="144" spans="1:8" s="50" customFormat="1" ht="59.25" customHeight="1">
      <c r="A144" s="28" t="s">
        <v>87</v>
      </c>
      <c r="B144" s="22" t="s">
        <v>86</v>
      </c>
      <c r="C144" s="22" t="s">
        <v>293</v>
      </c>
      <c r="D144" s="37">
        <v>17.708</v>
      </c>
      <c r="E144" s="26">
        <f aca="true" t="shared" si="11" ref="E144:E151">100-(F144/D144)*100</f>
        <v>42.302292749039985</v>
      </c>
      <c r="F144" s="34">
        <f>SUM(D144-7.49189)+0.001</f>
        <v>10.217109999999998</v>
      </c>
      <c r="G144" s="45">
        <v>10.217</v>
      </c>
      <c r="H144" s="58"/>
    </row>
    <row r="145" spans="1:8" s="50" customFormat="1" ht="60" customHeight="1">
      <c r="A145" s="28" t="s">
        <v>87</v>
      </c>
      <c r="B145" s="22" t="s">
        <v>86</v>
      </c>
      <c r="C145" s="22" t="s">
        <v>294</v>
      </c>
      <c r="D145" s="37">
        <v>26.13</v>
      </c>
      <c r="E145" s="26">
        <f t="shared" si="11"/>
        <v>28.667776502104857</v>
      </c>
      <c r="F145" s="34">
        <f>SUM(D145-7.49189)+0.001</f>
        <v>18.63911</v>
      </c>
      <c r="G145" s="45">
        <v>18.639</v>
      </c>
      <c r="H145" s="58"/>
    </row>
    <row r="146" spans="1:8" s="50" customFormat="1" ht="74.25" customHeight="1">
      <c r="A146" s="28" t="s">
        <v>87</v>
      </c>
      <c r="B146" s="22" t="s">
        <v>86</v>
      </c>
      <c r="C146" s="54" t="s">
        <v>295</v>
      </c>
      <c r="D146" s="37">
        <v>26.291</v>
      </c>
      <c r="E146" s="26">
        <f t="shared" si="11"/>
        <v>28.492221672815802</v>
      </c>
      <c r="F146" s="34">
        <f>SUM(D146-7.49189)+0.001</f>
        <v>18.80011</v>
      </c>
      <c r="G146" s="37">
        <v>18.8</v>
      </c>
      <c r="H146" s="58"/>
    </row>
    <row r="147" spans="1:8" s="50" customFormat="1" ht="75" customHeight="1">
      <c r="A147" s="28" t="s">
        <v>87</v>
      </c>
      <c r="B147" s="22" t="s">
        <v>86</v>
      </c>
      <c r="C147" s="54" t="s">
        <v>296</v>
      </c>
      <c r="D147" s="37">
        <v>15.428</v>
      </c>
      <c r="E147" s="26">
        <f t="shared" si="11"/>
        <v>48.553863106040964</v>
      </c>
      <c r="F147" s="34">
        <f>SUM(D147-7.49189)+0.001</f>
        <v>7.937110000000001</v>
      </c>
      <c r="G147" s="45">
        <v>7.937</v>
      </c>
      <c r="H147" s="58"/>
    </row>
    <row r="148" spans="1:8" s="50" customFormat="1" ht="74.25" customHeight="1">
      <c r="A148" s="28" t="s">
        <v>87</v>
      </c>
      <c r="B148" s="22" t="s">
        <v>86</v>
      </c>
      <c r="C148" s="54" t="s">
        <v>297</v>
      </c>
      <c r="D148" s="37">
        <v>9.52</v>
      </c>
      <c r="E148" s="26">
        <f t="shared" si="11"/>
        <v>0</v>
      </c>
      <c r="F148" s="34">
        <f>SUM(D148)</f>
        <v>9.52</v>
      </c>
      <c r="G148" s="37">
        <v>9.52</v>
      </c>
      <c r="H148" s="58"/>
    </row>
    <row r="149" spans="1:8" s="50" customFormat="1" ht="59.25" customHeight="1">
      <c r="A149" s="28" t="s">
        <v>87</v>
      </c>
      <c r="B149" s="22" t="s">
        <v>86</v>
      </c>
      <c r="C149" s="54" t="s">
        <v>298</v>
      </c>
      <c r="D149" s="37">
        <v>9.52</v>
      </c>
      <c r="E149" s="26">
        <f t="shared" si="11"/>
        <v>0</v>
      </c>
      <c r="F149" s="34">
        <f>SUM(D149)</f>
        <v>9.52</v>
      </c>
      <c r="G149" s="37">
        <v>9.52</v>
      </c>
      <c r="H149" s="58"/>
    </row>
    <row r="150" spans="1:8" s="50" customFormat="1" ht="55.5" customHeight="1">
      <c r="A150" s="28" t="s">
        <v>87</v>
      </c>
      <c r="B150" s="22" t="s">
        <v>86</v>
      </c>
      <c r="C150" s="54" t="s">
        <v>299</v>
      </c>
      <c r="D150" s="37">
        <v>9.52</v>
      </c>
      <c r="E150" s="26">
        <f t="shared" si="11"/>
        <v>0</v>
      </c>
      <c r="F150" s="34">
        <f>SUM(D150)</f>
        <v>9.52</v>
      </c>
      <c r="G150" s="37">
        <v>9.52</v>
      </c>
      <c r="H150" s="58"/>
    </row>
    <row r="151" spans="1:8" s="50" customFormat="1" ht="57" customHeight="1">
      <c r="A151" s="28" t="s">
        <v>87</v>
      </c>
      <c r="B151" s="22" t="s">
        <v>86</v>
      </c>
      <c r="C151" s="22" t="s">
        <v>300</v>
      </c>
      <c r="D151" s="37">
        <v>9.52</v>
      </c>
      <c r="E151" s="26">
        <f t="shared" si="11"/>
        <v>0</v>
      </c>
      <c r="F151" s="34">
        <f>SUM(D151)</f>
        <v>9.52</v>
      </c>
      <c r="G151" s="37">
        <v>9.52</v>
      </c>
      <c r="H151" s="58"/>
    </row>
    <row r="152" spans="1:8" s="50" customFormat="1" ht="39" customHeight="1" hidden="1">
      <c r="A152" s="28" t="s">
        <v>87</v>
      </c>
      <c r="B152" s="22" t="s">
        <v>86</v>
      </c>
      <c r="C152" s="99" t="s">
        <v>322</v>
      </c>
      <c r="D152" s="20">
        <f>SUM(D153:D179)</f>
        <v>5973.114</v>
      </c>
      <c r="E152" s="39">
        <f aca="true" t="shared" si="12" ref="E152:E161">100-(F152/D152)*100</f>
        <v>6.1560644916537655</v>
      </c>
      <c r="F152" s="20">
        <f>SUM(F153:F179)</f>
        <v>5605.40525</v>
      </c>
      <c r="G152" s="20">
        <f>SUM(G153+G154+G155+G156+G157+G158+G159+G160+G161+G162+G163+G164+G165+G166+G167+G168+G169+G170+G171+G172+G173+G174+G175+G176+G177+G178+G179)</f>
        <v>5143.828</v>
      </c>
      <c r="H152" s="58"/>
    </row>
    <row r="153" spans="1:8" ht="57.75" customHeight="1">
      <c r="A153" s="28" t="s">
        <v>87</v>
      </c>
      <c r="B153" s="22" t="s">
        <v>86</v>
      </c>
      <c r="C153" s="22" t="s">
        <v>301</v>
      </c>
      <c r="D153" s="38">
        <v>125.555</v>
      </c>
      <c r="E153" s="39">
        <f t="shared" si="12"/>
        <v>7.8275815379713976</v>
      </c>
      <c r="F153" s="38">
        <f>SUM(D153-9.82892)+0.001</f>
        <v>115.72708000000002</v>
      </c>
      <c r="G153" s="20">
        <v>115.727</v>
      </c>
      <c r="H153" s="29"/>
    </row>
    <row r="154" spans="1:8" s="40" customFormat="1" ht="56.25">
      <c r="A154" s="41">
        <v>150101</v>
      </c>
      <c r="B154" s="45" t="s">
        <v>86</v>
      </c>
      <c r="C154" s="22" t="s">
        <v>302</v>
      </c>
      <c r="D154" s="20">
        <v>63.184</v>
      </c>
      <c r="E154" s="26">
        <f t="shared" si="12"/>
        <v>0</v>
      </c>
      <c r="F154" s="20">
        <f>SUM(D154)</f>
        <v>63.184</v>
      </c>
      <c r="G154" s="20">
        <v>63.184</v>
      </c>
      <c r="H154" s="29"/>
    </row>
    <row r="155" spans="1:8" s="40" customFormat="1" ht="56.25">
      <c r="A155" s="41">
        <v>150101</v>
      </c>
      <c r="B155" s="45" t="s">
        <v>86</v>
      </c>
      <c r="C155" s="22" t="s">
        <v>303</v>
      </c>
      <c r="D155" s="20">
        <v>77.509</v>
      </c>
      <c r="E155" s="26">
        <f t="shared" si="12"/>
        <v>0</v>
      </c>
      <c r="F155" s="20">
        <f>SUM(D155)</f>
        <v>77.509</v>
      </c>
      <c r="G155" s="20">
        <v>77.509</v>
      </c>
      <c r="H155" s="29"/>
    </row>
    <row r="156" spans="1:8" s="40" customFormat="1" ht="56.25">
      <c r="A156" s="41">
        <v>150101</v>
      </c>
      <c r="B156" s="22" t="s">
        <v>86</v>
      </c>
      <c r="C156" s="22" t="s">
        <v>304</v>
      </c>
      <c r="D156" s="20">
        <v>88.532</v>
      </c>
      <c r="E156" s="26">
        <f t="shared" si="12"/>
        <v>6.683063750960088</v>
      </c>
      <c r="F156" s="20">
        <f>SUM(D156-5.91765)+0.001</f>
        <v>82.61535</v>
      </c>
      <c r="G156" s="20">
        <v>82.615</v>
      </c>
      <c r="H156" s="29"/>
    </row>
    <row r="157" spans="1:8" s="42" customFormat="1" ht="56.25">
      <c r="A157" s="41">
        <v>150101</v>
      </c>
      <c r="B157" s="45" t="s">
        <v>86</v>
      </c>
      <c r="C157" s="22" t="s">
        <v>305</v>
      </c>
      <c r="D157" s="20">
        <v>160.274</v>
      </c>
      <c r="E157" s="26">
        <f t="shared" si="12"/>
        <v>0</v>
      </c>
      <c r="F157" s="20">
        <f>SUM(D157)</f>
        <v>160.274</v>
      </c>
      <c r="G157" s="20">
        <v>160.274</v>
      </c>
      <c r="H157" s="29"/>
    </row>
    <row r="158" spans="1:8" s="40" customFormat="1" ht="57.75" customHeight="1">
      <c r="A158" s="41">
        <v>150101</v>
      </c>
      <c r="B158" s="22" t="s">
        <v>86</v>
      </c>
      <c r="C158" s="22" t="s">
        <v>306</v>
      </c>
      <c r="D158" s="20">
        <v>122.141</v>
      </c>
      <c r="E158" s="26">
        <f t="shared" si="12"/>
        <v>4.6489139600953</v>
      </c>
      <c r="F158" s="20">
        <f>SUM(D158-5.67823)</f>
        <v>116.46277</v>
      </c>
      <c r="G158" s="20">
        <v>116.463</v>
      </c>
      <c r="H158" s="29"/>
    </row>
    <row r="159" spans="1:8" s="40" customFormat="1" ht="36.75" customHeight="1">
      <c r="A159" s="41">
        <v>150101</v>
      </c>
      <c r="B159" s="22" t="s">
        <v>86</v>
      </c>
      <c r="C159" s="22" t="s">
        <v>307</v>
      </c>
      <c r="D159" s="20">
        <v>88.776</v>
      </c>
      <c r="E159" s="26">
        <f t="shared" si="12"/>
        <v>7.101851851851848</v>
      </c>
      <c r="F159" s="20">
        <f>SUM(D159-4.55874-1.746)</f>
        <v>82.47126</v>
      </c>
      <c r="G159" s="20">
        <v>82.471</v>
      </c>
      <c r="H159" s="29"/>
    </row>
    <row r="160" spans="1:8" s="50" customFormat="1" ht="37.5">
      <c r="A160" s="41">
        <v>150101</v>
      </c>
      <c r="B160" s="45" t="s">
        <v>86</v>
      </c>
      <c r="C160" s="22" t="s">
        <v>308</v>
      </c>
      <c r="D160" s="20">
        <v>56.336</v>
      </c>
      <c r="E160" s="26">
        <f t="shared" si="12"/>
        <v>0</v>
      </c>
      <c r="F160" s="20">
        <f>SUM(D160)</f>
        <v>56.336</v>
      </c>
      <c r="G160" s="20">
        <v>56.336</v>
      </c>
      <c r="H160" s="55"/>
    </row>
    <row r="161" spans="1:8" s="42" customFormat="1" ht="37.5">
      <c r="A161" s="41">
        <v>150101</v>
      </c>
      <c r="B161" s="45" t="s">
        <v>86</v>
      </c>
      <c r="C161" s="22" t="s">
        <v>309</v>
      </c>
      <c r="D161" s="20">
        <v>105.436</v>
      </c>
      <c r="E161" s="26">
        <f t="shared" si="12"/>
        <v>0</v>
      </c>
      <c r="F161" s="20">
        <f>SUM(D161)</f>
        <v>105.436</v>
      </c>
      <c r="G161" s="20">
        <v>105.436</v>
      </c>
      <c r="H161" s="29"/>
    </row>
    <row r="162" spans="1:8" s="50" customFormat="1" ht="57" customHeight="1">
      <c r="A162" s="41">
        <v>150101</v>
      </c>
      <c r="B162" s="22" t="s">
        <v>86</v>
      </c>
      <c r="C162" s="22" t="s">
        <v>310</v>
      </c>
      <c r="D162" s="43">
        <v>149.866</v>
      </c>
      <c r="E162" s="26">
        <f aca="true" t="shared" si="13" ref="E162:E167">100-(F162/D162)*100</f>
        <v>0</v>
      </c>
      <c r="F162" s="20">
        <f aca="true" t="shared" si="14" ref="F162:F171">SUM(D162)</f>
        <v>149.866</v>
      </c>
      <c r="G162" s="43">
        <v>149.866</v>
      </c>
      <c r="H162" s="58"/>
    </row>
    <row r="163" spans="1:8" s="50" customFormat="1" ht="59.25" customHeight="1">
      <c r="A163" s="41">
        <v>150101</v>
      </c>
      <c r="B163" s="22" t="s">
        <v>86</v>
      </c>
      <c r="C163" s="22" t="s">
        <v>311</v>
      </c>
      <c r="D163" s="43">
        <v>148.245</v>
      </c>
      <c r="E163" s="26">
        <f t="shared" si="13"/>
        <v>0</v>
      </c>
      <c r="F163" s="20">
        <f t="shared" si="14"/>
        <v>148.245</v>
      </c>
      <c r="G163" s="43">
        <v>148.245</v>
      </c>
      <c r="H163" s="58"/>
    </row>
    <row r="164" spans="1:8" s="50" customFormat="1" ht="55.5" customHeight="1">
      <c r="A164" s="41">
        <v>150101</v>
      </c>
      <c r="B164" s="22" t="s">
        <v>86</v>
      </c>
      <c r="C164" s="22" t="s">
        <v>312</v>
      </c>
      <c r="D164" s="43">
        <v>167.46</v>
      </c>
      <c r="E164" s="26">
        <f t="shared" si="13"/>
        <v>0</v>
      </c>
      <c r="F164" s="20">
        <f t="shared" si="14"/>
        <v>167.46</v>
      </c>
      <c r="G164" s="43">
        <v>167.46</v>
      </c>
      <c r="H164" s="58"/>
    </row>
    <row r="165" spans="1:8" s="50" customFormat="1" ht="57" customHeight="1">
      <c r="A165" s="41">
        <v>150101</v>
      </c>
      <c r="B165" s="22" t="s">
        <v>86</v>
      </c>
      <c r="C165" s="22" t="s">
        <v>313</v>
      </c>
      <c r="D165" s="43">
        <v>67.493</v>
      </c>
      <c r="E165" s="26">
        <f t="shared" si="13"/>
        <v>0</v>
      </c>
      <c r="F165" s="20">
        <f t="shared" si="14"/>
        <v>67.493</v>
      </c>
      <c r="G165" s="43">
        <v>67.493</v>
      </c>
      <c r="H165" s="58"/>
    </row>
    <row r="166" spans="1:8" s="50" customFormat="1" ht="38.25" customHeight="1">
      <c r="A166" s="41">
        <v>150101</v>
      </c>
      <c r="B166" s="22" t="s">
        <v>86</v>
      </c>
      <c r="C166" s="22" t="s">
        <v>230</v>
      </c>
      <c r="D166" s="37">
        <v>200.557</v>
      </c>
      <c r="E166" s="26">
        <f t="shared" si="13"/>
        <v>0</v>
      </c>
      <c r="F166" s="20">
        <f t="shared" si="14"/>
        <v>200.557</v>
      </c>
      <c r="G166" s="37">
        <v>200.557</v>
      </c>
      <c r="H166" s="58"/>
    </row>
    <row r="167" spans="1:8" s="50" customFormat="1" ht="114.75" customHeight="1">
      <c r="A167" s="41">
        <v>150101</v>
      </c>
      <c r="B167" s="22" t="s">
        <v>86</v>
      </c>
      <c r="C167" s="22" t="s">
        <v>314</v>
      </c>
      <c r="D167" s="20">
        <v>1159.978</v>
      </c>
      <c r="E167" s="26">
        <f t="shared" si="13"/>
        <v>0</v>
      </c>
      <c r="F167" s="20">
        <f t="shared" si="14"/>
        <v>1159.978</v>
      </c>
      <c r="G167" s="20">
        <v>1159.978</v>
      </c>
      <c r="H167" s="58"/>
    </row>
    <row r="168" spans="1:8" s="42" customFormat="1" ht="42.75" customHeight="1">
      <c r="A168" s="41">
        <v>150101</v>
      </c>
      <c r="B168" s="22" t="s">
        <v>86</v>
      </c>
      <c r="C168" s="22" t="s">
        <v>315</v>
      </c>
      <c r="D168" s="20">
        <v>91.4</v>
      </c>
      <c r="E168" s="26">
        <f>100-(F168/D168)*100</f>
        <v>0</v>
      </c>
      <c r="F168" s="20">
        <f t="shared" si="14"/>
        <v>91.4</v>
      </c>
      <c r="G168" s="20">
        <v>91.4</v>
      </c>
      <c r="H168" s="29"/>
    </row>
    <row r="169" spans="1:8" s="42" customFormat="1" ht="39" customHeight="1">
      <c r="A169" s="41">
        <v>150101</v>
      </c>
      <c r="B169" s="22" t="s">
        <v>86</v>
      </c>
      <c r="C169" s="22" t="s">
        <v>316</v>
      </c>
      <c r="D169" s="20">
        <v>112.998</v>
      </c>
      <c r="E169" s="26">
        <f>100-(F169/D169)*100</f>
        <v>0</v>
      </c>
      <c r="F169" s="20">
        <f t="shared" si="14"/>
        <v>112.998</v>
      </c>
      <c r="G169" s="20">
        <v>112.998</v>
      </c>
      <c r="H169" s="29"/>
    </row>
    <row r="170" spans="1:8" s="42" customFormat="1" ht="39" customHeight="1">
      <c r="A170" s="41">
        <v>150101</v>
      </c>
      <c r="B170" s="22" t="s">
        <v>86</v>
      </c>
      <c r="C170" s="22" t="s">
        <v>317</v>
      </c>
      <c r="D170" s="20">
        <v>119.569</v>
      </c>
      <c r="E170" s="26">
        <f>100-(F170/D170)*100</f>
        <v>0</v>
      </c>
      <c r="F170" s="20">
        <f t="shared" si="14"/>
        <v>119.569</v>
      </c>
      <c r="G170" s="20">
        <v>119.569</v>
      </c>
      <c r="H170" s="29"/>
    </row>
    <row r="171" spans="1:8" s="31" customFormat="1" ht="57.75" customHeight="1">
      <c r="A171" s="41">
        <v>150101</v>
      </c>
      <c r="B171" s="45" t="s">
        <v>86</v>
      </c>
      <c r="C171" s="22" t="s">
        <v>191</v>
      </c>
      <c r="D171" s="20">
        <v>985.867</v>
      </c>
      <c r="E171" s="26">
        <v>0</v>
      </c>
      <c r="F171" s="20">
        <f t="shared" si="14"/>
        <v>985.867</v>
      </c>
      <c r="G171" s="20">
        <v>907.895</v>
      </c>
      <c r="H171" s="29"/>
    </row>
    <row r="172" spans="1:8" s="40" customFormat="1" ht="36" customHeight="1">
      <c r="A172" s="41">
        <v>150101</v>
      </c>
      <c r="B172" s="45" t="s">
        <v>86</v>
      </c>
      <c r="C172" s="22" t="s">
        <v>202</v>
      </c>
      <c r="D172" s="20">
        <v>119.099</v>
      </c>
      <c r="E172" s="26">
        <f aca="true" t="shared" si="15" ref="E172:E180">100-(F172/D172)*100</f>
        <v>14.273839410910256</v>
      </c>
      <c r="F172" s="20">
        <f>SUM(D172-17)</f>
        <v>102.099</v>
      </c>
      <c r="G172" s="20">
        <v>91.96</v>
      </c>
      <c r="H172" s="29"/>
    </row>
    <row r="173" spans="1:8" s="42" customFormat="1" ht="56.25" customHeight="1">
      <c r="A173" s="41">
        <v>150101</v>
      </c>
      <c r="B173" s="45" t="s">
        <v>86</v>
      </c>
      <c r="C173" s="22" t="s">
        <v>144</v>
      </c>
      <c r="D173" s="20">
        <v>255.769</v>
      </c>
      <c r="E173" s="26">
        <f t="shared" si="15"/>
        <v>0</v>
      </c>
      <c r="F173" s="20">
        <f>SUM(D173)</f>
        <v>255.769</v>
      </c>
      <c r="G173" s="20">
        <v>245.845</v>
      </c>
      <c r="H173" s="29"/>
    </row>
    <row r="174" spans="1:8" s="42" customFormat="1" ht="60" customHeight="1">
      <c r="A174" s="41">
        <v>150101</v>
      </c>
      <c r="B174" s="45" t="s">
        <v>86</v>
      </c>
      <c r="C174" s="22" t="s">
        <v>145</v>
      </c>
      <c r="D174" s="20">
        <v>488.2</v>
      </c>
      <c r="E174" s="26">
        <f t="shared" si="15"/>
        <v>31.825501843506757</v>
      </c>
      <c r="F174" s="20">
        <f>SUM(D174-155.3721)</f>
        <v>332.8279</v>
      </c>
      <c r="G174" s="20">
        <v>260.852</v>
      </c>
      <c r="H174" s="29"/>
    </row>
    <row r="175" spans="1:8" s="42" customFormat="1" ht="42.75" customHeight="1">
      <c r="A175" s="41">
        <v>150101</v>
      </c>
      <c r="B175" s="45" t="s">
        <v>86</v>
      </c>
      <c r="C175" s="22" t="s">
        <v>318</v>
      </c>
      <c r="D175" s="20">
        <v>171.145</v>
      </c>
      <c r="E175" s="26">
        <f t="shared" si="15"/>
        <v>0</v>
      </c>
      <c r="F175" s="20">
        <f>SUM(D175)</f>
        <v>171.145</v>
      </c>
      <c r="G175" s="20">
        <v>11.308</v>
      </c>
      <c r="H175" s="29"/>
    </row>
    <row r="176" spans="1:8" s="42" customFormat="1" ht="38.25" customHeight="1">
      <c r="A176" s="41">
        <v>150101</v>
      </c>
      <c r="B176" s="45" t="s">
        <v>86</v>
      </c>
      <c r="C176" s="22" t="s">
        <v>146</v>
      </c>
      <c r="D176" s="20">
        <v>118.223</v>
      </c>
      <c r="E176" s="26">
        <f t="shared" si="15"/>
        <v>22.618297623981803</v>
      </c>
      <c r="F176" s="20">
        <f>SUM(D176-26.74003)</f>
        <v>91.48297</v>
      </c>
      <c r="G176" s="20">
        <v>69.506</v>
      </c>
      <c r="H176" s="29"/>
    </row>
    <row r="177" spans="1:8" s="40" customFormat="1" ht="36.75" customHeight="1">
      <c r="A177" s="41">
        <v>150101</v>
      </c>
      <c r="B177" s="45" t="s">
        <v>86</v>
      </c>
      <c r="C177" s="22" t="s">
        <v>147</v>
      </c>
      <c r="D177" s="20">
        <v>394.561</v>
      </c>
      <c r="E177" s="26">
        <f t="shared" si="15"/>
        <v>18.922384624937607</v>
      </c>
      <c r="F177" s="20">
        <f>SUM(D177-9.39935-65.261)</f>
        <v>319.9006499999999</v>
      </c>
      <c r="G177" s="20">
        <v>258.682</v>
      </c>
      <c r="H177" s="29"/>
    </row>
    <row r="178" spans="1:8" s="40" customFormat="1" ht="37.5" customHeight="1">
      <c r="A178" s="41">
        <v>150101</v>
      </c>
      <c r="B178" s="22" t="s">
        <v>86</v>
      </c>
      <c r="C178" s="22" t="s">
        <v>148</v>
      </c>
      <c r="D178" s="20">
        <v>194.639</v>
      </c>
      <c r="E178" s="26">
        <f t="shared" si="15"/>
        <v>20.022621365707806</v>
      </c>
      <c r="F178" s="20">
        <f>SUM(D178-38.97183)</f>
        <v>155.66717</v>
      </c>
      <c r="G178" s="20">
        <v>125.093</v>
      </c>
      <c r="H178" s="29"/>
    </row>
    <row r="179" spans="1:8" s="40" customFormat="1" ht="39" customHeight="1">
      <c r="A179" s="41">
        <v>150101</v>
      </c>
      <c r="B179" s="22" t="s">
        <v>86</v>
      </c>
      <c r="C179" s="22" t="s">
        <v>149</v>
      </c>
      <c r="D179" s="20">
        <v>140.302</v>
      </c>
      <c r="E179" s="26">
        <f t="shared" si="15"/>
        <v>19.41305184530512</v>
      </c>
      <c r="F179" s="20">
        <f>SUM(D179-5.3449-21.892)</f>
        <v>113.0651</v>
      </c>
      <c r="G179" s="20">
        <v>95.106</v>
      </c>
      <c r="H179" s="29"/>
    </row>
    <row r="180" spans="1:8" ht="36" customHeight="1">
      <c r="A180" s="28" t="s">
        <v>87</v>
      </c>
      <c r="B180" s="22" t="s">
        <v>86</v>
      </c>
      <c r="C180" s="22" t="s">
        <v>323</v>
      </c>
      <c r="D180" s="20">
        <f>SUM(D181:D188)</f>
        <v>535.371</v>
      </c>
      <c r="E180" s="26">
        <f t="shared" si="15"/>
        <v>58.65030604944982</v>
      </c>
      <c r="F180" s="20">
        <f>SUM(F181:F188)</f>
        <v>221.37427</v>
      </c>
      <c r="G180" s="20">
        <f>SUM(G181:G188)</f>
        <v>8.828</v>
      </c>
      <c r="H180" s="29" t="s">
        <v>89</v>
      </c>
    </row>
    <row r="181" spans="1:8" s="50" customFormat="1" ht="33" customHeight="1">
      <c r="A181" s="28"/>
      <c r="B181" s="22"/>
      <c r="C181" s="22" t="s">
        <v>137</v>
      </c>
      <c r="D181" s="20">
        <v>68.963</v>
      </c>
      <c r="E181" s="26">
        <f aca="true" t="shared" si="16" ref="E181:E188">100-(F181/D181)*100</f>
        <v>97.52291808651016</v>
      </c>
      <c r="F181" s="20">
        <f>SUM(D181-67.25473)</f>
        <v>1.7082699999999988</v>
      </c>
      <c r="G181" s="37">
        <v>0.41</v>
      </c>
      <c r="H181" s="29"/>
    </row>
    <row r="182" spans="1:8" s="50" customFormat="1" ht="25.5" customHeight="1">
      <c r="A182" s="28"/>
      <c r="B182" s="22"/>
      <c r="C182" s="22" t="s">
        <v>138</v>
      </c>
      <c r="D182" s="20">
        <v>45.522</v>
      </c>
      <c r="E182" s="26">
        <f t="shared" si="16"/>
        <v>13.195905276569562</v>
      </c>
      <c r="F182" s="20">
        <f>SUM(D182-6.00704)</f>
        <v>39.51496</v>
      </c>
      <c r="G182" s="45">
        <v>0.571</v>
      </c>
      <c r="H182" s="29"/>
    </row>
    <row r="183" spans="1:8" s="50" customFormat="1" ht="25.5" customHeight="1">
      <c r="A183" s="28"/>
      <c r="B183" s="22"/>
      <c r="C183" s="22" t="s">
        <v>139</v>
      </c>
      <c r="D183" s="20">
        <v>74.519</v>
      </c>
      <c r="E183" s="26">
        <f t="shared" si="16"/>
        <v>78.58261651390919</v>
      </c>
      <c r="F183" s="20">
        <f>SUM(D183-58.55898)</f>
        <v>15.960020000000007</v>
      </c>
      <c r="G183" s="45">
        <v>1.558</v>
      </c>
      <c r="H183" s="29"/>
    </row>
    <row r="184" spans="1:8" s="50" customFormat="1" ht="25.5" customHeight="1">
      <c r="A184" s="28"/>
      <c r="B184" s="22"/>
      <c r="C184" s="22" t="s">
        <v>140</v>
      </c>
      <c r="D184" s="20">
        <v>75.228</v>
      </c>
      <c r="E184" s="26">
        <f t="shared" si="16"/>
        <v>85.83500824161217</v>
      </c>
      <c r="F184" s="20">
        <f>SUM(D184-64.57196)</f>
        <v>10.65603999999999</v>
      </c>
      <c r="G184" s="45">
        <v>1.692</v>
      </c>
      <c r="H184" s="29"/>
    </row>
    <row r="185" spans="1:8" s="50" customFormat="1" ht="25.5" customHeight="1">
      <c r="A185" s="28"/>
      <c r="B185" s="22"/>
      <c r="C185" s="22" t="s">
        <v>274</v>
      </c>
      <c r="D185" s="20">
        <v>49.702</v>
      </c>
      <c r="E185" s="26">
        <f t="shared" si="16"/>
        <v>77.02174962778159</v>
      </c>
      <c r="F185" s="20">
        <f>SUM(D185-38.28135)</f>
        <v>11.420649999999995</v>
      </c>
      <c r="G185" s="45">
        <v>1.536</v>
      </c>
      <c r="H185" s="29"/>
    </row>
    <row r="186" spans="1:8" s="50" customFormat="1" ht="25.5" customHeight="1">
      <c r="A186" s="28"/>
      <c r="B186" s="22"/>
      <c r="C186" s="22" t="s">
        <v>141</v>
      </c>
      <c r="D186" s="20">
        <v>80.346</v>
      </c>
      <c r="E186" s="26">
        <f t="shared" si="16"/>
        <v>8.715443208124867</v>
      </c>
      <c r="F186" s="20">
        <f>SUM(D186-7.00251)</f>
        <v>73.34349</v>
      </c>
      <c r="G186" s="45">
        <v>0.699</v>
      </c>
      <c r="H186" s="29"/>
    </row>
    <row r="187" spans="1:8" s="50" customFormat="1" ht="25.5" customHeight="1">
      <c r="A187" s="28"/>
      <c r="B187" s="22"/>
      <c r="C187" s="22" t="s">
        <v>142</v>
      </c>
      <c r="D187" s="20">
        <v>65.863</v>
      </c>
      <c r="E187" s="26">
        <f t="shared" si="16"/>
        <v>10.631932951733148</v>
      </c>
      <c r="F187" s="20">
        <f>SUM(D187-7.00251)</f>
        <v>58.86049</v>
      </c>
      <c r="G187" s="45">
        <v>0.656</v>
      </c>
      <c r="H187" s="29"/>
    </row>
    <row r="188" spans="1:8" s="50" customFormat="1" ht="25.5" customHeight="1">
      <c r="A188" s="28"/>
      <c r="B188" s="22"/>
      <c r="C188" s="22" t="s">
        <v>143</v>
      </c>
      <c r="D188" s="20">
        <v>75.228</v>
      </c>
      <c r="E188" s="26">
        <f t="shared" si="16"/>
        <v>86.82624820545543</v>
      </c>
      <c r="F188" s="20">
        <f>SUM(D188-65.31765)</f>
        <v>9.910349999999994</v>
      </c>
      <c r="G188" s="45">
        <v>1.706</v>
      </c>
      <c r="H188" s="29"/>
    </row>
    <row r="189" spans="1:12" s="50" customFormat="1" ht="39.75" customHeight="1">
      <c r="A189" s="128">
        <v>180409</v>
      </c>
      <c r="B189" s="127" t="s">
        <v>246</v>
      </c>
      <c r="C189" s="100" t="s">
        <v>325</v>
      </c>
      <c r="D189" s="80"/>
      <c r="E189" s="80"/>
      <c r="F189" s="80"/>
      <c r="G189" s="80">
        <f>SUM(G190:G194)</f>
        <v>29210.456</v>
      </c>
      <c r="H189" s="87"/>
      <c r="J189" s="85"/>
      <c r="K189" s="85"/>
      <c r="L189" s="85"/>
    </row>
    <row r="190" spans="1:12" s="50" customFormat="1" ht="99.75" customHeight="1">
      <c r="A190" s="128"/>
      <c r="B190" s="127"/>
      <c r="C190" s="47" t="s">
        <v>337</v>
      </c>
      <c r="D190" s="80"/>
      <c r="E190" s="26"/>
      <c r="F190" s="80"/>
      <c r="G190" s="80">
        <v>4463.8</v>
      </c>
      <c r="H190" s="58" t="s">
        <v>249</v>
      </c>
      <c r="J190" s="85"/>
      <c r="K190" s="85"/>
      <c r="L190" s="85"/>
    </row>
    <row r="191" spans="1:12" s="50" customFormat="1" ht="168" customHeight="1">
      <c r="A191" s="128">
        <v>180409</v>
      </c>
      <c r="B191" s="122" t="s">
        <v>246</v>
      </c>
      <c r="C191" s="79" t="s">
        <v>338</v>
      </c>
      <c r="D191" s="80"/>
      <c r="E191" s="26"/>
      <c r="F191" s="80"/>
      <c r="G191" s="80">
        <v>12552.456</v>
      </c>
      <c r="H191" s="58" t="s">
        <v>250</v>
      </c>
      <c r="J191" s="85"/>
      <c r="K191" s="85"/>
      <c r="L191" s="85"/>
    </row>
    <row r="192" spans="1:12" s="50" customFormat="1" ht="110.25" customHeight="1">
      <c r="A192" s="128"/>
      <c r="B192" s="122"/>
      <c r="C192" s="47" t="s">
        <v>333</v>
      </c>
      <c r="D192" s="80"/>
      <c r="E192" s="26"/>
      <c r="F192" s="80"/>
      <c r="G192" s="80">
        <v>1627.76</v>
      </c>
      <c r="H192" s="58" t="s">
        <v>116</v>
      </c>
      <c r="J192" s="85"/>
      <c r="K192" s="85"/>
      <c r="L192" s="85"/>
    </row>
    <row r="193" spans="1:12" s="50" customFormat="1" ht="93" customHeight="1">
      <c r="A193" s="128"/>
      <c r="B193" s="122"/>
      <c r="C193" s="47" t="s">
        <v>247</v>
      </c>
      <c r="D193" s="80"/>
      <c r="E193" s="26"/>
      <c r="F193" s="80"/>
      <c r="G193" s="80">
        <v>5875.64</v>
      </c>
      <c r="H193" s="58" t="s">
        <v>251</v>
      </c>
      <c r="J193" s="85"/>
      <c r="K193" s="85"/>
      <c r="L193" s="85"/>
    </row>
    <row r="194" spans="1:12" s="50" customFormat="1" ht="96" customHeight="1">
      <c r="A194" s="128"/>
      <c r="B194" s="122"/>
      <c r="C194" s="47" t="s">
        <v>248</v>
      </c>
      <c r="D194" s="80"/>
      <c r="E194" s="26"/>
      <c r="F194" s="80"/>
      <c r="G194" s="80">
        <v>4690.8</v>
      </c>
      <c r="H194" s="58" t="s">
        <v>252</v>
      </c>
      <c r="J194" s="85"/>
      <c r="K194" s="85"/>
      <c r="L194" s="85"/>
    </row>
    <row r="195" spans="1:12" s="50" customFormat="1" ht="79.5" customHeight="1">
      <c r="A195" s="41">
        <v>60</v>
      </c>
      <c r="B195" s="22" t="s">
        <v>153</v>
      </c>
      <c r="C195" s="100"/>
      <c r="D195" s="80">
        <f>SUM(D196:D205)</f>
        <v>69505.953</v>
      </c>
      <c r="E195" s="101"/>
      <c r="F195" s="80">
        <f>SUM(F196:F205)</f>
        <v>61312.507</v>
      </c>
      <c r="G195" s="80">
        <f>SUM(G196:G205)</f>
        <v>11428.474</v>
      </c>
      <c r="H195" s="58"/>
      <c r="J195" s="85"/>
      <c r="K195" s="85"/>
      <c r="L195" s="85"/>
    </row>
    <row r="196" spans="1:12" s="50" customFormat="1" ht="36.75" customHeight="1">
      <c r="A196" s="86">
        <v>200700</v>
      </c>
      <c r="B196" s="47" t="s">
        <v>245</v>
      </c>
      <c r="C196" s="47" t="s">
        <v>275</v>
      </c>
      <c r="D196" s="80">
        <v>12057.823</v>
      </c>
      <c r="E196" s="26">
        <f aca="true" t="shared" si="17" ref="E196:E205">100-(F196/D196)*100</f>
        <v>0.5688754926988224</v>
      </c>
      <c r="F196" s="80">
        <v>11989.229</v>
      </c>
      <c r="G196" s="80">
        <v>3000</v>
      </c>
      <c r="H196" s="29" t="s">
        <v>89</v>
      </c>
      <c r="J196" s="85"/>
      <c r="K196" s="85"/>
      <c r="L196" s="85"/>
    </row>
    <row r="197" spans="1:12" s="50" customFormat="1" ht="75.75" customHeight="1">
      <c r="A197" s="86">
        <v>200700</v>
      </c>
      <c r="B197" s="47" t="s">
        <v>245</v>
      </c>
      <c r="C197" s="47" t="s">
        <v>276</v>
      </c>
      <c r="D197" s="80">
        <v>10055.24</v>
      </c>
      <c r="E197" s="26">
        <f t="shared" si="17"/>
        <v>60.33761501465902</v>
      </c>
      <c r="F197" s="80">
        <v>3988.148</v>
      </c>
      <c r="G197" s="80">
        <v>2300</v>
      </c>
      <c r="H197" s="29" t="s">
        <v>89</v>
      </c>
      <c r="J197" s="85"/>
      <c r="K197" s="85"/>
      <c r="L197" s="85"/>
    </row>
    <row r="198" spans="1:12" s="50" customFormat="1" ht="57.75" customHeight="1">
      <c r="A198" s="86">
        <v>200700</v>
      </c>
      <c r="B198" s="47" t="s">
        <v>245</v>
      </c>
      <c r="C198" s="47" t="s">
        <v>277</v>
      </c>
      <c r="D198" s="80">
        <v>12260.502</v>
      </c>
      <c r="E198" s="26">
        <f t="shared" si="17"/>
        <v>0</v>
      </c>
      <c r="F198" s="80">
        <v>12260.502</v>
      </c>
      <c r="G198" s="80">
        <v>1500</v>
      </c>
      <c r="H198" s="29" t="s">
        <v>89</v>
      </c>
      <c r="J198" s="85"/>
      <c r="K198" s="85"/>
      <c r="L198" s="85"/>
    </row>
    <row r="199" spans="1:12" s="50" customFormat="1" ht="56.25" customHeight="1">
      <c r="A199" s="86">
        <v>200700</v>
      </c>
      <c r="B199" s="47" t="s">
        <v>245</v>
      </c>
      <c r="C199" s="47" t="s">
        <v>255</v>
      </c>
      <c r="D199" s="80">
        <v>23980</v>
      </c>
      <c r="E199" s="26">
        <f t="shared" si="17"/>
        <v>0</v>
      </c>
      <c r="F199" s="80">
        <v>23980</v>
      </c>
      <c r="G199" s="80">
        <v>1500</v>
      </c>
      <c r="H199" s="29" t="s">
        <v>89</v>
      </c>
      <c r="J199" s="85"/>
      <c r="K199" s="85"/>
      <c r="L199" s="85"/>
    </row>
    <row r="200" spans="1:12" s="50" customFormat="1" ht="78.75" customHeight="1">
      <c r="A200" s="86">
        <v>200700</v>
      </c>
      <c r="B200" s="47" t="s">
        <v>245</v>
      </c>
      <c r="C200" s="47" t="s">
        <v>256</v>
      </c>
      <c r="D200" s="80">
        <v>5131.557</v>
      </c>
      <c r="E200" s="26">
        <f t="shared" si="17"/>
        <v>6.82833689657933</v>
      </c>
      <c r="F200" s="80">
        <v>4781.157</v>
      </c>
      <c r="G200" s="80">
        <v>1500</v>
      </c>
      <c r="H200" s="29" t="s">
        <v>89</v>
      </c>
      <c r="J200" s="85"/>
      <c r="K200" s="85"/>
      <c r="L200" s="85"/>
    </row>
    <row r="201" spans="1:12" s="50" customFormat="1" ht="57" customHeight="1">
      <c r="A201" s="86">
        <v>200700</v>
      </c>
      <c r="B201" s="47" t="s">
        <v>245</v>
      </c>
      <c r="C201" s="47" t="s">
        <v>278</v>
      </c>
      <c r="D201" s="80">
        <v>1064</v>
      </c>
      <c r="E201" s="26">
        <f t="shared" si="17"/>
        <v>0</v>
      </c>
      <c r="F201" s="80">
        <v>1064</v>
      </c>
      <c r="G201" s="80">
        <v>942</v>
      </c>
      <c r="H201" s="29" t="s">
        <v>89</v>
      </c>
      <c r="J201" s="85"/>
      <c r="K201" s="85"/>
      <c r="L201" s="85"/>
    </row>
    <row r="202" spans="1:12" s="50" customFormat="1" ht="36.75" customHeight="1">
      <c r="A202" s="86">
        <v>200700</v>
      </c>
      <c r="B202" s="47" t="s">
        <v>245</v>
      </c>
      <c r="C202" s="47" t="s">
        <v>257</v>
      </c>
      <c r="D202" s="80">
        <v>4693.146</v>
      </c>
      <c r="E202" s="26">
        <f t="shared" si="17"/>
        <v>36.37986118480012</v>
      </c>
      <c r="F202" s="80">
        <v>2985.786</v>
      </c>
      <c r="G202" s="80">
        <v>422.789</v>
      </c>
      <c r="H202" s="29" t="s">
        <v>89</v>
      </c>
      <c r="J202" s="85"/>
      <c r="K202" s="85"/>
      <c r="L202" s="85"/>
    </row>
    <row r="203" spans="1:12" s="50" customFormat="1" ht="57" customHeight="1">
      <c r="A203" s="86">
        <v>200700</v>
      </c>
      <c r="B203" s="47" t="s">
        <v>245</v>
      </c>
      <c r="C203" s="47" t="s">
        <v>258</v>
      </c>
      <c r="D203" s="80">
        <v>98.641</v>
      </c>
      <c r="E203" s="26">
        <f t="shared" si="17"/>
        <v>0</v>
      </c>
      <c r="F203" s="80">
        <v>98.641</v>
      </c>
      <c r="G203" s="80">
        <v>98.641</v>
      </c>
      <c r="H203" s="29" t="s">
        <v>89</v>
      </c>
      <c r="J203" s="85"/>
      <c r="K203" s="85"/>
      <c r="L203" s="85"/>
    </row>
    <row r="204" spans="1:12" s="50" customFormat="1" ht="57" customHeight="1">
      <c r="A204" s="86">
        <v>200700</v>
      </c>
      <c r="B204" s="47" t="s">
        <v>245</v>
      </c>
      <c r="C204" s="47" t="s">
        <v>259</v>
      </c>
      <c r="D204" s="80">
        <v>84.651</v>
      </c>
      <c r="E204" s="26">
        <f t="shared" si="17"/>
        <v>0</v>
      </c>
      <c r="F204" s="80">
        <v>84.651</v>
      </c>
      <c r="G204" s="80">
        <v>84.651</v>
      </c>
      <c r="H204" s="29" t="s">
        <v>89</v>
      </c>
      <c r="J204" s="85"/>
      <c r="K204" s="85"/>
      <c r="L204" s="85"/>
    </row>
    <row r="205" spans="1:12" s="50" customFormat="1" ht="57" customHeight="1">
      <c r="A205" s="86">
        <v>200700</v>
      </c>
      <c r="B205" s="47" t="s">
        <v>245</v>
      </c>
      <c r="C205" s="47" t="s">
        <v>326</v>
      </c>
      <c r="D205" s="80">
        <v>80.393</v>
      </c>
      <c r="E205" s="26">
        <f t="shared" si="17"/>
        <v>0</v>
      </c>
      <c r="F205" s="80">
        <v>80.393</v>
      </c>
      <c r="G205" s="80">
        <v>80.393</v>
      </c>
      <c r="H205" s="29" t="s">
        <v>89</v>
      </c>
      <c r="J205" s="85"/>
      <c r="K205" s="85"/>
      <c r="L205" s="85"/>
    </row>
    <row r="206" spans="1:8" s="31" customFormat="1" ht="96" customHeight="1">
      <c r="A206" s="76" t="s">
        <v>50</v>
      </c>
      <c r="B206" s="22" t="s">
        <v>122</v>
      </c>
      <c r="C206" s="22"/>
      <c r="D206" s="20">
        <f>SUM(D207+D208+D209+D210)</f>
        <v>3661.593</v>
      </c>
      <c r="E206" s="20"/>
      <c r="F206" s="20">
        <f>SUM(F207+F208+F209+F210)</f>
        <v>2654.77342</v>
      </c>
      <c r="G206" s="20">
        <f>SUM(G207+G208+G209+G210+G211)</f>
        <v>28214.076999999997</v>
      </c>
      <c r="H206" s="83"/>
    </row>
    <row r="207" spans="1:8" s="31" customFormat="1" ht="57" customHeight="1">
      <c r="A207" s="76" t="s">
        <v>87</v>
      </c>
      <c r="B207" s="45" t="s">
        <v>86</v>
      </c>
      <c r="C207" s="22" t="s">
        <v>134</v>
      </c>
      <c r="D207" s="20">
        <v>2355.141</v>
      </c>
      <c r="E207" s="26">
        <f>100-(F207/D207)*100</f>
        <v>29.27977560579174</v>
      </c>
      <c r="F207" s="20">
        <f>SUM(D207-689.58)</f>
        <v>1665.5610000000001</v>
      </c>
      <c r="G207" s="20">
        <v>1665.561</v>
      </c>
      <c r="H207" s="29" t="s">
        <v>89</v>
      </c>
    </row>
    <row r="208" spans="1:8" s="31" customFormat="1" ht="28.5" customHeight="1">
      <c r="A208" s="76" t="s">
        <v>87</v>
      </c>
      <c r="B208" s="45" t="s">
        <v>86</v>
      </c>
      <c r="C208" s="22" t="s">
        <v>189</v>
      </c>
      <c r="D208" s="20">
        <v>600</v>
      </c>
      <c r="E208" s="26">
        <f>100-(F208/D208)*100</f>
        <v>30.063209999999998</v>
      </c>
      <c r="F208" s="20">
        <f>SUM(D208-180.37926)</f>
        <v>419.62074</v>
      </c>
      <c r="G208" s="20">
        <v>419.621</v>
      </c>
      <c r="H208" s="29"/>
    </row>
    <row r="209" spans="1:8" s="31" customFormat="1" ht="27.75" customHeight="1">
      <c r="A209" s="76" t="s">
        <v>87</v>
      </c>
      <c r="B209" s="45" t="s">
        <v>86</v>
      </c>
      <c r="C209" s="22" t="s">
        <v>197</v>
      </c>
      <c r="D209" s="20">
        <v>406.452</v>
      </c>
      <c r="E209" s="26">
        <f>100-(F209/D209)*100</f>
        <v>33.67195142353833</v>
      </c>
      <c r="F209" s="20">
        <f>SUM(D209-136.86032)</f>
        <v>269.59168</v>
      </c>
      <c r="G209" s="20">
        <v>4.415</v>
      </c>
      <c r="H209" s="29"/>
    </row>
    <row r="210" spans="1:8" s="31" customFormat="1" ht="42" customHeight="1">
      <c r="A210" s="76" t="s">
        <v>87</v>
      </c>
      <c r="B210" s="45" t="s">
        <v>86</v>
      </c>
      <c r="C210" s="22" t="s">
        <v>279</v>
      </c>
      <c r="D210" s="20">
        <v>300</v>
      </c>
      <c r="E210" s="26">
        <f>100-(F210/D210)*100</f>
        <v>0</v>
      </c>
      <c r="F210" s="20">
        <f>SUM(D210)</f>
        <v>300</v>
      </c>
      <c r="G210" s="20">
        <v>300</v>
      </c>
      <c r="H210" s="29" t="s">
        <v>89</v>
      </c>
    </row>
    <row r="211" spans="1:9" s="31" customFormat="1" ht="41.25" customHeight="1">
      <c r="A211" s="129" t="s">
        <v>264</v>
      </c>
      <c r="B211" s="123" t="s">
        <v>246</v>
      </c>
      <c r="C211" s="100" t="s">
        <v>324</v>
      </c>
      <c r="D211" s="20"/>
      <c r="E211" s="26"/>
      <c r="F211" s="20"/>
      <c r="G211" s="20">
        <v>25824.48</v>
      </c>
      <c r="H211" s="83"/>
      <c r="I211" s="96"/>
    </row>
    <row r="212" spans="1:8" s="31" customFormat="1" ht="80.25" customHeight="1">
      <c r="A212" s="129"/>
      <c r="B212" s="123"/>
      <c r="C212" s="47" t="s">
        <v>262</v>
      </c>
      <c r="D212" s="20"/>
      <c r="E212" s="26"/>
      <c r="F212" s="20"/>
      <c r="G212" s="20">
        <v>1474.48</v>
      </c>
      <c r="H212" s="29" t="s">
        <v>281</v>
      </c>
    </row>
    <row r="213" spans="1:8" s="31" customFormat="1" ht="75.75" customHeight="1">
      <c r="A213" s="129"/>
      <c r="B213" s="123"/>
      <c r="C213" s="47" t="s">
        <v>0</v>
      </c>
      <c r="D213" s="20"/>
      <c r="E213" s="26"/>
      <c r="F213" s="20"/>
      <c r="G213" s="20">
        <v>23700</v>
      </c>
      <c r="H213" s="29" t="s">
        <v>281</v>
      </c>
    </row>
    <row r="214" spans="1:8" s="31" customFormat="1" ht="78" customHeight="1">
      <c r="A214" s="129"/>
      <c r="B214" s="123"/>
      <c r="C214" s="47" t="s">
        <v>263</v>
      </c>
      <c r="D214" s="20"/>
      <c r="E214" s="26"/>
      <c r="F214" s="20"/>
      <c r="G214" s="20">
        <v>650</v>
      </c>
      <c r="H214" s="29" t="s">
        <v>282</v>
      </c>
    </row>
    <row r="215" spans="1:8" ht="76.5" customHeight="1">
      <c r="A215" s="41">
        <v>73</v>
      </c>
      <c r="B215" s="22" t="s">
        <v>3</v>
      </c>
      <c r="C215" s="22"/>
      <c r="D215" s="20">
        <f>SUM(D216+D219+D220+D217+D218)</f>
        <v>28067.545000000002</v>
      </c>
      <c r="E215" s="20"/>
      <c r="F215" s="20">
        <f>SUM(F216+F219+F220+F217+F218)+0.001</f>
        <v>16316.281350000003</v>
      </c>
      <c r="G215" s="20">
        <f>SUM(G216+G219+G220+G217+G218)</f>
        <v>16316.281</v>
      </c>
      <c r="H215" s="29"/>
    </row>
    <row r="216" spans="1:8" ht="38.25" customHeight="1">
      <c r="A216" s="28" t="s">
        <v>87</v>
      </c>
      <c r="B216" s="22" t="s">
        <v>86</v>
      </c>
      <c r="C216" s="22" t="s">
        <v>123</v>
      </c>
      <c r="D216" s="20">
        <v>13415.939</v>
      </c>
      <c r="E216" s="26">
        <f>100-(F216/D216)*100</f>
        <v>49.656134617189295</v>
      </c>
      <c r="F216" s="20">
        <f>SUM(D216-(2.65228+224.04934+1231.39282+3025.28968+831.30335+1041.19882+305.95144))+0.001</f>
        <v>6754.10227</v>
      </c>
      <c r="G216" s="20">
        <v>6754.102</v>
      </c>
      <c r="H216" s="29" t="s">
        <v>89</v>
      </c>
    </row>
    <row r="217" spans="1:8" ht="57.75" customHeight="1">
      <c r="A217" s="28" t="s">
        <v>87</v>
      </c>
      <c r="B217" s="45" t="s">
        <v>86</v>
      </c>
      <c r="C217" s="22" t="s">
        <v>128</v>
      </c>
      <c r="D217" s="20">
        <v>200</v>
      </c>
      <c r="E217" s="26">
        <f>100-(F217/D217)*100</f>
        <v>24.453675000000004</v>
      </c>
      <c r="F217" s="20">
        <f>SUM(D217-48.90735)</f>
        <v>151.09265</v>
      </c>
      <c r="G217" s="20">
        <v>151.093</v>
      </c>
      <c r="H217" s="29" t="s">
        <v>89</v>
      </c>
    </row>
    <row r="218" spans="1:8" ht="57.75" customHeight="1">
      <c r="A218" s="28" t="s">
        <v>87</v>
      </c>
      <c r="B218" s="22" t="s">
        <v>86</v>
      </c>
      <c r="C218" s="22" t="s">
        <v>129</v>
      </c>
      <c r="D218" s="20">
        <v>172.787</v>
      </c>
      <c r="E218" s="26">
        <f>100-(F218/D218)*100</f>
        <v>14.57129297921719</v>
      </c>
      <c r="F218" s="20">
        <f>SUM(D218-25.1773)</f>
        <v>147.6097</v>
      </c>
      <c r="G218" s="20">
        <v>147.61</v>
      </c>
      <c r="H218" s="29" t="s">
        <v>89</v>
      </c>
    </row>
    <row r="219" spans="1:8" ht="37.5" customHeight="1">
      <c r="A219" s="28" t="s">
        <v>87</v>
      </c>
      <c r="B219" s="22" t="s">
        <v>86</v>
      </c>
      <c r="C219" s="22" t="s">
        <v>124</v>
      </c>
      <c r="D219" s="20">
        <v>168.762</v>
      </c>
      <c r="E219" s="77">
        <f>100-(F219/D219)*100</f>
        <v>25.494951470117684</v>
      </c>
      <c r="F219" s="20">
        <f>SUM(D219-34.48159-8.1492-0.396)+0.001</f>
        <v>125.73621000000001</v>
      </c>
      <c r="G219" s="20">
        <v>125.736</v>
      </c>
      <c r="H219" s="29" t="s">
        <v>89</v>
      </c>
    </row>
    <row r="220" spans="1:8" ht="111.75" customHeight="1">
      <c r="A220" s="28" t="s">
        <v>125</v>
      </c>
      <c r="B220" s="78" t="s">
        <v>126</v>
      </c>
      <c r="C220" s="22" t="s">
        <v>127</v>
      </c>
      <c r="D220" s="20">
        <v>14110.057</v>
      </c>
      <c r="E220" s="26">
        <f>100-(F220/D220)*100</f>
        <v>35.239527948044426</v>
      </c>
      <c r="F220" s="20">
        <f>SUM(D220)-(56.35656+570.604+1000+338.9424+271.5277+862.47196+1642.00706+230.4078)</f>
        <v>9137.739520000001</v>
      </c>
      <c r="G220" s="20">
        <v>9137.74</v>
      </c>
      <c r="H220" s="29" t="s">
        <v>89</v>
      </c>
    </row>
    <row r="221" spans="1:8" ht="99" customHeight="1">
      <c r="A221" s="41">
        <v>92</v>
      </c>
      <c r="B221" s="22" t="s">
        <v>6</v>
      </c>
      <c r="C221" s="22"/>
      <c r="D221" s="20">
        <f>SUM(D222+D223+D224+D225+D226+D227+D228+D229)</f>
        <v>17873.004</v>
      </c>
      <c r="E221" s="26"/>
      <c r="F221" s="20">
        <f>SUM(F222+F223+F224+F225+F226+F227+F228+F229)</f>
        <v>17264.670159999998</v>
      </c>
      <c r="G221" s="20">
        <f>SUM(G222+G223+G224+G225+G226+G227+G228+G229)</f>
        <v>4466.315999999999</v>
      </c>
      <c r="H221" s="29"/>
    </row>
    <row r="222" spans="1:8" ht="36.75" customHeight="1">
      <c r="A222" s="28" t="s">
        <v>87</v>
      </c>
      <c r="B222" s="22" t="s">
        <v>86</v>
      </c>
      <c r="C222" s="22" t="s">
        <v>130</v>
      </c>
      <c r="D222" s="20">
        <v>10000</v>
      </c>
      <c r="E222" s="26">
        <f aca="true" t="shared" si="18" ref="E222:E228">100-(F222/D222)*100</f>
        <v>1.1687439000000097</v>
      </c>
      <c r="F222" s="20">
        <f>SUM(D222-0.85027-116.02412)</f>
        <v>9883.12561</v>
      </c>
      <c r="G222" s="20">
        <v>128.4</v>
      </c>
      <c r="H222" s="29" t="s">
        <v>89</v>
      </c>
    </row>
    <row r="223" spans="1:8" s="31" customFormat="1" ht="73.5" customHeight="1">
      <c r="A223" s="28" t="s">
        <v>87</v>
      </c>
      <c r="B223" s="45" t="s">
        <v>86</v>
      </c>
      <c r="C223" s="22" t="s">
        <v>179</v>
      </c>
      <c r="D223" s="20">
        <v>2129.131</v>
      </c>
      <c r="E223" s="26">
        <f t="shared" si="18"/>
        <v>0</v>
      </c>
      <c r="F223" s="20">
        <f>SUM(D223)</f>
        <v>2129.131</v>
      </c>
      <c r="G223" s="20">
        <v>2129.131</v>
      </c>
      <c r="H223" s="29" t="s">
        <v>89</v>
      </c>
    </row>
    <row r="224" spans="1:8" s="31" customFormat="1" ht="93" customHeight="1">
      <c r="A224" s="28" t="s">
        <v>87</v>
      </c>
      <c r="B224" s="45" t="s">
        <v>86</v>
      </c>
      <c r="C224" s="22" t="s">
        <v>177</v>
      </c>
      <c r="D224" s="20">
        <v>1705.636</v>
      </c>
      <c r="E224" s="26">
        <f t="shared" si="18"/>
        <v>0</v>
      </c>
      <c r="F224" s="20">
        <f>SUM(D224)</f>
        <v>1705.636</v>
      </c>
      <c r="G224" s="20">
        <v>980</v>
      </c>
      <c r="H224" s="29" t="s">
        <v>89</v>
      </c>
    </row>
    <row r="225" spans="1:8" s="31" customFormat="1" ht="60" customHeight="1">
      <c r="A225" s="28" t="s">
        <v>87</v>
      </c>
      <c r="B225" s="45" t="s">
        <v>86</v>
      </c>
      <c r="C225" s="22" t="s">
        <v>178</v>
      </c>
      <c r="D225" s="20">
        <v>1059</v>
      </c>
      <c r="E225" s="26">
        <f t="shared" si="18"/>
        <v>2.6084277620396676</v>
      </c>
      <c r="F225" s="20">
        <f>SUM(D225-27.62325)</f>
        <v>1031.37675</v>
      </c>
      <c r="G225" s="20">
        <v>872.377</v>
      </c>
      <c r="H225" s="29" t="s">
        <v>89</v>
      </c>
    </row>
    <row r="226" spans="1:8" ht="60.75" customHeight="1">
      <c r="A226" s="28" t="s">
        <v>87</v>
      </c>
      <c r="B226" s="22" t="s">
        <v>86</v>
      </c>
      <c r="C226" s="22" t="s">
        <v>235</v>
      </c>
      <c r="D226" s="20">
        <v>2000</v>
      </c>
      <c r="E226" s="26">
        <f t="shared" si="18"/>
        <v>4.432343000000003</v>
      </c>
      <c r="F226" s="20">
        <f>SUM(D226-88.64686)</f>
        <v>1911.35314</v>
      </c>
      <c r="G226" s="20">
        <v>6.748</v>
      </c>
      <c r="H226" s="29" t="s">
        <v>89</v>
      </c>
    </row>
    <row r="227" spans="1:8" ht="58.5" customHeight="1">
      <c r="A227" s="28" t="s">
        <v>87</v>
      </c>
      <c r="B227" s="22" t="s">
        <v>86</v>
      </c>
      <c r="C227" s="22" t="s">
        <v>131</v>
      </c>
      <c r="D227" s="20">
        <v>70</v>
      </c>
      <c r="E227" s="26">
        <f t="shared" si="18"/>
        <v>16.473271428571422</v>
      </c>
      <c r="F227" s="20">
        <f>SUM(D227-11.53129)</f>
        <v>58.46871</v>
      </c>
      <c r="G227" s="20">
        <v>58.468</v>
      </c>
      <c r="H227" s="29" t="s">
        <v>89</v>
      </c>
    </row>
    <row r="228" spans="1:8" ht="57.75" customHeight="1">
      <c r="A228" s="28" t="s">
        <v>87</v>
      </c>
      <c r="B228" s="45" t="s">
        <v>86</v>
      </c>
      <c r="C228" s="22" t="s">
        <v>135</v>
      </c>
      <c r="D228" s="56">
        <v>609.237</v>
      </c>
      <c r="E228" s="26">
        <f t="shared" si="18"/>
        <v>57.854181541830194</v>
      </c>
      <c r="F228" s="20">
        <f>D228-0.68238-254.73094-97.05576</f>
        <v>256.76791999999995</v>
      </c>
      <c r="G228" s="20">
        <v>2.381</v>
      </c>
      <c r="H228" s="29" t="s">
        <v>89</v>
      </c>
    </row>
    <row r="229" spans="1:8" ht="78.75" customHeight="1">
      <c r="A229" s="28" t="s">
        <v>87</v>
      </c>
      <c r="B229" s="22" t="s">
        <v>86</v>
      </c>
      <c r="C229" s="22" t="s">
        <v>234</v>
      </c>
      <c r="D229" s="56">
        <v>300</v>
      </c>
      <c r="E229" s="26">
        <v>0</v>
      </c>
      <c r="F229" s="20">
        <f>SUM(D229-11.18997)+0.001</f>
        <v>288.81102999999996</v>
      </c>
      <c r="G229" s="20">
        <v>288.811</v>
      </c>
      <c r="H229" s="29" t="s">
        <v>89</v>
      </c>
    </row>
    <row r="230" spans="1:8" ht="82.5" customHeight="1">
      <c r="A230" s="41">
        <v>93</v>
      </c>
      <c r="B230" s="22" t="s">
        <v>132</v>
      </c>
      <c r="C230" s="22"/>
      <c r="D230" s="20">
        <f>SUM(D231:D232)</f>
        <v>7513.549</v>
      </c>
      <c r="E230" s="20"/>
      <c r="F230" s="20">
        <f>SUM(F231:F232)</f>
        <v>7314.19752</v>
      </c>
      <c r="G230" s="20">
        <f>SUM(G231:G232)</f>
        <v>6764.198</v>
      </c>
      <c r="H230" s="29"/>
    </row>
    <row r="231" spans="1:8" ht="42" customHeight="1">
      <c r="A231" s="28" t="s">
        <v>87</v>
      </c>
      <c r="B231" s="22" t="s">
        <v>86</v>
      </c>
      <c r="C231" s="22" t="s">
        <v>236</v>
      </c>
      <c r="D231" s="56">
        <v>3463.549</v>
      </c>
      <c r="E231" s="26">
        <f>100-(F231/D231)*100</f>
        <v>5.755699717255325</v>
      </c>
      <c r="F231" s="20">
        <f>D231-195.12536-2.69112-1.535</f>
        <v>3264.19752</v>
      </c>
      <c r="G231" s="45">
        <v>3264.198</v>
      </c>
      <c r="H231" s="29" t="s">
        <v>89</v>
      </c>
    </row>
    <row r="232" spans="1:8" ht="60" customHeight="1">
      <c r="A232" s="28" t="s">
        <v>87</v>
      </c>
      <c r="B232" s="22" t="s">
        <v>86</v>
      </c>
      <c r="C232" s="22" t="s">
        <v>280</v>
      </c>
      <c r="D232" s="20">
        <v>4050</v>
      </c>
      <c r="E232" s="26">
        <f>100-(F232/D232)*100</f>
        <v>0</v>
      </c>
      <c r="F232" s="20">
        <f>SUM(D232)</f>
        <v>4050</v>
      </c>
      <c r="G232" s="20">
        <v>3500</v>
      </c>
      <c r="H232" s="29" t="s">
        <v>89</v>
      </c>
    </row>
    <row r="233" spans="1:8" ht="98.25" customHeight="1">
      <c r="A233" s="41">
        <v>93</v>
      </c>
      <c r="B233" s="22" t="s">
        <v>334</v>
      </c>
      <c r="C233" s="22"/>
      <c r="D233" s="20">
        <f>SUM(D234:D234)</f>
        <v>2500</v>
      </c>
      <c r="E233" s="20"/>
      <c r="F233" s="20">
        <f>SUM(F234:F234)</f>
        <v>2500</v>
      </c>
      <c r="G233" s="20">
        <f>SUM(G234:G234)</f>
        <v>2500</v>
      </c>
      <c r="H233" s="29"/>
    </row>
    <row r="234" spans="1:8" ht="42" customHeight="1" thickBot="1">
      <c r="A234" s="88" t="s">
        <v>87</v>
      </c>
      <c r="B234" s="89" t="s">
        <v>86</v>
      </c>
      <c r="C234" s="112" t="s">
        <v>335</v>
      </c>
      <c r="D234" s="110">
        <v>2500</v>
      </c>
      <c r="E234" s="91">
        <f>100-(F234/D234)*100</f>
        <v>0</v>
      </c>
      <c r="F234" s="90">
        <f>D234</f>
        <v>2500</v>
      </c>
      <c r="G234" s="111">
        <v>2500</v>
      </c>
      <c r="H234" s="82" t="s">
        <v>89</v>
      </c>
    </row>
  </sheetData>
  <sheetProtection/>
  <mergeCells count="21">
    <mergeCell ref="A191:A194"/>
    <mergeCell ref="F1:G1"/>
    <mergeCell ref="F2:G2"/>
    <mergeCell ref="F3:H3"/>
    <mergeCell ref="F4:H4"/>
    <mergeCell ref="F5:H6"/>
    <mergeCell ref="B191:B194"/>
    <mergeCell ref="B211:B214"/>
    <mergeCell ref="A7:H7"/>
    <mergeCell ref="H11:H12"/>
    <mergeCell ref="B189:B190"/>
    <mergeCell ref="A189:A190"/>
    <mergeCell ref="A211:A214"/>
    <mergeCell ref="E11:E12"/>
    <mergeCell ref="A9:H9"/>
    <mergeCell ref="G11:G12"/>
    <mergeCell ref="G8:H8"/>
    <mergeCell ref="D11:D12"/>
    <mergeCell ref="B10:C10"/>
    <mergeCell ref="F11:F12"/>
    <mergeCell ref="C11:C12"/>
  </mergeCells>
  <printOptions/>
  <pageMargins left="0.31496062992125984" right="0.11811023622047245" top="0.984251968503937" bottom="0.15748031496062992" header="0.7086614173228347" footer="0.31496062992125984"/>
  <pageSetup firstPageNumber="50" useFirstPageNumber="1" horizontalDpi="600" verticalDpi="600" orientation="landscape" paperSize="9" scale="7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G60"/>
  <sheetViews>
    <sheetView view="pageBreakPreview" zoomScale="80" zoomScaleSheetLayoutView="80" workbookViewId="0" topLeftCell="A1">
      <selection activeCell="E7" sqref="E7"/>
    </sheetView>
  </sheetViews>
  <sheetFormatPr defaultColWidth="9.140625" defaultRowHeight="15"/>
  <cols>
    <col min="1" max="1" width="19.140625" style="13" customWidth="1"/>
    <col min="2" max="2" width="50.28125" style="13" customWidth="1"/>
    <col min="3" max="3" width="22.140625" style="18" customWidth="1"/>
    <col min="4" max="4" width="18.7109375" style="18" customWidth="1"/>
    <col min="5" max="5" width="29.7109375" style="15" customWidth="1"/>
    <col min="6" max="6" width="20.140625" style="13" customWidth="1"/>
    <col min="7" max="7" width="24.00390625" style="13" customWidth="1"/>
    <col min="8" max="16384" width="9.140625" style="13" customWidth="1"/>
  </cols>
  <sheetData>
    <row r="1" spans="1:4" s="2" customFormat="1" ht="22.5" customHeight="1">
      <c r="A1" s="1"/>
      <c r="B1" s="1"/>
      <c r="C1" s="1"/>
      <c r="D1" s="1" t="s">
        <v>15</v>
      </c>
    </row>
    <row r="2" spans="1:4" s="2" customFormat="1" ht="38.25" customHeight="1">
      <c r="A2" s="135" t="s">
        <v>208</v>
      </c>
      <c r="B2" s="135"/>
      <c r="C2" s="135"/>
      <c r="D2" s="135"/>
    </row>
    <row r="3" spans="1:4" s="2" customFormat="1" ht="22.5" customHeight="1" thickBot="1">
      <c r="A3" s="1"/>
      <c r="B3" s="1"/>
      <c r="C3" s="3"/>
      <c r="D3" s="1" t="s">
        <v>8</v>
      </c>
    </row>
    <row r="4" spans="1:4" s="2" customFormat="1" ht="57.75" customHeight="1">
      <c r="A4" s="4" t="s">
        <v>9</v>
      </c>
      <c r="B4" s="97" t="s">
        <v>2</v>
      </c>
      <c r="C4" s="136" t="s">
        <v>10</v>
      </c>
      <c r="D4" s="137" t="s">
        <v>207</v>
      </c>
    </row>
    <row r="5" spans="1:4" s="2" customFormat="1" ht="59.25" customHeight="1" thickBot="1">
      <c r="A5" s="5" t="s">
        <v>11</v>
      </c>
      <c r="B5" s="98" t="s">
        <v>12</v>
      </c>
      <c r="C5" s="117"/>
      <c r="D5" s="138"/>
    </row>
    <row r="6" spans="1:4" s="2" customFormat="1" ht="18" customHeight="1" thickBot="1">
      <c r="A6" s="6">
        <v>1</v>
      </c>
      <c r="B6" s="7">
        <v>2</v>
      </c>
      <c r="C6" s="7">
        <v>3</v>
      </c>
      <c r="D6" s="8">
        <v>4</v>
      </c>
    </row>
    <row r="7" spans="1:7" s="2" customFormat="1" ht="27.75" customHeight="1">
      <c r="A7" s="9"/>
      <c r="B7" s="97" t="s">
        <v>13</v>
      </c>
      <c r="C7" s="113"/>
      <c r="D7" s="114">
        <f>SUM(D8+D10+D22+D29+D32+D38+D45+D48+D52+D55+D57)</f>
        <v>306334.165</v>
      </c>
      <c r="E7" s="81"/>
      <c r="G7" s="10"/>
    </row>
    <row r="8" spans="1:5" s="2" customFormat="1" ht="27.75" customHeight="1">
      <c r="A8" s="60" t="s">
        <v>16</v>
      </c>
      <c r="B8" s="19" t="s">
        <v>59</v>
      </c>
      <c r="C8" s="19"/>
      <c r="D8" s="11">
        <f>SUM(D9)</f>
        <v>3148.845</v>
      </c>
      <c r="E8" s="10"/>
    </row>
    <row r="9" spans="1:4" s="2" customFormat="1" ht="27.75" customHeight="1">
      <c r="A9" s="60" t="s">
        <v>17</v>
      </c>
      <c r="B9" s="19" t="s">
        <v>18</v>
      </c>
      <c r="C9" s="61" t="s">
        <v>19</v>
      </c>
      <c r="D9" s="11">
        <v>3148.845</v>
      </c>
    </row>
    <row r="10" spans="1:5" ht="37.5" customHeight="1">
      <c r="A10" s="115">
        <v>10</v>
      </c>
      <c r="B10" s="19" t="s">
        <v>4</v>
      </c>
      <c r="C10" s="19"/>
      <c r="D10" s="11">
        <f>SUM(D11:D21)</f>
        <v>9425.699999999999</v>
      </c>
      <c r="E10" s="10"/>
    </row>
    <row r="11" spans="1:5" ht="27.75" customHeight="1">
      <c r="A11" s="60" t="s">
        <v>21</v>
      </c>
      <c r="B11" s="12" t="s">
        <v>22</v>
      </c>
      <c r="C11" s="61" t="s">
        <v>19</v>
      </c>
      <c r="D11" s="11">
        <v>4243.591</v>
      </c>
      <c r="E11" s="10"/>
    </row>
    <row r="12" spans="1:5" ht="75.75" customHeight="1">
      <c r="A12" s="60" t="s">
        <v>23</v>
      </c>
      <c r="B12" s="19" t="s">
        <v>24</v>
      </c>
      <c r="C12" s="61" t="s">
        <v>19</v>
      </c>
      <c r="D12" s="11">
        <v>4585.14</v>
      </c>
      <c r="E12" s="10"/>
    </row>
    <row r="13" spans="1:5" ht="26.25" customHeight="1">
      <c r="A13" s="59" t="s">
        <v>62</v>
      </c>
      <c r="B13" s="19" t="s">
        <v>63</v>
      </c>
      <c r="C13" s="61" t="s">
        <v>19</v>
      </c>
      <c r="D13" s="11">
        <v>21.5</v>
      </c>
      <c r="E13" s="10"/>
    </row>
    <row r="14" spans="1:6" ht="38.25" customHeight="1">
      <c r="A14" s="60" t="s">
        <v>25</v>
      </c>
      <c r="B14" s="19" t="s">
        <v>26</v>
      </c>
      <c r="C14" s="61" t="s">
        <v>19</v>
      </c>
      <c r="D14" s="11">
        <v>249.874</v>
      </c>
      <c r="E14" s="10"/>
      <c r="F14" s="2"/>
    </row>
    <row r="15" spans="1:6" ht="37.5" customHeight="1">
      <c r="A15" s="60" t="s">
        <v>156</v>
      </c>
      <c r="B15" s="19" t="s">
        <v>157</v>
      </c>
      <c r="C15" s="61" t="s">
        <v>19</v>
      </c>
      <c r="D15" s="11">
        <v>15</v>
      </c>
      <c r="E15" s="10"/>
      <c r="F15" s="2"/>
    </row>
    <row r="16" spans="1:6" ht="76.5" customHeight="1">
      <c r="A16" s="60" t="s">
        <v>241</v>
      </c>
      <c r="B16" s="19" t="s">
        <v>242</v>
      </c>
      <c r="C16" s="61" t="s">
        <v>19</v>
      </c>
      <c r="D16" s="11">
        <v>17.4</v>
      </c>
      <c r="E16" s="10"/>
      <c r="F16" s="2"/>
    </row>
    <row r="17" spans="1:6" ht="39" customHeight="1">
      <c r="A17" s="60" t="s">
        <v>71</v>
      </c>
      <c r="B17" s="19" t="s">
        <v>72</v>
      </c>
      <c r="C17" s="61" t="s">
        <v>19</v>
      </c>
      <c r="D17" s="11">
        <v>197.485</v>
      </c>
      <c r="E17" s="10"/>
      <c r="F17" s="2"/>
    </row>
    <row r="18" spans="1:6" ht="39" customHeight="1">
      <c r="A18" s="60" t="s">
        <v>243</v>
      </c>
      <c r="B18" s="19" t="s">
        <v>187</v>
      </c>
      <c r="C18" s="61" t="s">
        <v>19</v>
      </c>
      <c r="D18" s="11">
        <v>58.71</v>
      </c>
      <c r="E18" s="10"/>
      <c r="F18" s="2"/>
    </row>
    <row r="19" spans="1:5" ht="36.75" customHeight="1">
      <c r="A19" s="60" t="s">
        <v>186</v>
      </c>
      <c r="B19" s="12" t="s">
        <v>187</v>
      </c>
      <c r="C19" s="61" t="s">
        <v>19</v>
      </c>
      <c r="D19" s="11">
        <v>10</v>
      </c>
      <c r="E19" s="10"/>
    </row>
    <row r="20" spans="1:5" ht="37.5" customHeight="1">
      <c r="A20" s="59" t="s">
        <v>64</v>
      </c>
      <c r="B20" s="19" t="s">
        <v>65</v>
      </c>
      <c r="C20" s="61" t="s">
        <v>19</v>
      </c>
      <c r="D20" s="11">
        <v>21</v>
      </c>
      <c r="E20" s="10"/>
    </row>
    <row r="21" spans="1:5" ht="37.5" customHeight="1">
      <c r="A21" s="59" t="s">
        <v>244</v>
      </c>
      <c r="B21" s="19" t="s">
        <v>245</v>
      </c>
      <c r="C21" s="61" t="s">
        <v>19</v>
      </c>
      <c r="D21" s="11">
        <v>6</v>
      </c>
      <c r="E21" s="10"/>
    </row>
    <row r="22" spans="1:6" ht="39" customHeight="1">
      <c r="A22" s="115">
        <v>14</v>
      </c>
      <c r="B22" s="19" t="s">
        <v>27</v>
      </c>
      <c r="C22" s="61"/>
      <c r="D22" s="11">
        <f>SUM(D23:D28)</f>
        <v>16833.502</v>
      </c>
      <c r="E22" s="10"/>
      <c r="F22" s="2"/>
    </row>
    <row r="23" spans="1:4" s="2" customFormat="1" ht="29.25" customHeight="1">
      <c r="A23" s="60" t="s">
        <v>17</v>
      </c>
      <c r="B23" s="19" t="s">
        <v>18</v>
      </c>
      <c r="C23" s="61" t="s">
        <v>19</v>
      </c>
      <c r="D23" s="11">
        <v>78.056</v>
      </c>
    </row>
    <row r="24" spans="1:6" ht="29.25" customHeight="1">
      <c r="A24" s="60" t="s">
        <v>28</v>
      </c>
      <c r="B24" s="12" t="s">
        <v>29</v>
      </c>
      <c r="C24" s="61" t="s">
        <v>19</v>
      </c>
      <c r="D24" s="11">
        <v>14855.286</v>
      </c>
      <c r="E24" s="10"/>
      <c r="F24" s="2"/>
    </row>
    <row r="25" spans="1:6" ht="29.25" customHeight="1">
      <c r="A25" s="60" t="s">
        <v>30</v>
      </c>
      <c r="B25" s="19" t="s">
        <v>31</v>
      </c>
      <c r="C25" s="61" t="s">
        <v>19</v>
      </c>
      <c r="D25" s="11">
        <v>559.152</v>
      </c>
      <c r="E25" s="10"/>
      <c r="F25" s="2"/>
    </row>
    <row r="26" spans="1:6" ht="58.5" customHeight="1">
      <c r="A26" s="60" t="s">
        <v>32</v>
      </c>
      <c r="B26" s="19" t="s">
        <v>33</v>
      </c>
      <c r="C26" s="61" t="s">
        <v>19</v>
      </c>
      <c r="D26" s="11">
        <v>4.4</v>
      </c>
      <c r="E26" s="10"/>
      <c r="F26" s="2"/>
    </row>
    <row r="27" spans="1:5" ht="39.75" customHeight="1">
      <c r="A27" s="60" t="s">
        <v>60</v>
      </c>
      <c r="B27" s="12" t="s">
        <v>61</v>
      </c>
      <c r="C27" s="61" t="s">
        <v>19</v>
      </c>
      <c r="D27" s="11">
        <v>23.4</v>
      </c>
      <c r="E27" s="10"/>
    </row>
    <row r="28" spans="1:5" ht="41.25" customHeight="1">
      <c r="A28" s="60" t="s">
        <v>73</v>
      </c>
      <c r="B28" s="12" t="s">
        <v>74</v>
      </c>
      <c r="C28" s="61" t="s">
        <v>19</v>
      </c>
      <c r="D28" s="11">
        <v>1313.208</v>
      </c>
      <c r="E28" s="10"/>
    </row>
    <row r="29" spans="1:6" ht="43.5" customHeight="1">
      <c r="A29" s="115">
        <v>15</v>
      </c>
      <c r="B29" s="19" t="s">
        <v>5</v>
      </c>
      <c r="C29" s="61"/>
      <c r="D29" s="11">
        <f>SUM(D30:D31)</f>
        <v>1855.6009999999999</v>
      </c>
      <c r="E29" s="10"/>
      <c r="F29" s="2"/>
    </row>
    <row r="30" spans="1:5" ht="28.5" customHeight="1">
      <c r="A30" s="60" t="s">
        <v>17</v>
      </c>
      <c r="B30" s="12" t="s">
        <v>18</v>
      </c>
      <c r="C30" s="61" t="s">
        <v>19</v>
      </c>
      <c r="D30" s="11">
        <v>1261.522</v>
      </c>
      <c r="E30" s="10"/>
    </row>
    <row r="31" spans="1:6" ht="39.75" customHeight="1">
      <c r="A31" s="60" t="s">
        <v>54</v>
      </c>
      <c r="B31" s="14" t="s">
        <v>55</v>
      </c>
      <c r="C31" s="61" t="s">
        <v>19</v>
      </c>
      <c r="D31" s="11">
        <v>594.079</v>
      </c>
      <c r="E31" s="10"/>
      <c r="F31" s="2"/>
    </row>
    <row r="32" spans="1:6" ht="39" customHeight="1">
      <c r="A32" s="115">
        <v>24</v>
      </c>
      <c r="B32" s="19" t="s">
        <v>34</v>
      </c>
      <c r="C32" s="61"/>
      <c r="D32" s="11">
        <f>SUM(D33:D37)</f>
        <v>1950.1080000000002</v>
      </c>
      <c r="E32" s="10"/>
      <c r="F32" s="2"/>
    </row>
    <row r="33" spans="1:5" ht="27.75" customHeight="1">
      <c r="A33" s="60" t="s">
        <v>35</v>
      </c>
      <c r="B33" s="12" t="s">
        <v>36</v>
      </c>
      <c r="C33" s="61" t="s">
        <v>19</v>
      </c>
      <c r="D33" s="11">
        <v>75.227</v>
      </c>
      <c r="E33" s="10"/>
    </row>
    <row r="34" spans="1:5" ht="27.75" customHeight="1">
      <c r="A34" s="60" t="s">
        <v>37</v>
      </c>
      <c r="B34" s="12" t="s">
        <v>38</v>
      </c>
      <c r="C34" s="61" t="s">
        <v>19</v>
      </c>
      <c r="D34" s="11">
        <v>756.243</v>
      </c>
      <c r="E34" s="10"/>
    </row>
    <row r="35" spans="1:5" ht="37.5">
      <c r="A35" s="60" t="s">
        <v>39</v>
      </c>
      <c r="B35" s="12" t="s">
        <v>40</v>
      </c>
      <c r="C35" s="61" t="s">
        <v>19</v>
      </c>
      <c r="D35" s="11">
        <v>724.013</v>
      </c>
      <c r="E35" s="10"/>
    </row>
    <row r="36" spans="1:5" ht="28.5" customHeight="1">
      <c r="A36" s="60" t="s">
        <v>41</v>
      </c>
      <c r="B36" s="19" t="s">
        <v>42</v>
      </c>
      <c r="C36" s="61" t="s">
        <v>19</v>
      </c>
      <c r="D36" s="11">
        <v>343.625</v>
      </c>
      <c r="E36" s="10"/>
    </row>
    <row r="37" spans="1:5" ht="28.5" customHeight="1">
      <c r="A37" s="60" t="s">
        <v>43</v>
      </c>
      <c r="B37" s="19" t="s">
        <v>44</v>
      </c>
      <c r="C37" s="61" t="s">
        <v>19</v>
      </c>
      <c r="D37" s="11">
        <v>51</v>
      </c>
      <c r="E37" s="10"/>
    </row>
    <row r="38" spans="1:5" ht="36" customHeight="1">
      <c r="A38" s="115">
        <v>40</v>
      </c>
      <c r="B38" s="19" t="s">
        <v>56</v>
      </c>
      <c r="C38" s="61"/>
      <c r="D38" s="11">
        <f>SUM(D39:D44)</f>
        <v>261566.97400000002</v>
      </c>
      <c r="E38" s="10"/>
    </row>
    <row r="39" spans="1:5" ht="39" customHeight="1">
      <c r="A39" s="60" t="s">
        <v>45</v>
      </c>
      <c r="B39" s="12" t="s">
        <v>46</v>
      </c>
      <c r="C39" s="61" t="s">
        <v>19</v>
      </c>
      <c r="D39" s="11">
        <v>226694.01</v>
      </c>
      <c r="E39" s="10"/>
    </row>
    <row r="40" spans="1:5" ht="59.25" customHeight="1">
      <c r="A40" s="60" t="s">
        <v>67</v>
      </c>
      <c r="B40" s="12" t="s">
        <v>68</v>
      </c>
      <c r="C40" s="61" t="s">
        <v>19</v>
      </c>
      <c r="D40" s="11">
        <v>2005.589</v>
      </c>
      <c r="E40" s="10"/>
    </row>
    <row r="41" spans="1:5" ht="27.75" customHeight="1">
      <c r="A41" s="60" t="s">
        <v>49</v>
      </c>
      <c r="B41" s="19" t="s">
        <v>57</v>
      </c>
      <c r="C41" s="61" t="s">
        <v>19</v>
      </c>
      <c r="D41" s="11">
        <v>1940.965</v>
      </c>
      <c r="E41" s="10"/>
    </row>
    <row r="42" spans="1:5" ht="57.75" customHeight="1">
      <c r="A42" s="60" t="s">
        <v>253</v>
      </c>
      <c r="B42" s="12" t="s">
        <v>254</v>
      </c>
      <c r="C42" s="61" t="s">
        <v>19</v>
      </c>
      <c r="D42" s="11">
        <v>26621.486</v>
      </c>
      <c r="E42" s="10"/>
    </row>
    <row r="43" spans="1:5" ht="28.5" customHeight="1">
      <c r="A43" s="60" t="s">
        <v>244</v>
      </c>
      <c r="B43" s="12" t="s">
        <v>245</v>
      </c>
      <c r="C43" s="61" t="s">
        <v>19</v>
      </c>
      <c r="D43" s="11">
        <v>3823.526</v>
      </c>
      <c r="E43" s="10"/>
    </row>
    <row r="44" spans="1:5" ht="28.5" customHeight="1">
      <c r="A44" s="60" t="s">
        <v>47</v>
      </c>
      <c r="B44" s="12" t="s">
        <v>20</v>
      </c>
      <c r="C44" s="61" t="s">
        <v>19</v>
      </c>
      <c r="D44" s="11">
        <v>481.398</v>
      </c>
      <c r="E44" s="10"/>
    </row>
    <row r="45" spans="1:5" ht="39.75" customHeight="1">
      <c r="A45" s="115">
        <v>48</v>
      </c>
      <c r="B45" s="19" t="s">
        <v>77</v>
      </c>
      <c r="C45" s="61" t="s">
        <v>48</v>
      </c>
      <c r="D45" s="11">
        <f>SUM(D46:D47)</f>
        <v>1175.29</v>
      </c>
      <c r="E45" s="10"/>
    </row>
    <row r="46" spans="1:5" ht="58.5" customHeight="1">
      <c r="A46" s="60" t="s">
        <v>151</v>
      </c>
      <c r="B46" s="12" t="s">
        <v>152</v>
      </c>
      <c r="C46" s="61" t="s">
        <v>339</v>
      </c>
      <c r="D46" s="11">
        <v>887.56</v>
      </c>
      <c r="E46" s="10"/>
    </row>
    <row r="47" spans="1:5" ht="76.5" customHeight="1">
      <c r="A47" s="60" t="s">
        <v>47</v>
      </c>
      <c r="B47" s="19" t="s">
        <v>20</v>
      </c>
      <c r="C47" s="61" t="s">
        <v>340</v>
      </c>
      <c r="D47" s="11">
        <v>287.73</v>
      </c>
      <c r="E47" s="10"/>
    </row>
    <row r="48" spans="1:5" ht="53.25" customHeight="1">
      <c r="A48" s="60" t="s">
        <v>50</v>
      </c>
      <c r="B48" s="19" t="s">
        <v>51</v>
      </c>
      <c r="C48" s="19"/>
      <c r="D48" s="11">
        <f>SUM(D49:D51)</f>
        <v>8686.806</v>
      </c>
      <c r="E48" s="10"/>
    </row>
    <row r="49" spans="1:5" ht="24.75" customHeight="1">
      <c r="A49" s="60" t="s">
        <v>17</v>
      </c>
      <c r="B49" s="12" t="s">
        <v>18</v>
      </c>
      <c r="C49" s="61" t="s">
        <v>19</v>
      </c>
      <c r="D49" s="11">
        <v>6.986</v>
      </c>
      <c r="E49" s="10"/>
    </row>
    <row r="50" spans="1:5" ht="37.5" customHeight="1">
      <c r="A50" s="60" t="s">
        <v>69</v>
      </c>
      <c r="B50" s="12" t="s">
        <v>70</v>
      </c>
      <c r="C50" s="61" t="s">
        <v>19</v>
      </c>
      <c r="D50" s="11">
        <v>8536.295</v>
      </c>
      <c r="E50" s="10"/>
    </row>
    <row r="51" spans="1:5" ht="27.75" customHeight="1">
      <c r="A51" s="60" t="s">
        <v>260</v>
      </c>
      <c r="B51" s="12" t="s">
        <v>261</v>
      </c>
      <c r="C51" s="61" t="s">
        <v>19</v>
      </c>
      <c r="D51" s="11">
        <v>143.525</v>
      </c>
      <c r="E51" s="10"/>
    </row>
    <row r="52" spans="1:5" ht="55.5" customHeight="1">
      <c r="A52" s="115">
        <v>67</v>
      </c>
      <c r="B52" s="19" t="s">
        <v>58</v>
      </c>
      <c r="C52" s="61"/>
      <c r="D52" s="11">
        <f>SUM(D53:D54)</f>
        <v>1531.097</v>
      </c>
      <c r="E52" s="10"/>
    </row>
    <row r="53" spans="1:5" ht="58.5" customHeight="1">
      <c r="A53" s="60" t="s">
        <v>7</v>
      </c>
      <c r="B53" s="19" t="s">
        <v>14</v>
      </c>
      <c r="C53" s="61" t="s">
        <v>19</v>
      </c>
      <c r="D53" s="11">
        <v>1256.377</v>
      </c>
      <c r="E53" s="10"/>
    </row>
    <row r="54" spans="1:5" ht="27.75" customHeight="1">
      <c r="A54" s="60" t="s">
        <v>52</v>
      </c>
      <c r="B54" s="19" t="s">
        <v>53</v>
      </c>
      <c r="C54" s="61" t="s">
        <v>19</v>
      </c>
      <c r="D54" s="11">
        <v>274.72</v>
      </c>
      <c r="E54" s="10"/>
    </row>
    <row r="55" spans="1:5" ht="40.5" customHeight="1">
      <c r="A55" s="60">
        <v>73</v>
      </c>
      <c r="B55" s="19" t="s">
        <v>3</v>
      </c>
      <c r="C55" s="61"/>
      <c r="D55" s="11">
        <f>SUM(D56)</f>
        <v>158.701</v>
      </c>
      <c r="E55" s="10"/>
    </row>
    <row r="56" spans="1:5" ht="26.25" customHeight="1">
      <c r="A56" s="60" t="s">
        <v>17</v>
      </c>
      <c r="B56" s="12" t="s">
        <v>18</v>
      </c>
      <c r="C56" s="61" t="s">
        <v>19</v>
      </c>
      <c r="D56" s="11">
        <v>158.701</v>
      </c>
      <c r="E56" s="10"/>
    </row>
    <row r="57" spans="1:5" ht="44.25" customHeight="1">
      <c r="A57" s="60" t="s">
        <v>75</v>
      </c>
      <c r="B57" s="12" t="s">
        <v>76</v>
      </c>
      <c r="C57" s="116"/>
      <c r="D57" s="11">
        <f>SUM(D58)</f>
        <v>1.541</v>
      </c>
      <c r="E57" s="10"/>
    </row>
    <row r="58" spans="1:5" ht="33" customHeight="1" thickBot="1">
      <c r="A58" s="92" t="s">
        <v>17</v>
      </c>
      <c r="B58" s="93" t="s">
        <v>66</v>
      </c>
      <c r="C58" s="94" t="s">
        <v>19</v>
      </c>
      <c r="D58" s="95">
        <v>1.541</v>
      </c>
      <c r="E58" s="10"/>
    </row>
    <row r="59" spans="1:4" ht="24" customHeight="1">
      <c r="A59" s="141"/>
      <c r="B59" s="141"/>
      <c r="C59" s="141"/>
      <c r="D59" s="141"/>
    </row>
    <row r="60" spans="1:5" s="17" customFormat="1" ht="86.25" customHeight="1">
      <c r="A60" s="139" t="s">
        <v>158</v>
      </c>
      <c r="B60" s="139"/>
      <c r="C60" s="140" t="s">
        <v>159</v>
      </c>
      <c r="D60" s="140"/>
      <c r="E60" s="16"/>
    </row>
    <row r="61" ht="18.75" hidden="1"/>
  </sheetData>
  <sheetProtection/>
  <mergeCells count="6">
    <mergeCell ref="A2:D2"/>
    <mergeCell ref="C4:C5"/>
    <mergeCell ref="D4:D5"/>
    <mergeCell ref="A60:B60"/>
    <mergeCell ref="C60:D60"/>
    <mergeCell ref="A59:D59"/>
  </mergeCells>
  <printOptions/>
  <pageMargins left="0.9055118110236221" right="0.31496062992125984" top="0.5511811023622047" bottom="0.35433070866141736" header="0.31496062992125984" footer="0.31496062992125984"/>
  <pageSetup firstPageNumber="71"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2015-01-26T07:34:55Z</cp:lastPrinted>
  <dcterms:created xsi:type="dcterms:W3CDTF">2010-08-18T08:39:04Z</dcterms:created>
  <dcterms:modified xsi:type="dcterms:W3CDTF">2015-02-05T12:28:00Z</dcterms:modified>
  <cp:category/>
  <cp:version/>
  <cp:contentType/>
  <cp:contentStatus/>
</cp:coreProperties>
</file>