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65" yWindow="65521" windowWidth="11970" windowHeight="9810" activeTab="1"/>
  </bookViews>
  <sheets>
    <sheet name="таб. 3.1" sheetId="1" r:id="rId1"/>
    <sheet name="таб. 3.2" sheetId="2" r:id="rId2"/>
  </sheets>
  <definedNames>
    <definedName name="_xlnm.Print_Titles" localSheetId="0">'таб. 3.1'!$10:$10</definedName>
    <definedName name="_xlnm.Print_Titles" localSheetId="1">'таб. 3.2'!$6:$6</definedName>
    <definedName name="_xlnm.Print_Area" localSheetId="0">'таб. 3.1'!$A$1:$I$421</definedName>
    <definedName name="_xlnm.Print_Area" localSheetId="1">'таб. 3.2'!$A$1:$F$125</definedName>
  </definedNames>
  <calcPr fullCalcOnLoad="1"/>
</workbook>
</file>

<file path=xl/sharedStrings.xml><?xml version="1.0" encoding="utf-8"?>
<sst xmlns="http://schemas.openxmlformats.org/spreadsheetml/2006/main" count="1400" uniqueCount="645">
  <si>
    <t>Погашено заборгованість за придбання обладнання та виконання робіт у минулому році</t>
  </si>
  <si>
    <t>Погашено заборгованість за придбання медичного обладнання 16 од., зокрема: флюорограф для КУ „Центральна поліклініка Жовтневого району”, сумки-укладки з набором для сімейного лікаря та медичної сестри 15 од. для КУ „Міська поліклініка ім.8 Марта”</t>
  </si>
  <si>
    <t>Придбано медичне обладнання 51 од., зокрема: комплекс лапароскопічний хірургічний для виконання малоінвазивних втручань в гінекології, цифрова ультразвукова система, блок принтера для маммографу для КУОЗ „Пологовий будинок №1”, система ультразвукова діагностична для КЗ „Пологовий будинок №4”. Придбано дизель-генератор для КУОЗ „Пологовий будинок №1”</t>
  </si>
  <si>
    <t>Придбано медичне обладнання 91 од., зокрема: апарат штучної вентиляції легенів та бронхофіброскоп для КУ „Запорізька міська багатопрофільна дитяча лікарня №5”, вузол трубки до томографу для КУ „Міська клінічна лікарня екстреної та швидкої медичної допомоги м.Запоріжжя”, дизель-генератор для КУ „Запорізька міська багатопрофільна клінічна лікарня №9”,  10 од. комп'ютерів. Виконано капітальний ремонт мереж тепло-водопостачання в КЗ "Центральна клінічна лікарня №4 Заводського району", а саме заміну мереж холодного водопостачання 115 м, гарячого водопостачання 94 м.  Виконано капітального ремонту 1 поверху хірургічного корпусу КУ „Міська клінічна лікарня екстреної та швидкої медичної допомоги м.Запоріжжя”, а саме: заміну мереж холодного водопостачання 39м, каналізації 37,5м; встановлено 8 од. умивальників.</t>
  </si>
  <si>
    <t>Погашено заборгованість за придбання обладнання  у минулому році</t>
  </si>
  <si>
    <t>Придбано медичне обладнання 228 од., зокрема: сумки-укладки з набором для сімейного лікаря та медичної сестри 52 од. (КЗ"Зап.ЦПМСД №1"  - 5 од., КЗ"ЦПМСД №2" - 13 од., КЗ"ЦПМСД №4" - 14 од., КЗ"ЦПМСД №9" - 10 од., КЗ"ЦПМСД №8" - 10 од.). Придбано котел водогрійний з комплектацією для КЗ "ЦПМСД №8", автомобілі 7 од. (КЗ"Зап.ЦПМСД №1" - 1од., КЗ"ЦПМСД №2" - 1од., КЗ"ЦПМСД №4" -1од., КЗ"Зап.ЦПМСД №5" - 1од., КЗ"ЦПМСД №6" - 2од., КЗ"ЦПМСД №8" - 1од.), комп'ютер у зборі 63 од., багатофункціональний пристрій 36 од.</t>
  </si>
  <si>
    <t>Секретар міської ради</t>
  </si>
  <si>
    <t xml:space="preserve">                                          Р.О. Таран</t>
  </si>
  <si>
    <t>Результативність впроваджених заходів                        (в кількісних та якісних показниках)</t>
  </si>
  <si>
    <t>Результативність впроваджених заходів                                                                                                    (в кількісних та якісних показниках)</t>
  </si>
  <si>
    <t xml:space="preserve">Погашено заборгованість  за придбану спецтехніку </t>
  </si>
  <si>
    <t>Погашено заборгованість  за придбану спецтехніку</t>
  </si>
  <si>
    <t>Погашено заборгованість за виконані предпроектні роботи для проведення реконструкції 2-х котелень, що обслуговують вагоноремонтні майстерні та тролейбусний парк-1</t>
  </si>
  <si>
    <t>Погашено заборгованість за придбання трьох рамкових металодетекторів; дообладнання санітарного автомобілю; відновлення працездатності автоматичного вводу резерву постачання електроенергії; придбання засобів та обмундирування 26 од. шолом-касок та 26 од. бойовий одяг пожежника; придбання кільцевого багажного транспортеру</t>
  </si>
  <si>
    <t>Сплачено кошти цільової фінансової підтримки громадян</t>
  </si>
  <si>
    <t>Погашено заборгованість за проведення державної експертизи проекту</t>
  </si>
  <si>
    <t xml:space="preserve">Погашено заборгованість  за придбану спецтехніку, окрім пляжеприбиральної машини "Ondina" (SCAM) - розірвання договору поставки  </t>
  </si>
  <si>
    <t>Таблиця 3.2</t>
  </si>
  <si>
    <t>Додаток 3</t>
  </si>
  <si>
    <t>Таблиця 3.1</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</si>
  <si>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</si>
  <si>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</si>
  <si>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091204</t>
  </si>
  <si>
    <t>Територіальні центри соціального обслуговування (надання соціальних послуг)</t>
  </si>
  <si>
    <t>091209</t>
  </si>
  <si>
    <t>Фінансова підтримка громадських організацій інвалідів і ветеранів</t>
  </si>
  <si>
    <t>Управління з питань правового забезпечення роботи галузей міського господарства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</si>
  <si>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</si>
  <si>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</si>
  <si>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</si>
  <si>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</si>
  <si>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</si>
  <si>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</si>
  <si>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</si>
  <si>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</si>
  <si>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</si>
  <si>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</si>
  <si>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</si>
  <si>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</si>
  <si>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</si>
  <si>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</si>
  <si>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100106</t>
  </si>
  <si>
    <t>Капітальний ремонт житлового фонду об'єднань співвласників багатоквартирних будинків</t>
  </si>
  <si>
    <t>100203</t>
  </si>
  <si>
    <t>Благоустрій міст, сіл, селищ</t>
  </si>
  <si>
    <t>250404</t>
  </si>
  <si>
    <t>Інші видатки</t>
  </si>
  <si>
    <t>Департамент комунальної власності та приватизації Запорізької міської ради</t>
  </si>
  <si>
    <t xml:space="preserve">                                                                                                                                                                                                                                                                                                                                                                                                                                                                                                                                                                                                                                                                                                                                                                                                                                                                                                                                                                                                                                                                                </t>
  </si>
  <si>
    <t>Департамент архітектури та містобудування Запорізької міської ради</t>
  </si>
  <si>
    <t>150202</t>
  </si>
  <si>
    <t xml:space="preserve">Розробка схем та проектних рішень масового застосування </t>
  </si>
  <si>
    <t>Управління з питань земельних відносин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</si>
  <si>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</si>
  <si>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</si>
  <si>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171000</t>
  </si>
  <si>
    <t>Діяльність і послуги не віднесені до інших категорій</t>
  </si>
  <si>
    <t xml:space="preserve">Управління з питань попередження надзвичайних ситуацій та цивільного захисту населення Запорізької міської ради </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</si>
  <si>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</si>
  <si>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</si>
  <si>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</si>
  <si>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</si>
  <si>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76</t>
  </si>
  <si>
    <t>Департамент фінансової та бюджетної політики Запорізької міської ради</t>
  </si>
  <si>
    <t>90</t>
  </si>
  <si>
    <t>Районна адміністрація Запорізької міської ради по Ленінському району</t>
  </si>
  <si>
    <t>91</t>
  </si>
  <si>
    <t>Районна адміністрація Запорізької міської ради по Хортицькому району</t>
  </si>
  <si>
    <t>Благоустрій міста</t>
  </si>
  <si>
    <t>92</t>
  </si>
  <si>
    <t xml:space="preserve">Органи місцевого самоврядування </t>
  </si>
  <si>
    <t>93</t>
  </si>
  <si>
    <t>Районна адміністрація Запорізької міської ради по Жовтневого району</t>
  </si>
  <si>
    <t>21,375</t>
  </si>
  <si>
    <t>46,800</t>
  </si>
  <si>
    <t>Районна адміністрація Запорізької міської ради по Шевченківському району</t>
  </si>
  <si>
    <t>6,975</t>
  </si>
  <si>
    <t>96</t>
  </si>
  <si>
    <t>Районна адміністрація Запорізької міської ради по Комунарському  району</t>
  </si>
  <si>
    <t>Виготовлено проектно-кошторисну документацію на капітальний ремонт шляхопроводу через трамвайні колії по вул. Українській</t>
  </si>
  <si>
    <t>Придбано 3 од. комп’ютерів</t>
  </si>
  <si>
    <t>Виконано капітальний ремонт тіньового навісу на зупинці по вул.Рубана</t>
  </si>
  <si>
    <t>Погашено заборгованість за виконання проектних робіт з капітального ремонту сходів з улаштуванням пандусу в будівлі районної адміністрації</t>
  </si>
  <si>
    <t>Погашено заборгованість за минулі роки, а саме: за придбання 7 комп'ютерів;  виконання капітального ремонту віконних отворів та капітального ремонту фойє 1 поверху адміністративної будівлі по пр. Леніна, 206</t>
  </si>
  <si>
    <t>Погашено заборгованість за минулі роки з виконання проектно-вишукувальних робіт</t>
  </si>
  <si>
    <t>Проведено капітальний ремонт житла 1-му інваліду Великої Вітчизняної війни  на загальну площу 21 кв.м.  Виготовлено проектно-кошторисну документацію  по 3 об'єктах</t>
  </si>
  <si>
    <t>Придбано 4 одиниці комп'ютерної техніки</t>
  </si>
  <si>
    <t>Фінансування не здійснювалось</t>
  </si>
  <si>
    <t>Придбано 2 одиниці комп’ютерної техніки</t>
  </si>
  <si>
    <t xml:space="preserve">Погашено заборгованість зв виконані роботи у минулому році за розробку комплексної схеми розміщення тимчасових споруд для провадження підприємницької діяльності, інвентаризацію та паспортизацію щойно виявлених об’єктів культурної спадщини, послуги щодо внесення змін до Генерального плану м. Запоріжжя.  </t>
  </si>
  <si>
    <t>Погашено заборгованість за виконані у минулому році послуги з підготовки та проведення земельного аукціону</t>
  </si>
  <si>
    <t>Придбано 4 одиниці комп'ютерів з комплектуючими</t>
  </si>
  <si>
    <t>Придбано 3 одиниці комп’ютерної техніки</t>
  </si>
  <si>
    <t>Придбано 3 одиниці комп'ютерів з комплектуючими</t>
  </si>
  <si>
    <t>Придбано: персональний комп'ютер - 2 шт., сервер - 1 шт., сервер електронної черги неттоп - 1 шт., сканери - 2 шт., джерело безперебійного живлення - 2 шт.</t>
  </si>
  <si>
    <t>Погашено заборгованість за виконану в минулому році послугу з технагляду за капітальним ремонтом приміщення</t>
  </si>
  <si>
    <t>Виконано капітальний ремонт санвузлів, проведено коригування проектно-кошторисної документації з капремонту приміщення</t>
  </si>
  <si>
    <t>Погашено заборгованість за виконані у минулому році  роботи з капітального ремонту приміщення</t>
  </si>
  <si>
    <t>Виготовлено проект з капітального ремонту будівлі Запорізького аеровокзалу. Виконано підсилення деформованих і перед аварійних конструкцій, проведено моніторинг технічного стану несучих конструкцій 3-х поверхової будівлі аеровокзалу</t>
  </si>
  <si>
    <t>Придбано мотори HIDEA в кількості 2 од., мотор YAMAHA - 1 од., човен KOLIBRI - 2 од.</t>
  </si>
  <si>
    <t>Придбано 1 одиницю комп’ютерної техніки</t>
  </si>
  <si>
    <t>Придбано 7 одиниць комп’ютерної техніки та багатофункціональний пристрій - 1 одиницю</t>
  </si>
  <si>
    <t>Погашено заборгованість за встановлення та впровадження 4 об'єктів системи об'єктивного відеоспостереження</t>
  </si>
  <si>
    <t>Придбано 4 од. комп’ютерів</t>
  </si>
  <si>
    <t>Виконано утеплення перекриття з мінеральної вати (горище) 1421 м2, фарбування підлоги спортзалу 162 м2, встановлення дверей 4,1 м2, комплекс робіт з пожежної сигналізації. Погашено заборгованість за виконані роботи у минулому році</t>
  </si>
  <si>
    <t>Погашено заборгованості за проведення державної експертизи проекту</t>
  </si>
  <si>
    <t>Виконано встановлення дверей 10,5 м2,  віконних блоків 14,35 м2. Погашено заборгованість за виконані роботи у минулому році</t>
  </si>
  <si>
    <t>Виконано роботи по оздобленню 32 м2, фарбуванню  119 м2, встановленню стелі 239 м2 АМСТРОНГ, світильників 14 од. Погашено заборгованість за виконані роботи у минулому році</t>
  </si>
  <si>
    <t>Здійснено часткову оплату за виконання проектно-кошторисної документації. Погашено заборгованість за виконані роботи у минулому році</t>
  </si>
  <si>
    <t>Погашено заборгованості за виготовлення проектно-кошторисної документації</t>
  </si>
  <si>
    <t>Погашено заборгованість за виконані роботи по ЗНВК № 103, ЗНЗ № 22, 51, 76, 77, 85, 104, 109,  гімназія - № 45, 47 та придбання 2 електроплит (ЗНВК Основа, ЗНВК №20), 5 кондиціонерів, 1 килиму, 4 од. технологічного обладнання, 9 ноутбуків, 1 кулерної системи, 8 комплектів меблів, 1 спортінвентарю, 4 комп'ютерних класів, 1 електричної плити, 4 телевізорів, 1 проектору, 5 од. обладнання для харчоблоку, 1 тенісного столу, 4 комп'ютерів, 1  шафи духової, 1 мультимедійної системи, 1 холодильника.</t>
  </si>
  <si>
    <t>Придбано 5 од. комп'ютерної техніки для ВШ №20</t>
  </si>
  <si>
    <t>Погашено заборгованість за придбання 1 ноутбук (ВШ №12), 1 комплекту меблів (ВШ №31)</t>
  </si>
  <si>
    <t>Виконано влаштування плит ОСБі та лінолеуму в кабінетах 413м2  у Будинку дитячої та юнацької творчості Заводського району. Придбано: 1 БФП (ЛЦДЮТ), 2 ноутбука (ЛЦДЮТ, ЗЦДЮТ), 8  од. комп'ютерної техніки (ЖЦДЮТ, КЦДЮТ, ЛЦДЮТ)</t>
  </si>
  <si>
    <t>Погашено заборгованість за придбання 1 відеокамери (ЖЦДЮТ), 1 комплекту  меблів (ШЦДЮТ)</t>
  </si>
  <si>
    <t>Придбано  1 боксерський ринг, 1 човен веслувальний, 1 стіл для настільного тенісу, 2 роботи для навчання гри в настільний теніс, 1 волейбольна сітка та 10 наметів</t>
  </si>
  <si>
    <t>Придбано  1 машинка для маркіровки поля "Roll-Liner" та 1 спортивний тренажер</t>
  </si>
  <si>
    <t>Придбано 7 од. комп'ютерів</t>
  </si>
  <si>
    <t>Придбано 11 од. комп'ютерів</t>
  </si>
  <si>
    <t>Придбано 5 кондиціонерів.</t>
  </si>
  <si>
    <t>Придбано 1 комплект  комп'ютерної техніки  для НВК Технічного профілю</t>
  </si>
  <si>
    <t>Погашено заборгованість за придбання баскетбольного щита</t>
  </si>
  <si>
    <t>Придбано 2 од. комп'ютерів</t>
  </si>
  <si>
    <t xml:space="preserve">Придбано 7 персональних комп'ютерів та 1 багатофункціональний пристрій </t>
  </si>
  <si>
    <t>Здійснено вибірковий капремонт 14 будинків комунальної власності; відремонтовано покрівель на 34 житл. будинках, площею 31,815 тис.м.кв.; проведено роботи з модернізації, заміни та капремонту 29 ліфтів, експертному обстеженню 3-х ліфтів; проведена заміна інженерних мереж на 6-ти об’єктах (1126,0 п.м.), електричних мереж на 8-ми об’єктах (39244,0 п.м.); виконано капремонт електроживлячих стояків на 56-ти об’єктах (88198,0 п.м.); капремонт 10 будинків житлово-будівельних кооперативів; капремонт 1 гуртожитку; капремонт ж/будинку по вул. Кругова,148 для передачі на баланс створеному ОСББ, встановлено  2 лічильника обліку теплової енергії та 2 од. підвищувального насосу для водопостачання.</t>
  </si>
  <si>
    <t>Погашено заборгованість за виконані роботи у минулому році</t>
  </si>
  <si>
    <t>З запланованих 22 об'єктів на виготовлення ПКД з капітального ремонту доріг: на 4 об'єкти виготовлено ПКД та отримано позитивний висновок експертизи та 18 об'єктів є перехідними на 2015 рік. Висаджено 1781 дерев та чагарників. Встановлено 569 дорожніх знаків.</t>
  </si>
  <si>
    <t>Виконано роботи з  встановлення пожежної сигналізації 1 од., системи відеоспостереження-1 од., встановлення теплового вузла -1 од., заміни трубопроводу холодного водопостачання - 20 м/п, каналізації - 17 м/п, опалення, встановлення електричного обладнання - 61 од.</t>
  </si>
  <si>
    <t xml:space="preserve"> Придбано 11 од. грального комплексу </t>
  </si>
  <si>
    <t>Придбано 2 деревоподрібнюючі машини</t>
  </si>
  <si>
    <t>Придбано 44 мобільні туалетні кабіни</t>
  </si>
  <si>
    <t>Придбано медичне обладнання 3 од., а саме: діатермокоагулятор, скалер стоматологічний для КУ "Міська стоматологічна поліклініка №2", шафа сухожарова для КУ “Запорізька міська стоматологічна поліклініка №7”</t>
  </si>
  <si>
    <t>Погашено заборгованості за виконані  проектні роботи</t>
  </si>
  <si>
    <t xml:space="preserve">Здійснено оплату за проведення державної  експертизи проекту </t>
  </si>
  <si>
    <t>Реконструкція парку "Трудової слави" в м.Запоріжжі</t>
  </si>
  <si>
    <t>Внески у статутні капітали комунальних підприємств міста, в тому числі</t>
  </si>
  <si>
    <t>Внески у статутні капітали комунальних підприємств міста - погашення заборгованості за минулі роки, в тому числі</t>
  </si>
  <si>
    <t>Придбання матеріалів для проведення роботи з часткового монтажу  1530 м.п. контактної мережі тролейбусу на греблі "Дніпрогес"  на ділянці від площі Леніна до естакади через шлюзи</t>
  </si>
  <si>
    <t>Реконструкція світлофорного об'єкту   з визивним пристроєм на перехресті вул.Чарівна - вул. Цитрусова в м.Запоріжжя (проектні роботи)</t>
  </si>
  <si>
    <t xml:space="preserve">Виготовлено проектно-кошторисну документацію </t>
  </si>
  <si>
    <t>Виготовлено проектно-кошторисну документацію, одержано позитивний висновок експертизи</t>
  </si>
  <si>
    <t>Виконано роботи з  улаштування дитячого майданчика</t>
  </si>
  <si>
    <t>Виконано проектні роботи,  отримано експертний звіт</t>
  </si>
  <si>
    <t>Погашено заборгованість за виконані будівельні роботи, а саме: перекриття плитами прибудови, стяжка плит</t>
  </si>
  <si>
    <t xml:space="preserve">Погашено заборгованість за придбання 1 комп’ютера </t>
  </si>
  <si>
    <t>Погашено заборгованість за проведення експертизи проекту з капітального ремонту тіньового навісу на зупинці громадського транспорту по вул. Рубана</t>
  </si>
  <si>
    <t>Придбано  5 од.  комп'ютерів</t>
  </si>
  <si>
    <t>Погашено заборгованість за виконані проектні роботи по реконструкції ринку "Соцмісто"</t>
  </si>
  <si>
    <t xml:space="preserve">Придбано 5 од. комп'ютерів, 11 од. моніторів, 1 сервер, 1 арочний металодетектор. Виконано розробку проектів з капітального ремонту покрівлі будівлі по вул. Зелінського, 3 та капітального ремонту дверних отворів адміністративної будівлі виконкому міської ради по пр. Леніна, 206 та проведено держекспертизу проектів. </t>
  </si>
  <si>
    <t>Придбано  9 од. комп'ютерів, системний блок у зборі - 1 од.,  багатофункціональний пристрій - 1 од.</t>
  </si>
  <si>
    <t>Придбано 3 комплекти  комп'ютерної техніки</t>
  </si>
  <si>
    <t>Придбано  1 од. персональний комп'ютер</t>
  </si>
  <si>
    <t>Придбано 3 комплекти комп'ютерів у зборі.</t>
  </si>
  <si>
    <t>Придбано 3 од. комп'ютерної техніки, виготовлено проектно-кошторисну документацію на капітальний ремонт покрівлі гаражів. Погашено кредиторську заборгованість з придбання одного комп'ютера та сервера.</t>
  </si>
  <si>
    <t>Погашено заборгованість за минулі роки з придбання 4 од. комп'ютерів та проведення капітального ремонту віконних отворів</t>
  </si>
  <si>
    <t>Проведено оплату за отримання висновків державної експертизи по ДНЗ  №145, 217. Придбано: 9 електроплит, 7 контейнерів, 20 холодильників, 12 пральних машин, 6 од. обладнання для харчоблоку, 1 од. оргтехніки, 1 од.  спортінвентарю, 3 од.  комп'ютерної техніки, 1 килим, 1 протирочну машину, 3 од. меблі, 2 електром'ясорубки, 5 ноутбуків, 1 проектор, 4 телевізора, 1 од. медичної апаратури, 3 шафи пекарських, 5 комп'ютерів,  6 комплектів меблів, 1 обладнання для медичного кабінету, 4 водонагрівач, 3 посудомийні машини, 5 комп'ютерів, 2од. технологічного обладнання, 1 мультимедійний центр, 2 лічильника тепла, 1 обладнання для фото, 1 пісочницю, 1 шафу, 1 вану мийну, 1 сушильну машину.</t>
  </si>
  <si>
    <t>Погашено заборгованість за виконані роботи по ДНЗ № 127, 272 та придбання 19 електроплит (ДНЗ 290, 32, 175, 174, 189, 190, 192, 221, 229, 247, 286, 297, 258, 186, 161, 281, 162, ЦРД Лазурний), 1 пісочниці, 1 м'ясорубки, 1 пральної машини, 5 холодильників, 1 комп'ютерної техніки, меблі - 5 од.,  3 килимів, 2 ноутбуків, 1 овочерізки, 1 жарочної шафи, 1 синтезатора, 1 телевізора, 1 оргтехніки, 1 пилососу.</t>
  </si>
  <si>
    <t>Придбано: 1 багатофункціональний пристрій, 3 кондиціонера, 8 одиниць комп'ютерної техніки, 8  пандусів ПРП-300, 4 пандуси ПШ, 1 термообмежувач, 1 миючий пилосос, набір меблів, 1 тренажер, 1 орбітрек.</t>
  </si>
  <si>
    <t>Погашено заборгованість за минулі роки за розробку проекту встановлення прибору обліку та за виконані роботи з капітального ремонту інженерних мереж по вул.Парамонова,11 Запорізького міського територіального центру соціального обслуговування (надання соціальних послуг),  за розробку проекту  та виконання робіт з капітального ремонту будівлі з благоустроєм прилеглої території Запорізького міського геріатричного стаціонару по вул. Кузнєцова.28а"</t>
  </si>
  <si>
    <t>Здійснено капітальний ремонт двох житлових будників ОСББ (капремонт ліфтів-1 од, утеплення фасаду - 500 м кв.)</t>
  </si>
  <si>
    <t>Погашено заборгованість за у минулому році виконані роботи з: виготовлення проекту аварійного ремонту руліжної доріжки РД-1,  улаштування 1447 кв.м асфальтобетонного покриття; капітального ремонту покрівлі  будівель  аеровокзального комплексу 755 кв.м.; виготовлення робочого проекту  з реконструкції системи теплопостачання КП "Міжнародний аеропорт Запоріжжя" з установкою джерел теплопостачання будівлі ВОХОР, Адміністративної будівлі, сан.побутової будівлі та будівлі комерційного складу; виконання робіт з обстеження та паспортизації 3-х поверхової будівлі аеровокзалу</t>
  </si>
  <si>
    <t>Придбано 3 од. комп'ютерів з ліцензійним програмним забезпеченням</t>
  </si>
  <si>
    <t>Придбано мотопомпу - 1 од., станцію електричну - 1 од., оплачено залишок коштів за автопідйомник пожежний на шасі КаМАз; придбано 5 апаратів дихальних з виходом для підключення комплекту потерпілого з панорамною маскою та стальним балоном; маслостанцію - 1 од., домкрат - 1 од., комплект подвійних шлангів BVL 10 SOU, 10м - 2 од.</t>
  </si>
  <si>
    <t>Придбано: комплект меблів - 1 од., ноутбук - 2 од., мультимедійний проектор - 1 од., цифрова фотокамера - 1 од., кондиціонер - 1 од., комплект акустичної системи - 1 од.</t>
  </si>
  <si>
    <t xml:space="preserve">Погашено заборгованість за минулі роки, а саме за: придбання книг - 1593 примірників, комп'ютерів - 10 од., мультимедійних проекторів - 6 од., відеопректору - 1 од., ноутбуків - 4 од., проведення експертизи проектно-кошторисної документації  з капітального ремонту </t>
  </si>
  <si>
    <t>Придбано музичні інструменти - 3 од.</t>
  </si>
  <si>
    <t>Погашено заборгованість за придбані у минулому році комп'ютери - 8 од. та костюми - 2 од.</t>
  </si>
  <si>
    <t>Погашено заборгованість за проведені проектно-вишукувальні роботи по реконструкції скверу біля пам'ятника Ф.Е. Дзержинському</t>
  </si>
  <si>
    <t xml:space="preserve">Розпочато роботи з реконструкції скверу біля пам'ятника Ф.Е. Дзержинському </t>
  </si>
  <si>
    <t>Погашено заборгованості за виконані роботи з розробки проекту реконструкції центральної алеї парку "Дубовий гай"</t>
  </si>
  <si>
    <t>Погашено заборгованість за виконані роботи, а саме: за утеплення фасаду 253,3м2</t>
  </si>
  <si>
    <t>Виконано роботи з укладання трубопроводу гарячого водопостачання - 240 м/п</t>
  </si>
  <si>
    <t xml:space="preserve">Виконано проектні роботи </t>
  </si>
  <si>
    <t>Виконано роботи з розробки проектно-кошторисної документації та державної експертизи проекту</t>
  </si>
  <si>
    <t>Погашено заборгованість за виконані  проектні роботи</t>
  </si>
  <si>
    <t>Погашено заборгованість за виконані проектні роботи</t>
  </si>
  <si>
    <t>Погашено заборгованість за встановлення малих архітектурних форм та влаштування покриття майданчика</t>
  </si>
  <si>
    <t xml:space="preserve">Погашено заборгованість за виконання державної експертизи проекту </t>
  </si>
  <si>
    <t>Встановлено дитячий майданчик</t>
  </si>
  <si>
    <t xml:space="preserve">Виконано державну експертизу проекту </t>
  </si>
  <si>
    <t>Погашено заборгованість за виконані роботи з встановлення малих архітектурних форм та влаштування покриття майданчика</t>
  </si>
  <si>
    <t>Погашено заборгованість за виконані проектні роботи та встановлення малих архітектурних форм</t>
  </si>
  <si>
    <t>Погашено заборгованість за виконані проектні роботи технічний нагляд</t>
  </si>
  <si>
    <t>Виконано проектні роботи та проведено державну експертизу проекту</t>
  </si>
  <si>
    <t>Погашено заборгованість за виконані роботи з встановлення малих архітектурних форм та влаштування покриття</t>
  </si>
  <si>
    <t xml:space="preserve">Виконано роботи з заміни кабелю від ТП  до будинку - 125 м, укладено труби опалення - 323 м/п, саморегулюючого гріючого кабелю для трубопроводу ХВП -206 м/п </t>
  </si>
  <si>
    <t>Погашено заборгованість за виконані роботи з улаштування системи теплопостачання 940 п.м</t>
  </si>
  <si>
    <t>Погашено заборгованість за виконані проектні роботи та проведено держекспертизу проекту</t>
  </si>
  <si>
    <t>Погашено заборгованість за виконані роботи з коригування проектно-кошторисної документації  та проведення державної експертизи проекту</t>
  </si>
  <si>
    <t>Встановлено 33  енергозберігаючих світильника та прокладено  1 км самонесучого проводу</t>
  </si>
  <si>
    <t>Встановлено 49  енергозберігаючих світильника та прокладено  1,8 км самонесучого проводу</t>
  </si>
  <si>
    <t>Погашено заборгованість за виконані роботи з встановлення 17  енергозберігаючих світильників</t>
  </si>
  <si>
    <t>Погашено заборгованість за виконані роботи з встановлення 29  енергозберігаючих світильників</t>
  </si>
  <si>
    <t>Встановлено 12  енергозберігаючих світильників та прокладено  0,29 км самонесучого проводу</t>
  </si>
  <si>
    <t>Погашено заборгованість за виконані роботи з технагляду</t>
  </si>
  <si>
    <t>Погашено заборгованість за виконані роботи з розробки проектно-кошторисної документації та проведення державної експертизи проекту</t>
  </si>
  <si>
    <t>Погашено заборгованість за виконані проектно-вишукувальні роботи</t>
  </si>
  <si>
    <t xml:space="preserve">Погашено заборгованість за виконані роботи з розробки проектно-кошторисної документації </t>
  </si>
  <si>
    <t>Погашено заборгованість за виконані роботи з виготовлення топогеодезичної зйомки</t>
  </si>
  <si>
    <t>Виконано роботи з укріплення відкосу мосту, укладено водовідвідний лоток 7 п.м, водопропускну трубу - 34,5 п.м, укладено асфальтобетонне покриття на мосту - 1200м2, асф.покриття тротуарів 300 м2</t>
  </si>
  <si>
    <t xml:space="preserve">Погашено заборгованість за виконані роботи з виготовлення проектно - кошторисної документації </t>
  </si>
  <si>
    <t xml:space="preserve">Виконано роботи з встановлення 8 пішохідних та 8 транспортних світлофорів </t>
  </si>
  <si>
    <t>Погашено заборгованість за виконані роботи з укладання трубопроводів теплопостачання 69м, встановлення елеваторного вузла 1 од.</t>
  </si>
  <si>
    <t>Виконано  проектні роботи</t>
  </si>
  <si>
    <t>Погашено заборгованість за виконання проектних робіт</t>
  </si>
  <si>
    <t>Погашено заборгованість за виконані будівельні роботи, здійснення технічного та авторського нагляду</t>
  </si>
  <si>
    <t xml:space="preserve">Виконано роботи з розробки проектно-кошторисної документації </t>
  </si>
  <si>
    <t>Розпочато роботи по реконструкція розподільної смуги на Прибережній магістралі, влаштована основа  дороги, тротуару, а також виконано роботи по переносу та захисту кабельних мереж -350м. Укладено асфальтобетонного покриття на площі 900 м2</t>
  </si>
  <si>
    <t xml:space="preserve">Погашено заборгованість за виконані проектні роботи </t>
  </si>
  <si>
    <t>Виконано роботи з розробки проектно-кошторисної документації</t>
  </si>
  <si>
    <t>Погашено заборгованість за виконані роботи з розробки проектно-кошторисної документації</t>
  </si>
  <si>
    <t>Погашено заборгованість за виконаний ескізний проект</t>
  </si>
  <si>
    <r>
      <t>Виконано роботи з монтажу колодязів - 2 од. та запірної арматури - 6 од.</t>
    </r>
  </si>
  <si>
    <t>Погашено заборгованість за монтаж 208 п.м труб діам. 400 мм, колодязі - 2 од.</t>
  </si>
  <si>
    <t>Виконано проектно-вишукульні роботи та виготовлена топогеодезична зйомка</t>
  </si>
  <si>
    <t>Погашено заборгованості за виконання проектних робіт</t>
  </si>
  <si>
    <t>Погашено заборгованість за встановлення спортивного обладнання 10 од. та виконання благоустрою майданчику  464  кв.м</t>
  </si>
  <si>
    <t>Погашено заборгованість за виготовлення проектно-кошторисної документації</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</si>
  <si>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</si>
  <si>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Виготовлено проектно-кошторисну документацію</t>
  </si>
  <si>
    <t>Розпочато роботи з виготовлення проектно-кошторисної документації</t>
  </si>
  <si>
    <t>Виконувались  роботи з обстеження мостового переходу</t>
  </si>
  <si>
    <t>Погашено заборгованість за виконані роботи  з ремонту 4-х ліфтів</t>
  </si>
  <si>
    <t>Виконано роботи та погашено заборгованість за  встановлення вентиляторів 2 од., внутрішнє оздоблювання, фарбування стін, пожежну сигналізацію 436м, електроосвітлення - 90 м.п., світильники 42 од., тротуар 177м2, зовнішнє оздоблювання цоколя 156 м2</t>
  </si>
  <si>
    <t>Виконано роботи з монтажу трансформаторів-2 шт.; опор-2 шт.:, заземлення-300м.п, улаштування кабелю до 35кВ  137м п., відмостки - 69м2, благоустрою території 700м2</t>
  </si>
  <si>
    <t>Виконано роботи з встановлення вентиляторів - 4 од., телефонізації -  90 м, ел.освітлення - 200 м, опоряджувальні роботи, охоронної сигналізації, утеплення цоколю, улаштування пандусу, керамічної плитки  - 42,5м2</t>
  </si>
  <si>
    <t>Виконано проектні роботи</t>
  </si>
  <si>
    <t>Виконано проектно-вишукувальні роботи</t>
  </si>
  <si>
    <t xml:space="preserve"> Виконано роботи з диспетчеризації 205 ліфтів</t>
  </si>
  <si>
    <t>Виконано роботи з встановлення 8 пішохідних та 9 транспортних світлофорів та погашено заборгованість за минулі роки</t>
  </si>
  <si>
    <t>Погашено заборгованість за встановлення гранітних блоків - 35 од., світильників - 42 од.</t>
  </si>
  <si>
    <t>Виконано роботи з встановлення 138 од. бортових каменів</t>
  </si>
  <si>
    <t>Виконано роботи та погашено заборгованість за проведення земляних робіт - 424,8м, улаштування цегельної кладки - 48,6 м3</t>
  </si>
  <si>
    <t>Виконано та погашено заборгованість за проектно-вишукувальні роботи</t>
  </si>
  <si>
    <t>Погашено заборгованість за виконання проектно-вишукувальних робіт</t>
  </si>
  <si>
    <t>Погашено заборгованість за влаштування тротуарів 88,12м2, посів газонної трави 74,8м2</t>
  </si>
  <si>
    <t>Погашено заборгованості за виконання геодезичних робіт</t>
  </si>
  <si>
    <t>Виконувались роботи та погашено заборгованість за розробку проектної документації</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</si>
  <si>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</si>
  <si>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Виконано  утеплення і облицювання фасаду СКАНРОК 496 м2, укладання паркету з циклюванням підлоги 1440 м2, загальнобудівельні роботи (побілка, фарбування) в приміщеннях 24700 м2, встановлення сантехнічного обладнання. Погашено заборгованість за виконані роботи у минулому році</t>
  </si>
  <si>
    <t>Погашено заборгованість за виконані роботи з благоустрою, влаштування бортового каменю 330м, огорожі покрівлі 192 м.п, примикання 347 м.п,  штукатурки 520 мп, освітлення 160м.п, теплової мережі труби 0,50мм та 100мм - 30м, каналізації 25 м.п ПХВ 110х3</t>
  </si>
  <si>
    <t>Виконано роботи з влаштування підлоги 132,6 м2, монтажу металопластикових віконних блоків 11,04м, облицювання стін, штукатурки стелі 23,7 м2, водопостачання та каналізація 24 м.п, освітлення 405 м</t>
  </si>
  <si>
    <t>Виконано роботи та погашено заборгованість за улаштування покрівлі - 830м2; утеплення горища - 660м2; термомодернізації фасаду - 660м2; заміни вікон - 152м2; ремонту 5 кабінетів</t>
  </si>
  <si>
    <t>Виконано роботи з прокладки кабелю 0,4кВ-219м; та кабельної лінії  до житлового будинку по  ул.Таганская 10 - 179 м</t>
  </si>
  <si>
    <t>Перекриття плитами (фундаментними блоками) прибудови, стяжка плит -187м2, влаштування  покрівлі - 187 м2</t>
  </si>
  <si>
    <t>Погашено заборгованість за виконані роботи, а саме за проектні роботи</t>
  </si>
  <si>
    <t>Погашено заборгованість за придбання обладнання для диспетчеризації 230 ліфтів</t>
  </si>
  <si>
    <t>Погашено заборгованість за виконані роботи з улаштування покрівлі 1063м2, водостічних труб 93 п.м</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</si>
  <si>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експертиза)</t>
  </si>
  <si>
    <t>Погашено заборгованість за виконані геодезичні роботи</t>
  </si>
  <si>
    <t>Встановлено 15 енергозберігаючих світильників та  прокладено 0,5 км самонесучого проводу</t>
  </si>
  <si>
    <t>Встановлено 76 енергозберігаючих світильників та  прокладено 2,328 км самонесучого проводу</t>
  </si>
  <si>
    <t>Погашено заборгованість за виконані роботи з встановлення 36 світильників та прокладення 1,28 км самонесучого проводу</t>
  </si>
  <si>
    <t>Погашено заборгованість за виконані роботи з встановлення 47 світильників та прокладення 1,5 км самонесучого проводу</t>
  </si>
  <si>
    <t>Встановлено 18 енергозберігаючих світильників та  прокладено 0,28км самонесучого проводу</t>
  </si>
  <si>
    <t>Встановлено 56 енергозберігаючих світильників та  прокладено 1,58км самонесучого проводу</t>
  </si>
  <si>
    <t>Встановлено 18 енергозберігаючих світильників та  прокладено 0,112км самонесучого проводу.</t>
  </si>
  <si>
    <t>Встановлено 26 енергозберігаючих світильників та  прокладено 0,922км самонесучого проводу.</t>
  </si>
  <si>
    <t>Встановлено 18 енергозберігаючих світильників та  прокладено 0,47км самонесучого проводу</t>
  </si>
  <si>
    <t>Реконструкція пішохідного переходу через балку Маркусова від вул. Історичної до вул. Сєченова в м. Запоріжжі (проектні роботи та експертиза)</t>
  </si>
  <si>
    <t>Розпочато роботи: знесені зелені насадження в зоні будівництва, сплановано територію під лотком, демонтовано старі огороджуючи пішохідного мостового переходу, виконано зварювальні роботи, укладено мостове полотно, встановлено огорожу - 53п.м, проводиться монтаж монолітного лотка та підпірних стінок</t>
  </si>
  <si>
    <t>Реконструкція скверу на пл. Театральній зі спорудженням пам'ятника Т.Г. Шевченку (проектні роботи та експертиза)</t>
  </si>
  <si>
    <t xml:space="preserve">Виконано роботи та погашено заборгованість за геодезичні роботи та розроблення ескізного проекту </t>
  </si>
  <si>
    <t>Виконано роботи та погашено заборгованість за проведені геодезичні роботи та виконання ескізного проекту</t>
  </si>
  <si>
    <t xml:space="preserve">Виконано роботи з влаштування з/б підпірних стін 0,3 м3, дренажного колодязю - 1 од., приямку, з/б камери, вузла обліку теплової енергії; герметизація вводу в будинок; прокладання труб опалення: сталевих - 30 м/п, пластикових -  90 м/п    </t>
  </si>
  <si>
    <t xml:space="preserve">Виконано роботи з укладення асфальтового покриття під'їзних шляхів до школи, тротуару - 276м2. Влаштовано 2 зливоприймача, нарощено 2 горловини зливових колодязів, встановлено бордюр - 15 м.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</si>
  <si>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</si>
  <si>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Будівництво зливової каналізації на ділянці автодороги загального користування державного значення М-18 Харків-Сімферополь  у Шевченківському районі м.Запоріжжя (проектні роботи, експертиза)</t>
  </si>
  <si>
    <t>Реконструкція зливової каналізації по вул. Тургенєва в м. Запоріжжя  (проектні роботи)</t>
  </si>
  <si>
    <t>Виконано топогеодезичну зйомку</t>
  </si>
  <si>
    <t>Виготовлено проект "Будівництво та встановлення оглядових веж на території КП "Міжнародний аеропорт Запоріжжя""; Встановлено 4 од оглядових веж.</t>
  </si>
  <si>
    <t>Виготовлено проект "Будівництво мереж освітлення на оглядових вежах на території КП "Міжнародний аеропорт Запоріжжя""; Прокладено лінії електроживлення оглядових веж загальною довжиною 2,5 км.</t>
  </si>
  <si>
    <t>Придбано 3 од. кондиціонерів, 1 проектор та проекційний екран. Знесені існуючі дерева 40 см - 7 од., 50 см - 9 од, 60 см - 12 од., 70 см - 7 од. Виконано підготовчі роботи з улаштування автостоянки:    відмостка - 250 м2, прокладання комп'ютерного та телефонного зв'язку та розводка кабелю - 3 км. 67 м. Виконано проектно-вишукувальні роботи з капітального ремонту приміщення УПСЗН ЗМР в Жовтневому району.</t>
  </si>
  <si>
    <t>Погашено заборгованість за виконані роботи а саме: вибірковий капремонт 5 ж/б, 15 житлових будинків ЖБК, капремонт покрівель ж/б-4019 м.кв., заміна інженерних мереж- 1087 м/п, модернізація електр.мереж-2198 м/п, капремонт 42 ліфтів, експертиза 1539 ліфтів, капремонт 2 гуртожитків, капремонт 2 ж/б - переможців конкурсу "Моє чисте подвір'я", капремонт ж/ф за рахунок  коштів депутатського фонду 2 майданчика, 2 підвищувального насоса.</t>
  </si>
  <si>
    <t xml:space="preserve">Погашено заборгованість за виконані проектно-вишукувальні роботи, ремонт фасаду 600 м кв., окраска стель - 422 м2,  оздоблювальні роботи - 1800 м2, заміна дверей-26 од. </t>
  </si>
  <si>
    <t>Здійснено часткову оплату за виконання проектно-кошторисної документації</t>
  </si>
  <si>
    <t>Здійснено оплату за проведення державної експертизи проекту. Погашено заборгованості за минулі роки</t>
  </si>
  <si>
    <t>Виконано роботи та погашено заборгованість за укладання 204 м труб та улаштування теплоізоляції</t>
  </si>
  <si>
    <t>до Звіту щодо виконання Програми економічного і соціального розвитку                                                                                   м. Запоріжжя за 2014 рік</t>
  </si>
  <si>
    <t>Код типової відомчої класифікації видатків місце-вих бюджетів</t>
  </si>
  <si>
    <t>Виконано роботи з улаштування ж/б опор - 8шт.; світильників - 8шт.; ел. кабелю - 250 м.п.; блоку управління - 1 од.</t>
  </si>
  <si>
    <t xml:space="preserve">Виконано роботи: Запорізька гімназія №47 - утеплення трубопроводу опалення 388м; ЗНЗ № 76 - відремонтовано 1 туалет, 80м2 асфальту, 50м водостічних труб, 5приямків; ЗНЗ №22 - здійснено оплату  за проведення державної експертизи; Запорізька гімназія № 45 - ремонт покрівлі 216 м2; ЗНВК № 77 - ремонт покрівлі 784м2, ізоляція трубопроводу 180м;  ЗНЗ № 65, 60  - розроблено проектно-кошторисну документацію та отримано висновок державної експертизи. Придбано: 8 холодильників, 6 ектроплит, 43 од. комп'ютерної техніки, 16  од. оргтехніки, 15 моніторів, 16 ноутбуків, 28 інтерактивних дошек, 1 мультимедійний проектор, 2 од. технологічного обладнання, 7 телевізорів, 1 пилосос, 7 проекторів, 3 пральні машини, 1 посудомийну машину, 3 од. спортінвентарю, 3 шафи витяжні, 3 шафи пекарські, 1 електрокіпятильник, 1 стіл, 12 комплектів меблів,  1 шведська стінка, 4 столи тенісні, 1 вентиляційна система, 2 акустичних системи, 1 лічильник тепла, 1 зварювальний апарат, 1 водонагрівач,  2 комплекти лінгфообладнання для кабінету іноземної мови,  5 кондиціонерів, 1 комплект парт,  1 екран настільний, 1 обладнання для куточка бойової слави,  1 електросковородка, 1 планшет, 3 од. музичної апаратури.   </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</si>
  <si>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</si>
  <si>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</si>
  <si>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</si>
  <si>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</si>
  <si>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</si>
  <si>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</si>
  <si>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</si>
  <si>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</si>
  <si>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03</t>
  </si>
  <si>
    <t>Капітальні вкладення</t>
  </si>
  <si>
    <t>в тому числі погашення заборгованості за минулі роки</t>
  </si>
  <si>
    <t>Департамент освіти і науки, молоді та спорту Запорізької міської ради</t>
  </si>
  <si>
    <t>150101</t>
  </si>
  <si>
    <t xml:space="preserve">Перелік видатків,  які у 2014 році проводилися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</si>
  <si>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2014 році  проводилися за рахунок коштів бюджету розвитку міста </t>
  </si>
  <si>
    <t>Затверджені видатки на 2014 рік</t>
  </si>
  <si>
    <t>Профінансовано станом на 01.01.2015</t>
  </si>
  <si>
    <t>(тис.грн.)</t>
  </si>
  <si>
    <t xml:space="preserve">Виконавчий комітет міської ради </t>
  </si>
  <si>
    <t>010116</t>
  </si>
  <si>
    <t>Органи місцевого самоврядування</t>
  </si>
  <si>
    <t>капітальні видатки</t>
  </si>
  <si>
    <t xml:space="preserve">120201 </t>
  </si>
  <si>
    <t>Періодичні видання (газети та журнали)</t>
  </si>
  <si>
    <t>Перелік капітальних видатків, які у 2014 році  проводилися за рахунок коштів бюджету розвитку  міста</t>
  </si>
  <si>
    <t>Всього</t>
  </si>
  <si>
    <t>Виконавчий комітет міської ради</t>
  </si>
  <si>
    <t xml:space="preserve">Будівництво систем відеоспостереження у місцях масового перебування громадян </t>
  </si>
  <si>
    <t>Будівля навчального комплексу "Запорізька Січ" о.Хортиця, м.Запоріжжя - реконструкція</t>
  </si>
  <si>
    <t>Реконструкція будівлі загальноосвітньої школи І-ІІІ ступенів № 75 по вул.Історична,92 Заводського району - погашення заборгованості за минулі роки</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</si>
  <si>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</si>
  <si>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</si>
  <si>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</si>
  <si>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Будівництво теплиці "Запорізького міського ботанічного саду" І черга (проектні роботи та будівництво)  - погашення заборгованості за минулі роки</t>
  </si>
  <si>
    <t>Реконструкція будівлі дошкільного навчального закладу №186 по вул.12 Квітня, 2а (проектні та будівельні роботи)</t>
  </si>
  <si>
    <t>Реконструкція Палацу спорту "Юність" у м.Запоріжжя (проектні  та будівельні роботи)</t>
  </si>
  <si>
    <t xml:space="preserve">Реконструкція будівлі Міського Палацу дитячої та юнацької творчості по пл. Леніна, 1 </t>
  </si>
  <si>
    <t>Управління з питань охорони здоров"я  Запорізької  міської ради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</si>
  <si>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 - погашення заборгованості за минулі роки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</si>
  <si>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</si>
  <si>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</si>
  <si>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</si>
  <si>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Реконструкція прибудови до житлової будівлі під амбулаторію сімейного лікаря по вул. Дорошенко, 3 в Хортицькому районі, м. Запоріжжя</t>
  </si>
  <si>
    <t xml:space="preserve">Реконструкція частини будівлі під амбулаторію сімейного лікаря по вул. 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</si>
  <si>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</si>
  <si>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</si>
  <si>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</si>
  <si>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</si>
  <si>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</si>
  <si>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Ремонтні та реставраційні роботи по будівлі комунального закладу охорони здоров’я «Студентська поліклініка» по пр. Леніна, 59 м.Запоріжжя</t>
  </si>
  <si>
    <t>Термомодернізація будівлі комунальної установи "Центральна поліклініка Жовтневого району" по пр. Леніна, 88, м.Запоріжжя - реконструкція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</si>
  <si>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</si>
  <si>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 xml:space="preserve">Реконструкція амбулаторії №6  Центру первинної медико-санітарної допомоги № 2 по вул. Брюллова, 6 в м.Запоріжжя (проектні роботи) </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</si>
  <si>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</si>
  <si>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Управління соціального захисту населення Запорізької міської ради</t>
  </si>
  <si>
    <t>Реконструкція будівлі по вул. Таганська, 8 під соціальний готель (проектні та будівельні роботи)</t>
  </si>
  <si>
    <t>Реконструкція будівлі під центр реінтеграції бездомних осіб по вул. Перспективна, 2А в м.Запоріжжі (проектні роботи та експертиза)</t>
  </si>
  <si>
    <t>Управління культури і мистецтв Запорізької міської ради</t>
  </si>
  <si>
    <t>Попередження створенню аварійного стану прибудови комунального підприємства Палац культури "Орбіта"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</si>
  <si>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</si>
  <si>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</si>
  <si>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</si>
  <si>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Житловий будинок по пр. Леніна, 133  м. Запоріжжя - ліквідація  аварійного стану надбудови над аркою</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</si>
  <si>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</si>
  <si>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Реконструкція житлового будинку  по вул.Республіканській, 88  в м. Запоріжжя</t>
  </si>
  <si>
    <t>Реконструкція житлового будинку по пл. Профспілок, 4</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</si>
  <si>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</si>
  <si>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</si>
  <si>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</si>
  <si>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Реконструкція житлового будинку по вул.Ракетній, 38а  в м. Запоріжжя</t>
  </si>
  <si>
    <t xml:space="preserve">Житловий будинок по бул. Вінтера,50 - реконструкція  </t>
  </si>
  <si>
    <t>Реконструкція будівлі по вул. 40 років Радянської України, 41а - погашення заборгованості за минулі роки</t>
  </si>
  <si>
    <t xml:space="preserve">Реконструкція системи диспетчеризації ліфтового господарства в Комунарському районі м. Запоріжжя </t>
  </si>
  <si>
    <t>Будівництво дитячих майданчиків  (проектні та будівельні роботи)</t>
  </si>
  <si>
    <t>в тому числі за адресами:</t>
  </si>
  <si>
    <t>пр.Леніна, 143 - погашення заборгованості за минулі роки</t>
  </si>
  <si>
    <t>пр. Леніна, 192 - погашення заборгованості за минулі роки</t>
  </si>
  <si>
    <t>пр. Леніна, 148 - погашення заборгованості за минулі роки</t>
  </si>
  <si>
    <t>пр. Леніна, 96</t>
  </si>
  <si>
    <t>вул. Перемоги, 65- погашення заборгованості за минулі роки</t>
  </si>
  <si>
    <t>вул.Перемоги, 87а - погашення заборгованості за минулі роки</t>
  </si>
  <si>
    <t>вул.Перемоги, 131а</t>
  </si>
  <si>
    <t>вул.Дегтярьова, 5а</t>
  </si>
  <si>
    <t>вул. Гагаріна, 8 - погашення заборгованості за минулі роки</t>
  </si>
  <si>
    <t>вул. Н.Містечка, 19 гол. фасад.</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</si>
  <si>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</si>
  <si>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</si>
  <si>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</si>
  <si>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</si>
  <si>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</si>
  <si>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вул.Центральна, 5</t>
  </si>
  <si>
    <t>вул.Фільтрова, 25 - погашення заборгованості за минулі роки</t>
  </si>
  <si>
    <t>вул.Фундаментальна, 17 - погашення заборгованості за минулі роки</t>
  </si>
  <si>
    <t>вул.Магнітна, 2 - погашення заборгованості за минулі роки</t>
  </si>
  <si>
    <t>вул.Тенісна, 11</t>
  </si>
  <si>
    <t>вул.Історична, 73 - погашення заборгованості за минулі роки</t>
  </si>
  <si>
    <t>вул. Історична, 37а - погашення заборгованості за минулі роки</t>
  </si>
  <si>
    <t>вул.Республіканська, 51 - погашення заборгованості за минулі роки</t>
  </si>
  <si>
    <t>вул.Гудименко,9 - погашення заборгованості за минулі роки</t>
  </si>
  <si>
    <t>пр.Ювілейний,23А</t>
  </si>
  <si>
    <t xml:space="preserve">пр.Ювілейний,29 </t>
  </si>
  <si>
    <t>пр.Ювілейний, 24/1</t>
  </si>
  <si>
    <t>вул.Рубана,13</t>
  </si>
  <si>
    <t>вул.Задніпровська,21 - погашення заборгованості за минулі роки</t>
  </si>
  <si>
    <t>вул.Задніпровська,27 - погашення заборгованості за минулі роки</t>
  </si>
  <si>
    <t>вул.Задніпровська, 36</t>
  </si>
  <si>
    <t>вул.Зестафонська,10-б - погашення заборгованості за минулі роки</t>
  </si>
  <si>
    <t>вул.Дніпровські пороги,21 - погашення заборгованості за минулі роки</t>
  </si>
  <si>
    <t>вул.Зернова,30а - погашення заборгованості за минулі роки</t>
  </si>
  <si>
    <t>вул.Кремлівська, 17 - погашення заборгованості за минулі роки</t>
  </si>
  <si>
    <t>вул.Кремлівська,81 - погашення заборгованості за минулі роки</t>
  </si>
  <si>
    <t xml:space="preserve">вул. Портова, буд. 2  - погашення заборгованості за минулі роки                                                                                                     </t>
  </si>
  <si>
    <t>вул.Чарівна,95 - погашення заборгованості за минулі роки</t>
  </si>
  <si>
    <t>вул.Військбуд,84 - погашення заборгованості за минулі роки</t>
  </si>
  <si>
    <t>вул.Памірська,91</t>
  </si>
  <si>
    <t>вул. Кузнєцова,34а - погашення заборгованості за минулі роки</t>
  </si>
  <si>
    <t>вул. Кузнєцова,34б</t>
  </si>
  <si>
    <t xml:space="preserve">вул.Космічна,101 </t>
  </si>
  <si>
    <t xml:space="preserve">вул.Космічна,112 б </t>
  </si>
  <si>
    <t xml:space="preserve">вул.Новокузнецька,36а </t>
  </si>
  <si>
    <t xml:space="preserve">вул.Чумаченко,13 </t>
  </si>
  <si>
    <t>вул.Чумаченко,36а - погашення заборгованості за минулі роки</t>
  </si>
  <si>
    <t>вул.Автозаводська,4 - погашення заборгованості за минулі роки</t>
  </si>
  <si>
    <t>пр.40 річчя Перемоги,63 - погашення заборгованості за минулі роки</t>
  </si>
  <si>
    <t>пр.40 річчя Перемоги,67</t>
  </si>
  <si>
    <t>вул.Олімпійська,10</t>
  </si>
  <si>
    <t>вул.Антарктична,15а - погашення заборгованості за минулі роки</t>
  </si>
  <si>
    <t xml:space="preserve">вул.Садова,101 </t>
  </si>
  <si>
    <t>вул. 40 років Радянської України, 49</t>
  </si>
  <si>
    <t xml:space="preserve">вул. Миру, 5 </t>
  </si>
  <si>
    <t>бул. Центральний, 3</t>
  </si>
  <si>
    <t>вул. Лермонтова, 6 - погашення заборгованості за минулі роки</t>
  </si>
  <si>
    <t>вул. Грязнова, 2 - погашення заборгованості за минулі роки</t>
  </si>
  <si>
    <t>вул.Грязнова, 90а - погашення заборгованості за минулі роки</t>
  </si>
  <si>
    <t>вул. Козача, 47 - погашення заборгованості за минулі роки</t>
  </si>
  <si>
    <t>вул. Комунарівська, 64 - погашення заборгованості за минулі роки</t>
  </si>
  <si>
    <t>вул.Свердлова, 39</t>
  </si>
  <si>
    <t>вул.Молодіжна, 85 - погашення заборгованості за минулі роки</t>
  </si>
  <si>
    <t>вул.Чернівецька, 6</t>
  </si>
  <si>
    <t>вул.Дніпропетровське шосе, 54</t>
  </si>
  <si>
    <t>вул. Ладозька, 14 - погашення заборгованості за минулі роки</t>
  </si>
  <si>
    <t>вул.Гребельна, 1 - погашення заборгованості за минулі роки</t>
  </si>
  <si>
    <t>вул.14 Жовтня, 9 - погашення заборгованості за минулі роки</t>
  </si>
  <si>
    <t>вул.Лахтинська, 7 - погашення заборгованості за минулі роки</t>
  </si>
  <si>
    <t>пр.Моторобудівників, 3 - погашення заборгованості за минулі роки</t>
  </si>
  <si>
    <t>вул.Уральська, 27 - погашення заборгованості за минулі роки</t>
  </si>
  <si>
    <t>вул.Деповська, 85</t>
  </si>
  <si>
    <t xml:space="preserve">вул.Ніжинська, 68-а </t>
  </si>
  <si>
    <t>вул.Узбекистанська, 5</t>
  </si>
  <si>
    <t xml:space="preserve">Будівництво спортивних майданчиків </t>
  </si>
  <si>
    <t>вул. Перемоги, 119-б  - погашення заборгованості за минулі роки</t>
  </si>
  <si>
    <t>вул. Магістральна,  72а - погашення заборгованості за минулі роки</t>
  </si>
  <si>
    <t>вул. Магістральна, 92а - погашення заборгованості за минулі роки</t>
  </si>
  <si>
    <t>вул. Чарівна, 127 - погашення заборгованості за минулі роки</t>
  </si>
  <si>
    <t>вул.Ніжинська,66 - погашення заборгованості за минулі роки</t>
  </si>
  <si>
    <t>вул. Історична, 20 а - погашення заборгованості за минулі роки</t>
  </si>
  <si>
    <t>вул. Історична, 29</t>
  </si>
  <si>
    <t>вул.Історична,34 - погашення заборгованості за минулі роки</t>
  </si>
  <si>
    <t>вул.Глазунова,6</t>
  </si>
  <si>
    <t>вул.Ентузіастів,3</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</si>
  <si>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</si>
  <si>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</si>
  <si>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</si>
  <si>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</si>
  <si>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</si>
  <si>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вул.Дослідна станція,84 - погашення заборгованості за минулі роки</t>
  </si>
  <si>
    <t>вул.Рязанська,11 -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</si>
  <si>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</si>
  <si>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</si>
  <si>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</si>
  <si>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Гоголя, 124 - погашення заборгованості за минулі роки</t>
  </si>
  <si>
    <t>вул. Горького, 55 -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</si>
  <si>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</si>
  <si>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</si>
  <si>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</si>
  <si>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</si>
  <si>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</si>
  <si>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</si>
  <si>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</si>
  <si>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пр. Моторобудівників, 26</t>
  </si>
  <si>
    <t xml:space="preserve">вул. Лермонтова, 14 - погашення заборгованості за минулі роки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</si>
  <si>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</si>
  <si>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</si>
  <si>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водогону з його виносом з-під житлової забудови по вул. Первомайській (від вул. Кооперативної до вул.Української, 92) в м.Запоріжжі</t>
  </si>
  <si>
    <t>Нове будівництво гостьової автостоянки КП "Центральний парк культури і відпочинку "Дубовий гай" по Прибережній магістралі в м. Запоріжжі</t>
  </si>
  <si>
    <t>Вертикальне планування території в районі житлових будинків по вул. Нагнибіди, 11, 11а в м.Запоріжжі - нове будівництво</t>
  </si>
  <si>
    <t>Реконструкція мостового переходу через залізницю по вул. Заводській в м.Запоріжжі</t>
  </si>
  <si>
    <t>Нове будівництво ґрунтової підпірної  стінки в котловані незавершеного будівництва житлового будинку по вул.Горького, 167 в м. Запоріжжі</t>
  </si>
  <si>
    <t>Реконструкція мереж зовнішнього освітлення Центрального парку культури і відпочинку "Дубовий гай" в м. Запоріжжі ТП-267 (парк "Дубовий гай")"</t>
  </si>
  <si>
    <t xml:space="preserve">Реконструкція мереж зовнішнього освітлення на внутрішньоквартальній території по вул. Малиновського ТП-118 </t>
  </si>
  <si>
    <t>Реконструкція мереж зовнішнього освітлення по вул. Тополіна ТП-52 у м. Запоріжжя</t>
  </si>
  <si>
    <t>Реконструкція мереж зовнішнього освітлення на внутрішньоквартальній території по вул. Малиновського ТП-153</t>
  </si>
  <si>
    <t xml:space="preserve">Реконструкція мереж зовнішнього освітлення на внутрішньоквартальній території по вул. Малиновського ТП-158 </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</si>
  <si>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</si>
  <si>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</si>
  <si>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</si>
  <si>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Реконструкція мереж зовнішнього освітлення по вул. Володарського - погашення заборгованості за минулі роки</t>
  </si>
  <si>
    <t>Реконструкція мереж зовнішнього освітлення на внутрішньоквартальній території по пр. Радянський (5 мікрорайон) ТП-611  - погашення заборгованості за минулі роки</t>
  </si>
  <si>
    <t xml:space="preserve">Реконструкція мереж зовнішнього освітлення по вул. Логінова </t>
  </si>
  <si>
    <t>Реконструкція мереж зовнішнього освітлення по пров. Арбатський</t>
  </si>
  <si>
    <t>Реконструкція мереж зовнішнього освітлення скверу кінотеатру "Южний" (сквер по вул. Калініна - вул. Культурна) - погашення заборгованості за минулі роки</t>
  </si>
  <si>
    <t>Реконструкція мереж зовнішнього освітлення по вул. Крилова</t>
  </si>
  <si>
    <t>Реконструкція мереж зовнішнього освітлення по вул. Новгородська (гуртожиток по вул. Новгородська)</t>
  </si>
  <si>
    <t>Реконструкція мереж зовнішнього освітлення на внутрішньоквартальній території по пр. Радянський (5 мікрорайон) ТП-612</t>
  </si>
  <si>
    <t xml:space="preserve">Реконструкція мереж зовнішнього освітлення по вул. Оборонна </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</si>
  <si>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</si>
  <si>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</si>
  <si>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</si>
  <si>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Метрополітенівській</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</si>
  <si>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</si>
  <si>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</si>
  <si>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бул. Шевченка (центральна алея від пр. Леніна до вул. Перемоги)</t>
  </si>
  <si>
    <t xml:space="preserve">Реконструкція мереж зовнішнього освітлення по вул. Теплова </t>
  </si>
  <si>
    <t>Реконструкція мереж зовнішнього освітлення по вул. Деповська</t>
  </si>
  <si>
    <t xml:space="preserve">Реконструкція мереж зовнішнього освітлення по вул. Автодорівська </t>
  </si>
  <si>
    <t>Реконструкція мереж зовнішнього освітлення по вул. Армавірська</t>
  </si>
  <si>
    <t>Реконструкція мереж зовнішнього освітлення по вул. Кустанайська</t>
  </si>
  <si>
    <t>Реконструкція мереж зовнішнього освітлення по вул.Приовражна, 4а-12 (проектні роботи та експертиза)</t>
  </si>
  <si>
    <t>Реконструкція будівлі  насосної станції (літера А) з розташуванням в ній котельної та насосної групи по вул. Софіївській, 232б в м. Запоріжжі</t>
  </si>
  <si>
    <t>Будівництво мереж зовнішнього освітлення І мосту ім. Преображенського (новий Дніпро) у м.Запоріжжі (проектні та будівельні роботи)</t>
  </si>
  <si>
    <t xml:space="preserve">Будівництво мереж зовнішнього освітлення ІІ мосту ім. Преображенського (старий Дніпро) у м.Запоріжжі (проектні та будівельні роботи) </t>
  </si>
  <si>
    <t>Будівництво мереж зовнішнього освітлення по вул. Вогнетривка, 1-11 (проектні роботи та експертиза)</t>
  </si>
  <si>
    <t>Реконструкція мереж зовнішнього освітлення дитячого майданчика по вул. Дорошенка, 6 у м.Запоріжжя  (проектні роботи, експертиза)</t>
  </si>
  <si>
    <t>Реконструкція інженерних мереж на перехресті пр.Леніна та пр.Металургів м.Запоріжжя (проектні та будівельні роботи) - погашення заборгованості за минулі роки</t>
  </si>
  <si>
    <t>Реконструкція автодороги Запоріжжя-Підпорожнянка в районі шлакових відвалів ВАТ "Запоріжсталь" - погашення заборгованості за минулі роки</t>
  </si>
  <si>
    <t>Реконструкція тротуару по вул. Новокузнецькій (непарна сторона)</t>
  </si>
  <si>
    <t>Реконструкція вул. Лермонтова (від вул.Правди до вул.Заводської) м.Запоріжжя (проектні та будівельні роботи) - погашення заборгованості за минулі роки</t>
  </si>
  <si>
    <t>Реконструкція скверу  Театрального  в м. 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</si>
  <si>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</si>
  <si>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</si>
  <si>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 xml:space="preserve">Будівництво світлофорного об'єкту на перехресті вул. Сєдова - виїзд з 7 медсанчастини </t>
  </si>
  <si>
    <t>Будівництво світлофорного об'єкту на перехресті вул.Чумаченка - вул.Олімпійська - погашення заборгованості за минулі роки</t>
  </si>
  <si>
    <t xml:space="preserve">Будівництво світлофорного об'єкту на перехресті вул. Північне шосе - дорога на Сталепрокатний завод </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</si>
  <si>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</si>
  <si>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зовнішнього електропостачання будівлі Палацу спорту "Юність" (проектні роботи, експертиза)</t>
  </si>
  <si>
    <t>Будівництво теплової мережі до 3-ої секції житлового будинку по вул.Дзержинського, 114 (проектні та будівельні роботи)</t>
  </si>
  <si>
    <t>Інженерне забезпечення (електропостачання) об'єкту "Будівництво та облаштування притулку для утримання безпритульних тварин м.Запоріжжя" - погашення заборгованості за минулі роки</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</si>
  <si>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</si>
  <si>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Будівництво малих архітектурних форм по пр. Леніна, 204 з влаштуванням підсвітлення в  м.Запоріжжя - погашення заборгованості за минулі роки</t>
  </si>
  <si>
    <t>Реконструкція частини центральної пішохідної алеї по пр. Ювілейному в м. Запоріжжі  (проектні роботи, експертиза)</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</si>
  <si>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</si>
  <si>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</si>
  <si>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Реконструкція автошляхопроводу  по вул. Карпенка-Карого (проектні та будівельні роботи)</t>
  </si>
  <si>
    <t xml:space="preserve">Ліквідація аварійного стану на ділянці автодороги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</si>
  <si>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</si>
  <si>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Завершення будівництва по вул. Калнишевського, вул. Дорошенко, вул. Рубана (зовнішнє освітлення та дороги) </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</si>
  <si>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</si>
  <si>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t>
  </si>
  <si>
    <t xml:space="preserve">Реконструкція вул.Рекордної від вул. Портова до вул. Алюмінева (проектні роботи) </t>
  </si>
  <si>
    <t>Реконструкція скверу ім. 60-річчя СРСР та прилеглої території в м. Запоріжжі (ескізний проект)  - погашення заборгованості за минулі роки</t>
  </si>
  <si>
    <t>Реконструкція площі ім. Леніна в м.Запоріжжя (проектно-вишукувальні роботи)</t>
  </si>
  <si>
    <t xml:space="preserve">Будівництво водогону Д=315 мм по вул.Сапожнікова, м.Запоріжжя </t>
  </si>
  <si>
    <t>Будівництво трамвайної колії від пр. Леніна до вул. Жовтневої в м. Запоріжжі (проектно-вишукувальні роботи, експертиза)</t>
  </si>
  <si>
    <t>Будівництво майданчику для силової гімнастики з благоустроєм в районі будинку №15 по вул. Південноукраїнської в м.Запоріжжі</t>
  </si>
  <si>
    <t>Реконструкція вулично-шляхової мережі по вул. Квітучій в межах від вул. Братської до вул. Вінницької в Ленінському районі - погашення заборгованості за минулі роки</t>
  </si>
  <si>
    <t>Будівництво дитячих будинків сімейного типу  в сел. Тепличне в районі житлової забудови по вул. Центральній в м. Запоріжжі (проектні роботи, експертиза)</t>
  </si>
  <si>
    <t>Житловий будинок по вул.Дзержинського, 52 - реконструкція в м. Запоріжжі</t>
  </si>
  <si>
    <t>Гуртожиток по вул.Жовтнева,2 - реконструкція системи теплопостачання</t>
  </si>
  <si>
    <t>Будівництво мереж зовнішнього освітлення по вул. Горького (від вул. Радянської до вул. Червоногвардійської) в м.Запоріжжя  (проектні та будівельні  роботи )</t>
  </si>
  <si>
    <t>Будівництво мереж зовнішнього освітлення по вул. Свердлова (від вул. Жуковського до вул. Гоголя) (проектні та будівельні роботи)</t>
  </si>
  <si>
    <t>Будівництво дороги до каналізаційної насосної станції №3 по вул. Лізи Чайкіної  (проектні роботи)</t>
  </si>
  <si>
    <t>Реконструкція дороги  вул.  Стешенка від вул. Новокузнецької до вул. Автозаводської в Комунарському районі м. Запоріжжя (проектні роботи, експертиза)</t>
  </si>
  <si>
    <t>Реконструкція вул.Горького з заміною трамвайної колії від вул.Комунарівської до скверу ім.Пушкіна в Жовтневому районі м. Запоріжжя (проектні роботи)</t>
  </si>
  <si>
    <t xml:space="preserve">Реконструкція вул. Гоголя від вул. Української до вул. Грязнова в Жовтневому районі м. Запоріжжя </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</si>
  <si>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</si>
  <si>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</si>
  <si>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Реконструкція вул. Жуковського від вул. Леппіка до вул. Залізничної  у Жовтневому районі м. Запоріжжя (проектні  роботи) </t>
  </si>
  <si>
    <t>Реконструкція вул. Жовтневої від пр. Леніна  до вул.  Жуковського в Жовтневому районі м. Запоріжжя (проектні роботи)</t>
  </si>
  <si>
    <t>Будівництво водопропуску через річку Сагайдачку по вул.Скельній в м.Запоріжжя</t>
  </si>
  <si>
    <t>Будівництво споруд зливової каналізації в межах відновлення берегової території сел. Павло-Кічкас м. Запоріжжя (проектні роботи)</t>
  </si>
  <si>
    <t>Будівництво зливової каналізації по вул. Іванова у Шевченківському районі м. Запоріжжя ( проектні роботи)</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</si>
  <si>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</si>
  <si>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</si>
  <si>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</si>
  <si>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</si>
  <si>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</si>
  <si>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</si>
  <si>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Влаштування флагштоків у парку Металургів в м.Запоріжжі на Алеї Пам"яті Героїв, загиблих в АТО - нове будівництво</t>
  </si>
  <si>
    <t>Реконструкція пішохідної частини проспекту Маяковського (проектні роботи)</t>
  </si>
  <si>
    <t>Реконструкція вул. Сталеварів (від пр. Леніна  до вул. Перемоги)</t>
  </si>
  <si>
    <t>Житлове будівництво та придбання житла для окремих категорій населення</t>
  </si>
  <si>
    <t>Внески органів місцевого самоврядування у статутні капітали суб'єктів підприємницької діяльності</t>
  </si>
  <si>
    <t>в тому числі</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</si>
  <si>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82.1-10 од., трактор Беларусь 320МУ - 1 од., трактор Борекс - 1 од., кущоріз - 1 од.)</t>
  </si>
  <si>
    <t>Комунальне підприємство "Експлуатаційне лінійне управління автомобільних шляхів" (придбання навантажувача фронтального В-130 - 1 од., автобусу Богдан А 20110 - 1 од., дорожньо-розміточної машини з самохідним приводом руху - 1 од., газелі вантажопасажирської АС - G 27057-388 ВП6 (4*4) - 3 од., самоскиду на шасі FOTON AUMAN 30т - 2 од.)</t>
  </si>
  <si>
    <t>Комунальне підприємство "Титан" (придбання мобільних туалетних кабін - 50 од., пам'ятні знаки "Запорізьким захисникам України - 2 од.)</t>
  </si>
  <si>
    <t>Комунальне підприємство "Запоріжміськсвітло" (придбання комп'ютерної техніки)</t>
  </si>
  <si>
    <t>Внески у статутні капітали комунальних підприємств міста - погашення заборгованості за минулі роки</t>
  </si>
  <si>
    <t>Комунальне підприємство "Зеленбуд" (придбання бензопил "STIHL"  - 6 од., бензопил  "Мотор-Січ" - 2 од.,  мотоножиць "STIHL" - 4 од., мотокіс "STIHL"  - 15 од., високорізів "STIHL"  - 8 од.)</t>
  </si>
  <si>
    <t>Комунальне підприємство "Експлуатаційне лінійне управління автомобільних шляхів" (придбання тротуароприбиральної машини Джонстон CN 101 - 1 од., підмітально-прибиральної машини Brod Sweeden AB Scandia 2 - 1 од., дорожньо-розміточної машини Graco Line Lazer IV 3900 - 1 од.)</t>
  </si>
  <si>
    <t>Комунальне підприємство "Титан" (придбання пляжеприбиральної машини "Ondina" (SCAM) - 1 од., міні трактори МТ 6112 -  2 од.)</t>
  </si>
  <si>
    <t>Міське комунальне підприємство "Основаніє" (придбання  піскорозкидувачу - 5 од., відбійних молотків "Макіта" - 13 од., мотокоси "Husqvarna"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</si>
  <si>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"Запоріжміськсвітло" (придбання автомобілів)</t>
  </si>
  <si>
    <t>Управління з питань транспортного забезпечення та зв'язку Запорізької міської ради</t>
  </si>
  <si>
    <t>Реконструкція контактної мережі тролейбусу на греблі "Дніпрогес" і на дільниці від площі Леніна до естакади через шлюзи</t>
  </si>
  <si>
    <t>Будівництво та встановлення оглядових веж</t>
  </si>
  <si>
    <t>Будівництво мереж освітлення оглядових веж</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</si>
  <si>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</si>
  <si>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</si>
  <si>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</si>
  <si>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(придбання спецтехніки - 2 технологічних автомобілів)</t>
  </si>
  <si>
    <t>Департамент економічного розвитку Запорізької міської ради</t>
  </si>
  <si>
    <t>Реконструкція хлораторної ДВС-2,  м. Запоріжжя (проектні та будівельні роботи)</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</si>
  <si>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</si>
  <si>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</si>
  <si>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r>
      <t>Газифікація житлових будинків по вул. Воєнбуд м.Запоріжжя</t>
    </r>
  </si>
  <si>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</si>
  <si>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</si>
  <si>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</si>
  <si>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Районна адміністрація Запорізької міської ради по Орджонікідзевському району</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</si>
  <si>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</si>
  <si>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</si>
  <si>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</si>
  <si>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</si>
  <si>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</si>
  <si>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зовнішнього освітлення в районі вул. Правда - вул. Чубаря, м.Запоріжжя (проектні та будівельні роботи)</t>
  </si>
  <si>
    <t>Будівництво декоративних підпірних стін від вул. Правда до вул. Перемога (проектні та будівельні роботи)</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</si>
  <si>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 - погашення заборгованості за минулі роки</t>
  </si>
  <si>
    <t>Районна адміністрація Запорізької міської ради по Жовтневому району</t>
  </si>
  <si>
    <t>Реконструкція  центральної алеї парку "Дубовий гай" в м.Запоріжжя - погашення заборгованості за минулі роки</t>
  </si>
  <si>
    <t>Реконструкція скверу біля пам"ятника Ф.Е. Дзержинського, в м. Запоріжжі</t>
  </si>
  <si>
    <t>Районна адміністрація Запорізької міської ради по Заводському району</t>
  </si>
  <si>
    <t xml:space="preserve">Реконструкція скверу, прилеглого до ПК "Заводський" з улаштуванням дитячого майданчику </t>
  </si>
  <si>
    <t xml:space="preserve">150101 </t>
  </si>
  <si>
    <t>150118</t>
  </si>
  <si>
    <t>180409</t>
  </si>
  <si>
    <t>65</t>
  </si>
  <si>
    <t>150121</t>
  </si>
  <si>
    <t>95</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</si>
  <si>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</si>
  <si>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</si>
  <si>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</si>
  <si>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</si>
  <si>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070202</t>
  </si>
  <si>
    <t>Вечірні (змінні) школи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</si>
  <si>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</si>
  <si>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</si>
  <si>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</si>
  <si>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</si>
  <si>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</si>
  <si>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</si>
  <si>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070806</t>
  </si>
  <si>
    <t>Групи централізованого господарського обслуговування</t>
  </si>
  <si>
    <t>130107</t>
  </si>
  <si>
    <t>Утримання та навчально-тренувальна робота дитячо-юнацьких спортивних шкіл</t>
  </si>
  <si>
    <t>130110</t>
  </si>
  <si>
    <t>Фінансова підтримка спортивних споруд</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</si>
  <si>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</si>
  <si>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</si>
  <si>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</si>
  <si>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</si>
  <si>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</si>
  <si>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</si>
  <si>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</si>
  <si>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</si>
  <si>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</si>
  <si>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</si>
  <si>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</si>
  <si>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</si>
  <si>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</si>
  <si>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</si>
  <si>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</si>
  <si>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090203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</si>
</sst>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
    <numFmt numFmtId="168" formatCode="0.00000"/>
  </numFmts>
  <fonts count="28">
    <font>
      <sz val="11"/>
      <color indexed="8"/>
      <name val="Calibri"/>
      <family val="2"/>
    </font>
    <font>
      <sz val="14"/>
      <name val="Times New Roman"/>
      <family val="1"/>
    </font>
    <font>
      <b/>
      <sz val="14"/>
      <name val="Times New Roman"/>
      <family val="1"/>
    </font>
    <font>
      <sz val="10"/>
      <name val="Arial Cyr"/>
      <family val="0"/>
    </font>
    <font>
      <sz val="12"/>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name val="Times New Roman"/>
      <family val="1"/>
    </font>
    <font>
      <b/>
      <u val="single"/>
      <sz val="20"/>
      <name val="Times New Roman"/>
      <family val="1"/>
    </font>
    <font>
      <b/>
      <sz val="18"/>
      <name val="Times New Roman"/>
      <family val="1"/>
    </font>
    <font>
      <sz val="18"/>
      <name val="Times New Roman"/>
      <family val="1"/>
    </font>
    <font>
      <sz val="22"/>
      <name val="Times New Roman"/>
      <family val="1"/>
    </font>
    <font>
      <sz val="14"/>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indexed="5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style="medium"/>
    </border>
    <border>
      <left style="medium"/>
      <right style="thin"/>
      <top/>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top style="medium"/>
      <bottom style="thin"/>
    </border>
    <border>
      <left style="medium"/>
      <right/>
      <top style="thin"/>
      <bottom/>
    </border>
    <border>
      <left style="medium"/>
      <right/>
      <top style="medium"/>
      <bottom style="medium"/>
    </border>
    <border>
      <left style="medium"/>
      <right/>
      <top/>
      <bottom style="thin"/>
    </border>
    <border>
      <left style="medium"/>
      <right/>
      <top style="thin"/>
      <bottom style="thin"/>
    </border>
    <border>
      <left style="thin"/>
      <right style="medium"/>
      <top style="thin"/>
      <bottom/>
    </border>
    <border>
      <left style="thin"/>
      <right style="medium"/>
      <top/>
      <bottom/>
    </border>
    <border>
      <left style="medium"/>
      <right/>
      <top style="thin"/>
      <bottom style="medium"/>
    </border>
    <border>
      <left style="thin"/>
      <right style="medium"/>
      <top style="medium"/>
      <bottom style="thin"/>
    </border>
  </borders>
  <cellStyleXfs count="7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0" fillId="0" borderId="0">
      <alignment/>
      <protection/>
    </xf>
    <xf numFmtId="0" fontId="0" fillId="0" borderId="0">
      <alignment/>
      <protection/>
    </xf>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4" fillId="21" borderId="11"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0" fontId="0" fillId="23" borderId="12"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cellStyleXfs>
  <cellXfs count="166">
    <xf numFmtId="0" fontId="0" fillId="0" borderId="0" xfId="0" applyAlignment="1">
      <alignment/>
    </xf>
    <xf numFmtId="165" fontId="1" fillId="24" borderId="15" xfId="0" applyNumberFormat="1" applyFont="1" applyFill="1" applyBorder="1" applyAlignment="1">
      <alignment horizontal="center" vertical="center" wrapText="1"/>
    </xf>
    <xf numFmtId="166" fontId="1" fillId="24" borderId="15" xfId="682" applyNumberFormat="1" applyFont="1" applyFill="1" applyBorder="1" applyAlignment="1">
      <alignment horizontal="center" vertical="center" wrapText="1"/>
    </xf>
    <xf numFmtId="0" fontId="1" fillId="24" borderId="15" xfId="623" applyFont="1" applyFill="1" applyBorder="1" applyAlignment="1">
      <alignment horizontal="left" vertical="center" wrapText="1"/>
      <protection/>
    </xf>
    <xf numFmtId="49" fontId="1" fillId="24" borderId="15" xfId="623" applyNumberFormat="1" applyFont="1" applyFill="1" applyBorder="1" applyAlignment="1">
      <alignment horizontal="left" vertical="center" wrapText="1"/>
      <protection/>
    </xf>
    <xf numFmtId="49" fontId="1" fillId="24" borderId="15" xfId="0" applyNumberFormat="1" applyFont="1" applyFill="1" applyBorder="1" applyAlignment="1">
      <alignment horizontal="left" vertical="center" wrapText="1"/>
    </xf>
    <xf numFmtId="3" fontId="1" fillId="24" borderId="15" xfId="0" applyNumberFormat="1" applyFont="1" applyFill="1" applyBorder="1" applyAlignment="1">
      <alignment horizontal="right" wrapText="1"/>
    </xf>
    <xf numFmtId="166" fontId="1" fillId="24" borderId="15" xfId="0" applyNumberFormat="1" applyFont="1" applyFill="1" applyBorder="1" applyAlignment="1">
      <alignment horizontal="right" wrapText="1"/>
    </xf>
    <xf numFmtId="2" fontId="1" fillId="24" borderId="15" xfId="0" applyNumberFormat="1" applyFont="1" applyFill="1" applyBorder="1" applyAlignment="1">
      <alignment horizontal="left" vertical="center" wrapText="1"/>
    </xf>
    <xf numFmtId="0" fontId="1" fillId="24" borderId="15" xfId="614" applyFont="1" applyFill="1" applyBorder="1" applyAlignment="1">
      <alignment horizontal="left" vertical="center" wrapText="1"/>
      <protection/>
    </xf>
    <xf numFmtId="166" fontId="1" fillId="24" borderId="15" xfId="0" applyNumberFormat="1" applyFont="1" applyFill="1" applyBorder="1" applyAlignment="1">
      <alignment horizontal="center" vertical="center" wrapText="1"/>
    </xf>
    <xf numFmtId="165" fontId="1" fillId="24" borderId="15" xfId="623" applyNumberFormat="1" applyFont="1" applyFill="1" applyBorder="1" applyAlignment="1">
      <alignment horizontal="center" vertical="center" wrapText="1"/>
      <protection/>
    </xf>
    <xf numFmtId="165" fontId="1" fillId="24" borderId="15" xfId="628" applyNumberFormat="1" applyFont="1" applyFill="1" applyBorder="1" applyAlignment="1">
      <alignment horizontal="center" vertical="center" wrapText="1"/>
      <protection/>
    </xf>
    <xf numFmtId="167" fontId="1" fillId="24" borderId="15" xfId="0" applyNumberFormat="1" applyFont="1" applyFill="1" applyBorder="1" applyAlignment="1">
      <alignment horizontal="center" vertical="center" wrapText="1"/>
    </xf>
    <xf numFmtId="0" fontId="1" fillId="24" borderId="15" xfId="616" applyFont="1" applyFill="1" applyBorder="1" applyAlignment="1">
      <alignment horizontal="left" vertical="center" wrapText="1"/>
      <protection/>
    </xf>
    <xf numFmtId="165" fontId="1" fillId="24" borderId="15" xfId="321" applyNumberFormat="1" applyFont="1" applyFill="1" applyBorder="1" applyAlignment="1">
      <alignment horizontal="center" vertical="center" wrapText="1"/>
      <protection/>
    </xf>
    <xf numFmtId="0" fontId="1" fillId="24" borderId="15" xfId="617" applyFont="1" applyFill="1" applyBorder="1" applyAlignment="1">
      <alignment horizontal="left" vertical="center" wrapText="1"/>
      <protection/>
    </xf>
    <xf numFmtId="165" fontId="1" fillId="24" borderId="15" xfId="617" applyNumberFormat="1" applyFont="1" applyFill="1" applyBorder="1" applyAlignment="1">
      <alignment horizontal="center" vertical="center" wrapText="1"/>
      <protection/>
    </xf>
    <xf numFmtId="0" fontId="1" fillId="24" borderId="15" xfId="322" applyFont="1" applyFill="1" applyBorder="1" applyAlignment="1">
      <alignment horizontal="left" vertical="center" wrapText="1"/>
      <protection/>
    </xf>
    <xf numFmtId="0" fontId="1" fillId="24" borderId="15" xfId="618" applyFont="1" applyFill="1" applyBorder="1" applyAlignment="1">
      <alignment horizontal="left" vertical="center" wrapText="1"/>
      <protection/>
    </xf>
    <xf numFmtId="0" fontId="1" fillId="24" borderId="15" xfId="627" applyFont="1" applyFill="1" applyBorder="1" applyAlignment="1">
      <alignment horizontal="left" vertical="center" wrapText="1"/>
      <protection/>
    </xf>
    <xf numFmtId="165" fontId="1" fillId="24" borderId="15" xfId="627" applyNumberFormat="1" applyFont="1" applyFill="1" applyBorder="1" applyAlignment="1">
      <alignment horizontal="center" vertical="center" wrapText="1"/>
      <protection/>
    </xf>
    <xf numFmtId="167" fontId="1" fillId="24" borderId="15" xfId="617" applyNumberFormat="1" applyFont="1" applyFill="1" applyBorder="1" applyAlignment="1">
      <alignment horizontal="center" vertical="center" wrapText="1"/>
      <protection/>
    </xf>
    <xf numFmtId="164" fontId="1" fillId="24" borderId="15" xfId="0" applyNumberFormat="1" applyFont="1" applyFill="1" applyBorder="1" applyAlignment="1">
      <alignment horizontal="center" vertical="center" wrapText="1"/>
    </xf>
    <xf numFmtId="165" fontId="1" fillId="24" borderId="15" xfId="0" applyNumberFormat="1" applyFont="1" applyFill="1" applyBorder="1" applyAlignment="1">
      <alignment horizontal="center" vertical="center"/>
    </xf>
    <xf numFmtId="0" fontId="2" fillId="24" borderId="15" xfId="0" applyFont="1" applyFill="1" applyBorder="1" applyAlignment="1">
      <alignment horizontal="left" vertical="center" wrapText="1"/>
    </xf>
    <xf numFmtId="165" fontId="2" fillId="24" borderId="15" xfId="0" applyNumberFormat="1" applyFont="1" applyFill="1" applyBorder="1" applyAlignment="1">
      <alignment horizontal="center" vertical="center" wrapText="1"/>
    </xf>
    <xf numFmtId="0" fontId="2" fillId="24" borderId="15" xfId="0" applyFont="1" applyFill="1" applyBorder="1" applyAlignment="1">
      <alignment horizontal="center" vertical="center" wrapText="1"/>
    </xf>
    <xf numFmtId="0" fontId="1" fillId="24" borderId="15" xfId="0" applyFont="1" applyFill="1" applyBorder="1" applyAlignment="1">
      <alignment horizontal="left" vertical="top" wrapText="1"/>
    </xf>
    <xf numFmtId="0" fontId="1" fillId="24" borderId="15" xfId="0" applyNumberFormat="1" applyFont="1" applyFill="1" applyBorder="1" applyAlignment="1">
      <alignment horizontal="center" vertical="center" wrapText="1"/>
    </xf>
    <xf numFmtId="0" fontId="4" fillId="24" borderId="15" xfId="614" applyFont="1" applyFill="1" applyBorder="1" applyAlignment="1">
      <alignment horizontal="left" vertical="center" wrapText="1"/>
      <protection/>
    </xf>
    <xf numFmtId="0" fontId="4" fillId="24" borderId="15" xfId="614" applyFont="1" applyFill="1" applyBorder="1" applyAlignment="1">
      <alignment wrapText="1"/>
      <protection/>
    </xf>
    <xf numFmtId="0" fontId="2" fillId="24" borderId="16"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8" xfId="0" applyFont="1" applyFill="1" applyBorder="1" applyAlignment="1">
      <alignment horizontal="left" vertical="center" wrapText="1"/>
    </xf>
    <xf numFmtId="0" fontId="1" fillId="24" borderId="18" xfId="0" applyFont="1" applyFill="1" applyBorder="1" applyAlignment="1">
      <alignment horizontal="center" vertical="center" wrapText="1"/>
    </xf>
    <xf numFmtId="0" fontId="1" fillId="24" borderId="15" xfId="0" applyFont="1" applyFill="1" applyBorder="1" applyAlignment="1">
      <alignment horizontal="center" vertical="center" wrapText="1"/>
    </xf>
    <xf numFmtId="3" fontId="1" fillId="24" borderId="15" xfId="0" applyNumberFormat="1" applyFont="1" applyFill="1" applyBorder="1" applyAlignment="1">
      <alignment horizontal="center" vertical="center" wrapText="1"/>
    </xf>
    <xf numFmtId="49" fontId="1" fillId="24" borderId="15" xfId="0" applyNumberFormat="1" applyFont="1" applyFill="1" applyBorder="1" applyAlignment="1">
      <alignment horizontal="center" vertical="center" wrapText="1"/>
    </xf>
    <xf numFmtId="0" fontId="1" fillId="24" borderId="15" xfId="0" applyFont="1" applyFill="1" applyBorder="1" applyAlignment="1">
      <alignment horizontal="left" vertical="center" wrapText="1"/>
    </xf>
    <xf numFmtId="0" fontId="1" fillId="24" borderId="15" xfId="628" applyFont="1" applyFill="1" applyBorder="1" applyAlignment="1">
      <alignment horizontal="left" vertical="center" wrapText="1"/>
      <protection/>
    </xf>
    <xf numFmtId="0" fontId="1" fillId="24" borderId="19" xfId="0" applyFont="1" applyFill="1" applyBorder="1" applyAlignment="1">
      <alignment vertical="center" wrapText="1"/>
    </xf>
    <xf numFmtId="165" fontId="1" fillId="24" borderId="19" xfId="0" applyNumberFormat="1" applyFont="1" applyFill="1" applyBorder="1" applyAlignment="1">
      <alignment vertical="center" wrapText="1"/>
    </xf>
    <xf numFmtId="49" fontId="1" fillId="24" borderId="16" xfId="0" applyNumberFormat="1" applyFont="1" applyFill="1" applyBorder="1" applyAlignment="1">
      <alignment horizontal="center" vertical="center" wrapText="1"/>
    </xf>
    <xf numFmtId="49" fontId="1" fillId="24" borderId="16" xfId="0" applyNumberFormat="1" applyFont="1" applyFill="1" applyBorder="1" applyAlignment="1">
      <alignment horizontal="center" vertical="center"/>
    </xf>
    <xf numFmtId="0" fontId="1" fillId="24" borderId="20" xfId="0" applyFont="1" applyFill="1" applyBorder="1" applyAlignment="1">
      <alignment horizontal="center" vertical="center" wrapText="1"/>
    </xf>
    <xf numFmtId="0" fontId="1" fillId="24" borderId="19" xfId="0" applyFont="1" applyFill="1" applyBorder="1" applyAlignment="1">
      <alignment horizontal="left" vertical="center" wrapText="1"/>
    </xf>
    <xf numFmtId="0" fontId="1" fillId="24" borderId="16" xfId="0" applyFont="1" applyFill="1" applyBorder="1" applyAlignment="1">
      <alignment horizontal="center" vertical="center" wrapText="1"/>
    </xf>
    <xf numFmtId="165" fontId="1" fillId="24" borderId="18" xfId="0" applyNumberFormat="1" applyFont="1" applyFill="1" applyBorder="1" applyAlignment="1">
      <alignment horizontal="center" vertical="center"/>
    </xf>
    <xf numFmtId="166" fontId="1" fillId="24" borderId="18" xfId="682" applyNumberFormat="1" applyFont="1" applyFill="1" applyBorder="1" applyAlignment="1">
      <alignment horizontal="center" vertical="center" wrapText="1"/>
    </xf>
    <xf numFmtId="165" fontId="1" fillId="24" borderId="18" xfId="0" applyNumberFormat="1" applyFont="1" applyFill="1" applyBorder="1" applyAlignment="1">
      <alignment horizontal="center" vertical="center" wrapText="1"/>
    </xf>
    <xf numFmtId="167" fontId="1" fillId="24" borderId="18" xfId="0" applyNumberFormat="1" applyFont="1" applyFill="1" applyBorder="1" applyAlignment="1">
      <alignment horizontal="center" vertical="center" wrapText="1"/>
    </xf>
    <xf numFmtId="0" fontId="1" fillId="24" borderId="21" xfId="0" applyFont="1" applyFill="1" applyBorder="1" applyAlignment="1">
      <alignment vertical="center" wrapText="1"/>
    </xf>
    <xf numFmtId="0" fontId="2" fillId="24" borderId="22" xfId="0" applyFont="1" applyFill="1" applyBorder="1" applyAlignment="1">
      <alignment horizontal="center" vertical="center" wrapText="1"/>
    </xf>
    <xf numFmtId="0" fontId="2" fillId="24" borderId="23" xfId="0" applyFont="1" applyFill="1" applyBorder="1" applyAlignment="1">
      <alignment horizontal="left" vertical="center" wrapText="1"/>
    </xf>
    <xf numFmtId="165" fontId="2" fillId="24" borderId="23" xfId="0" applyNumberFormat="1"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0" xfId="0" applyFont="1" applyFill="1" applyBorder="1" applyAlignment="1">
      <alignment horizontal="left" vertical="center" wrapText="1"/>
    </xf>
    <xf numFmtId="0" fontId="22" fillId="24" borderId="0" xfId="0" applyFont="1" applyFill="1" applyBorder="1" applyAlignment="1">
      <alignment vertical="center" wrapText="1"/>
    </xf>
    <xf numFmtId="0" fontId="23" fillId="24" borderId="0" xfId="0" applyFont="1" applyFill="1" applyBorder="1" applyAlignment="1">
      <alignment vertical="center" wrapText="1"/>
    </xf>
    <xf numFmtId="49" fontId="25" fillId="24" borderId="0" xfId="0" applyNumberFormat="1" applyFont="1" applyFill="1" applyBorder="1" applyAlignment="1">
      <alignment horizontal="center" vertical="center" wrapText="1"/>
    </xf>
    <xf numFmtId="49" fontId="25" fillId="24" borderId="0" xfId="0" applyNumberFormat="1" applyFont="1" applyFill="1" applyBorder="1" applyAlignment="1">
      <alignment horizontal="left" vertical="center" wrapText="1"/>
    </xf>
    <xf numFmtId="0" fontId="25" fillId="24" borderId="0" xfId="0" applyFont="1" applyFill="1" applyBorder="1" applyAlignment="1">
      <alignment horizontal="center" vertical="center" wrapText="1"/>
    </xf>
    <xf numFmtId="49" fontId="25" fillId="24" borderId="0" xfId="0" applyNumberFormat="1" applyFont="1" applyFill="1" applyBorder="1" applyAlignment="1">
      <alignment vertical="center" wrapText="1"/>
    </xf>
    <xf numFmtId="49" fontId="25" fillId="24" borderId="0" xfId="0" applyNumberFormat="1" applyFont="1" applyFill="1" applyBorder="1" applyAlignment="1">
      <alignment wrapText="1"/>
    </xf>
    <xf numFmtId="0" fontId="1" fillId="24" borderId="0" xfId="0" applyFont="1" applyFill="1" applyBorder="1" applyAlignment="1">
      <alignment horizontal="center" vertical="center" wrapText="1"/>
    </xf>
    <xf numFmtId="164" fontId="1" fillId="24" borderId="0" xfId="0" applyNumberFormat="1" applyFont="1" applyFill="1" applyBorder="1" applyAlignment="1">
      <alignment horizontal="center" vertical="center" wrapText="1"/>
    </xf>
    <xf numFmtId="0" fontId="1" fillId="24" borderId="0" xfId="0" applyFont="1" applyFill="1" applyBorder="1" applyAlignment="1">
      <alignment horizontal="left" vertical="center" wrapText="1"/>
    </xf>
    <xf numFmtId="0" fontId="1" fillId="24" borderId="24" xfId="0" applyFont="1" applyFill="1" applyBorder="1" applyAlignment="1">
      <alignment horizontal="center" vertical="center" wrapText="1"/>
    </xf>
    <xf numFmtId="0" fontId="1" fillId="24" borderId="25" xfId="0" applyFont="1" applyFill="1" applyBorder="1" applyAlignment="1">
      <alignment horizontal="center" vertical="center" wrapText="1"/>
    </xf>
    <xf numFmtId="0" fontId="1" fillId="24" borderId="26" xfId="0" applyFont="1" applyFill="1" applyBorder="1" applyAlignment="1">
      <alignment horizontal="center" vertical="center" wrapText="1"/>
    </xf>
    <xf numFmtId="0" fontId="1" fillId="24" borderId="27" xfId="0" applyFont="1" applyFill="1" applyBorder="1" applyAlignment="1">
      <alignment horizontal="center" vertical="center" wrapText="1"/>
    </xf>
    <xf numFmtId="0" fontId="1" fillId="24" borderId="28" xfId="0" applyFont="1" applyFill="1" applyBorder="1" applyAlignment="1">
      <alignment horizontal="center" vertical="center" wrapText="1"/>
    </xf>
    <xf numFmtId="1" fontId="1" fillId="24" borderId="28" xfId="0" applyNumberFormat="1" applyFont="1" applyFill="1" applyBorder="1" applyAlignment="1">
      <alignment horizontal="center" vertical="center" wrapText="1"/>
    </xf>
    <xf numFmtId="0" fontId="1" fillId="24" borderId="29" xfId="0" applyFont="1" applyFill="1" applyBorder="1" applyAlignment="1">
      <alignment horizontal="center" vertical="center" wrapText="1"/>
    </xf>
    <xf numFmtId="0" fontId="2" fillId="24" borderId="30" xfId="0" applyFont="1" applyFill="1" applyBorder="1" applyAlignment="1">
      <alignment horizontal="left" vertical="center" wrapText="1"/>
    </xf>
    <xf numFmtId="166" fontId="2" fillId="24" borderId="15" xfId="682" applyNumberFormat="1" applyFont="1" applyFill="1" applyBorder="1" applyAlignment="1">
      <alignment horizontal="center" vertical="center" wrapText="1"/>
    </xf>
    <xf numFmtId="165" fontId="1" fillId="24" borderId="19" xfId="0" applyNumberFormat="1" applyFont="1" applyFill="1" applyBorder="1" applyAlignment="1">
      <alignment horizontal="left" vertical="center" wrapText="1"/>
    </xf>
    <xf numFmtId="0" fontId="1" fillId="24" borderId="19" xfId="614" applyFont="1" applyFill="1" applyBorder="1" applyAlignment="1">
      <alignment horizontal="left" vertical="center" wrapText="1"/>
      <protection/>
    </xf>
    <xf numFmtId="165" fontId="1" fillId="24" borderId="19" xfId="614" applyNumberFormat="1" applyFont="1" applyFill="1" applyBorder="1" applyAlignment="1">
      <alignment horizontal="left" vertical="center" wrapText="1"/>
      <protection/>
    </xf>
    <xf numFmtId="0" fontId="1" fillId="24" borderId="19" xfId="626" applyFont="1" applyFill="1" applyBorder="1" applyAlignment="1">
      <alignment horizontal="left" vertical="center" wrapText="1"/>
      <protection/>
    </xf>
    <xf numFmtId="49" fontId="2" fillId="24" borderId="16" xfId="0" applyNumberFormat="1" applyFont="1" applyFill="1" applyBorder="1" applyAlignment="1">
      <alignment horizontal="center" vertical="center" wrapText="1"/>
    </xf>
    <xf numFmtId="0" fontId="25" fillId="24" borderId="0" xfId="0" applyFont="1" applyFill="1" applyAlignment="1">
      <alignment/>
    </xf>
    <xf numFmtId="0" fontId="1" fillId="24" borderId="0" xfId="0" applyFont="1" applyFill="1" applyAlignment="1">
      <alignment/>
    </xf>
    <xf numFmtId="0" fontId="2" fillId="24" borderId="0" xfId="0" applyFont="1" applyFill="1" applyAlignment="1">
      <alignment/>
    </xf>
    <xf numFmtId="0" fontId="2" fillId="24" borderId="19" xfId="0" applyFont="1" applyFill="1" applyBorder="1" applyAlignment="1">
      <alignment horizontal="left" vertical="center" wrapText="1"/>
    </xf>
    <xf numFmtId="0" fontId="1" fillId="24" borderId="19" xfId="0" applyNumberFormat="1" applyFont="1" applyFill="1" applyBorder="1" applyAlignment="1">
      <alignment horizontal="left" vertical="center" wrapText="1"/>
    </xf>
    <xf numFmtId="0" fontId="1" fillId="24" borderId="0" xfId="0" applyFont="1" applyFill="1" applyAlignment="1">
      <alignment horizontal="left" vertical="center" wrapText="1"/>
    </xf>
    <xf numFmtId="0" fontId="1" fillId="24" borderId="31" xfId="0" applyFont="1" applyFill="1" applyBorder="1" applyAlignment="1">
      <alignment horizontal="center" vertical="center" wrapText="1"/>
    </xf>
    <xf numFmtId="0" fontId="1" fillId="24" borderId="32"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2" fillId="24" borderId="34" xfId="0" applyFont="1" applyFill="1" applyBorder="1" applyAlignment="1">
      <alignment horizontal="center" vertical="center" wrapText="1"/>
    </xf>
    <xf numFmtId="49" fontId="2" fillId="24" borderId="35" xfId="0" applyNumberFormat="1" applyFont="1" applyFill="1" applyBorder="1" applyAlignment="1">
      <alignment horizontal="center" vertical="center"/>
    </xf>
    <xf numFmtId="0" fontId="2" fillId="24" borderId="35" xfId="0" applyFont="1" applyFill="1" applyBorder="1" applyAlignment="1">
      <alignment horizontal="center" vertical="center" wrapText="1"/>
    </xf>
    <xf numFmtId="49" fontId="1" fillId="24" borderId="35" xfId="0" applyNumberFormat="1" applyFont="1" applyFill="1" applyBorder="1" applyAlignment="1">
      <alignment horizontal="center" vertical="center" wrapText="1"/>
    </xf>
    <xf numFmtId="0" fontId="1" fillId="24" borderId="35" xfId="0" applyFont="1" applyFill="1" applyBorder="1" applyAlignment="1">
      <alignment horizontal="center" vertical="center" wrapText="1"/>
    </xf>
    <xf numFmtId="49" fontId="1" fillId="24" borderId="35" xfId="0" applyNumberFormat="1" applyFont="1" applyFill="1" applyBorder="1" applyAlignment="1">
      <alignment horizontal="center" vertical="center"/>
    </xf>
    <xf numFmtId="0" fontId="1" fillId="24" borderId="35" xfId="0" applyFont="1" applyFill="1" applyBorder="1" applyAlignment="1">
      <alignment horizontal="center" vertical="center"/>
    </xf>
    <xf numFmtId="49" fontId="2" fillId="24" borderId="35" xfId="0" applyNumberFormat="1" applyFont="1" applyFill="1" applyBorder="1" applyAlignment="1">
      <alignment horizontal="center" vertical="center" wrapText="1"/>
    </xf>
    <xf numFmtId="0" fontId="2" fillId="24" borderId="22"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1" fillId="24" borderId="16" xfId="0" applyFont="1" applyFill="1" applyBorder="1" applyAlignment="1">
      <alignment horizontal="left" vertical="center" wrapText="1"/>
    </xf>
    <xf numFmtId="0" fontId="1" fillId="24" borderId="16" xfId="0" applyFont="1" applyFill="1" applyBorder="1" applyAlignment="1">
      <alignment vertical="center" wrapText="1"/>
    </xf>
    <xf numFmtId="49" fontId="1" fillId="24" borderId="0" xfId="0" applyNumberFormat="1" applyFont="1" applyFill="1" applyBorder="1" applyAlignment="1">
      <alignment horizontal="center" vertical="center" wrapText="1"/>
    </xf>
    <xf numFmtId="165" fontId="1" fillId="24" borderId="0" xfId="0" applyNumberFormat="1" applyFont="1" applyFill="1" applyBorder="1" applyAlignment="1">
      <alignment horizontal="center" vertical="center" wrapText="1"/>
    </xf>
    <xf numFmtId="49" fontId="1" fillId="24" borderId="0" xfId="0" applyNumberFormat="1" applyFont="1" applyFill="1" applyBorder="1" applyAlignment="1">
      <alignment horizontal="right" vertical="center" wrapText="1"/>
    </xf>
    <xf numFmtId="2" fontId="1" fillId="24" borderId="0" xfId="0" applyNumberFormat="1" applyFont="1" applyFill="1" applyBorder="1" applyAlignment="1">
      <alignment horizontal="center" vertical="center" wrapText="1"/>
    </xf>
    <xf numFmtId="3" fontId="1" fillId="24" borderId="28" xfId="0" applyNumberFormat="1" applyFont="1" applyFill="1" applyBorder="1" applyAlignment="1">
      <alignment horizontal="center" vertical="center" wrapText="1"/>
    </xf>
    <xf numFmtId="0" fontId="2" fillId="24" borderId="30" xfId="0" applyFont="1" applyFill="1" applyBorder="1" applyAlignment="1">
      <alignment vertical="center" wrapText="1"/>
    </xf>
    <xf numFmtId="0" fontId="1" fillId="24" borderId="19" xfId="614" applyFont="1" applyFill="1" applyBorder="1" applyAlignment="1">
      <alignment horizontal="justify" vertical="center" wrapText="1"/>
      <protection/>
    </xf>
    <xf numFmtId="49" fontId="2" fillId="24" borderId="15" xfId="0" applyNumberFormat="1" applyFont="1" applyFill="1" applyBorder="1" applyAlignment="1">
      <alignment horizontal="left" vertical="center" wrapText="1"/>
    </xf>
    <xf numFmtId="167" fontId="2" fillId="24" borderId="15" xfId="0" applyNumberFormat="1" applyFont="1" applyFill="1" applyBorder="1" applyAlignment="1">
      <alignment horizontal="center" vertical="center" wrapText="1"/>
    </xf>
    <xf numFmtId="0" fontId="2" fillId="24" borderId="15" xfId="623" applyFont="1" applyFill="1" applyBorder="1" applyAlignment="1">
      <alignment horizontal="left" vertical="center" wrapText="1"/>
      <protection/>
    </xf>
    <xf numFmtId="0" fontId="2" fillId="24" borderId="15" xfId="0" applyFont="1" applyFill="1" applyBorder="1" applyAlignment="1">
      <alignment vertical="center" wrapText="1"/>
    </xf>
    <xf numFmtId="49" fontId="2" fillId="24" borderId="15" xfId="0" applyNumberFormat="1" applyFont="1" applyFill="1" applyBorder="1" applyAlignment="1">
      <alignment horizontal="center" vertical="center" wrapText="1"/>
    </xf>
    <xf numFmtId="0" fontId="2" fillId="24" borderId="19" xfId="0" applyFont="1" applyFill="1" applyBorder="1" applyAlignment="1">
      <alignment vertical="center" wrapText="1"/>
    </xf>
    <xf numFmtId="0" fontId="1" fillId="24" borderId="19" xfId="629" applyFont="1" applyFill="1" applyBorder="1" applyAlignment="1">
      <alignment horizontal="left" vertical="center" wrapText="1"/>
      <protection/>
    </xf>
    <xf numFmtId="0" fontId="26" fillId="24" borderId="0" xfId="0" applyFont="1" applyFill="1" applyAlignment="1">
      <alignment vertical="center" wrapText="1"/>
    </xf>
    <xf numFmtId="0" fontId="1" fillId="24" borderId="0" xfId="0" applyFont="1" applyFill="1" applyAlignment="1">
      <alignment horizontal="center" vertical="center"/>
    </xf>
    <xf numFmtId="0" fontId="1" fillId="24" borderId="0" xfId="0" applyFont="1" applyFill="1" applyAlignment="1">
      <alignment vertical="center" wrapText="1"/>
    </xf>
    <xf numFmtId="0" fontId="26" fillId="24" borderId="0" xfId="0" applyFont="1" applyFill="1" applyBorder="1" applyAlignment="1">
      <alignment horizontal="left" wrapText="1"/>
    </xf>
    <xf numFmtId="165" fontId="2" fillId="24" borderId="0" xfId="0" applyNumberFormat="1" applyFont="1" applyFill="1" applyAlignment="1">
      <alignment/>
    </xf>
    <xf numFmtId="0" fontId="26" fillId="24" borderId="0" xfId="0" applyFont="1" applyFill="1" applyBorder="1" applyAlignment="1">
      <alignment horizontal="center" wrapText="1"/>
    </xf>
    <xf numFmtId="0" fontId="26" fillId="24" borderId="0" xfId="0" applyFont="1" applyFill="1" applyBorder="1" applyAlignment="1">
      <alignment wrapText="1"/>
    </xf>
    <xf numFmtId="0" fontId="26" fillId="24" borderId="0" xfId="0" applyFont="1" applyFill="1" applyAlignment="1">
      <alignment wrapText="1"/>
    </xf>
    <xf numFmtId="0" fontId="26" fillId="24" borderId="0" xfId="0" applyFont="1" applyFill="1" applyBorder="1" applyAlignment="1">
      <alignment vertical="center" wrapText="1"/>
    </xf>
    <xf numFmtId="49" fontId="1" fillId="24" borderId="16" xfId="0" applyNumberFormat="1" applyFont="1" applyFill="1" applyBorder="1" applyAlignment="1">
      <alignment horizontal="center" vertical="center" wrapText="1"/>
    </xf>
    <xf numFmtId="0" fontId="1" fillId="24" borderId="15" xfId="0" applyFont="1" applyFill="1" applyBorder="1" applyAlignment="1">
      <alignment horizontal="center" vertical="center" wrapText="1"/>
    </xf>
    <xf numFmtId="49" fontId="1" fillId="24" borderId="16" xfId="0" applyNumberFormat="1" applyFont="1" applyFill="1" applyBorder="1" applyAlignment="1">
      <alignment horizontal="center" vertical="center"/>
    </xf>
    <xf numFmtId="49" fontId="2" fillId="24" borderId="0" xfId="0" applyNumberFormat="1" applyFont="1" applyFill="1" applyBorder="1" applyAlignment="1">
      <alignment horizontal="center" vertical="center" wrapText="1"/>
    </xf>
    <xf numFmtId="165" fontId="1" fillId="24" borderId="25" xfId="0" applyNumberFormat="1" applyFont="1" applyFill="1" applyBorder="1" applyAlignment="1">
      <alignment horizontal="center" vertical="center" wrapText="1"/>
    </xf>
    <xf numFmtId="165" fontId="1" fillId="24" borderId="20" xfId="0" applyNumberFormat="1" applyFont="1" applyFill="1" applyBorder="1" applyAlignment="1">
      <alignment horizontal="center" vertical="center" wrapText="1"/>
    </xf>
    <xf numFmtId="165" fontId="1" fillId="24" borderId="19" xfId="0" applyNumberFormat="1" applyFont="1" applyFill="1" applyBorder="1" applyAlignment="1">
      <alignment vertical="center" wrapText="1"/>
    </xf>
    <xf numFmtId="0" fontId="27" fillId="24" borderId="19" xfId="0" applyFont="1" applyFill="1" applyBorder="1" applyAlignment="1">
      <alignment vertical="center" wrapText="1"/>
    </xf>
    <xf numFmtId="0" fontId="1" fillId="24" borderId="19" xfId="0" applyFont="1" applyFill="1" applyBorder="1" applyAlignment="1">
      <alignment horizontal="left" vertical="center" wrapText="1"/>
    </xf>
    <xf numFmtId="0" fontId="1" fillId="24" borderId="16" xfId="0" applyFont="1" applyFill="1" applyBorder="1" applyAlignment="1">
      <alignment horizontal="left" vertical="center" wrapText="1"/>
    </xf>
    <xf numFmtId="49" fontId="1" fillId="24" borderId="35" xfId="0" applyNumberFormat="1" applyFont="1" applyFill="1" applyBorder="1" applyAlignment="1">
      <alignment horizontal="center" vertical="center" wrapText="1"/>
    </xf>
    <xf numFmtId="0" fontId="1" fillId="24" borderId="35" xfId="0" applyFont="1" applyFill="1" applyBorder="1" applyAlignment="1">
      <alignment horizontal="center" vertical="center"/>
    </xf>
    <xf numFmtId="0" fontId="1" fillId="24" borderId="36" xfId="0" applyFont="1" applyFill="1" applyBorder="1" applyAlignment="1">
      <alignment horizontal="center" vertical="center" wrapText="1"/>
    </xf>
    <xf numFmtId="0" fontId="1" fillId="24" borderId="30" xfId="0" applyFont="1" applyFill="1" applyBorder="1" applyAlignment="1">
      <alignment horizontal="center" vertical="center" wrapText="1"/>
    </xf>
    <xf numFmtId="49" fontId="1" fillId="24" borderId="19" xfId="0" applyNumberFormat="1" applyFont="1" applyFill="1" applyBorder="1" applyAlignment="1">
      <alignment horizontal="left" vertical="center" wrapText="1"/>
    </xf>
    <xf numFmtId="0" fontId="1" fillId="24" borderId="19" xfId="626" applyFont="1" applyFill="1" applyBorder="1" applyAlignment="1">
      <alignment horizontal="left" vertical="center" wrapText="1"/>
      <protection/>
    </xf>
    <xf numFmtId="0" fontId="1" fillId="24" borderId="37" xfId="0" applyFont="1" applyFill="1" applyBorder="1" applyAlignment="1">
      <alignment horizontal="center" vertical="center" wrapText="1"/>
    </xf>
    <xf numFmtId="165" fontId="1" fillId="24" borderId="36" xfId="0" applyNumberFormat="1" applyFont="1" applyFill="1" applyBorder="1" applyAlignment="1">
      <alignment horizontal="center" vertical="center" wrapText="1"/>
    </xf>
    <xf numFmtId="165" fontId="1" fillId="24" borderId="37" xfId="0" applyNumberFormat="1" applyFont="1" applyFill="1" applyBorder="1" applyAlignment="1">
      <alignment horizontal="center" vertical="center" wrapText="1"/>
    </xf>
    <xf numFmtId="165" fontId="1" fillId="24" borderId="30" xfId="0" applyNumberFormat="1" applyFont="1" applyFill="1" applyBorder="1" applyAlignment="1">
      <alignment horizontal="center" vertical="center" wrapText="1"/>
    </xf>
    <xf numFmtId="0" fontId="1" fillId="24" borderId="19" xfId="614" applyFont="1" applyFill="1" applyBorder="1" applyAlignment="1">
      <alignment horizontal="left" vertical="center" wrapText="1"/>
      <protection/>
    </xf>
    <xf numFmtId="165" fontId="1" fillId="24" borderId="19" xfId="614" applyNumberFormat="1" applyFont="1" applyFill="1" applyBorder="1" applyAlignment="1">
      <alignment horizontal="left" vertical="center" wrapText="1"/>
      <protection/>
    </xf>
    <xf numFmtId="0" fontId="1" fillId="24" borderId="16" xfId="0" applyFont="1" applyFill="1" applyBorder="1" applyAlignment="1">
      <alignment horizontal="center" vertical="center" wrapText="1"/>
    </xf>
    <xf numFmtId="49" fontId="1" fillId="24" borderId="38" xfId="0" applyNumberFormat="1" applyFont="1" applyFill="1" applyBorder="1" applyAlignment="1">
      <alignment horizontal="center" vertical="center" wrapText="1"/>
    </xf>
    <xf numFmtId="0" fontId="1" fillId="24" borderId="17" xfId="0" applyFont="1" applyFill="1" applyBorder="1" applyAlignment="1">
      <alignment horizontal="left" vertical="center" wrapText="1"/>
    </xf>
    <xf numFmtId="0" fontId="1" fillId="24" borderId="35" xfId="0" applyFont="1" applyFill="1" applyBorder="1" applyAlignment="1">
      <alignment horizontal="center" vertical="center" wrapText="1"/>
    </xf>
    <xf numFmtId="0" fontId="1" fillId="24" borderId="16" xfId="628" applyFont="1" applyFill="1" applyBorder="1" applyAlignment="1">
      <alignment horizontal="left" vertical="center" wrapText="1"/>
      <protection/>
    </xf>
    <xf numFmtId="168" fontId="1" fillId="24" borderId="19" xfId="0" applyNumberFormat="1" applyFont="1" applyFill="1" applyBorder="1" applyAlignment="1">
      <alignment horizontal="left" vertical="center" wrapText="1"/>
    </xf>
    <xf numFmtId="49" fontId="24" fillId="24" borderId="0" xfId="0" applyNumberFormat="1" applyFont="1" applyFill="1" applyBorder="1" applyAlignment="1">
      <alignment horizontal="center" wrapText="1"/>
    </xf>
    <xf numFmtId="49" fontId="25" fillId="24" borderId="0" xfId="0" applyNumberFormat="1" applyFont="1" applyFill="1" applyBorder="1" applyAlignment="1">
      <alignment horizontal="center" wrapText="1"/>
    </xf>
    <xf numFmtId="0" fontId="1" fillId="24" borderId="0" xfId="0" applyFont="1" applyFill="1" applyBorder="1" applyAlignment="1">
      <alignment horizontal="left" vertical="center" wrapText="1"/>
    </xf>
    <xf numFmtId="0" fontId="1" fillId="24" borderId="25" xfId="0" applyFont="1" applyFill="1" applyBorder="1" applyAlignment="1">
      <alignment horizontal="center" vertical="center" wrapText="1"/>
    </xf>
    <xf numFmtId="0" fontId="1" fillId="24" borderId="20" xfId="0" applyFont="1" applyFill="1" applyBorder="1" applyAlignment="1">
      <alignment horizontal="center" vertical="center" wrapText="1"/>
    </xf>
    <xf numFmtId="164" fontId="1" fillId="24" borderId="25" xfId="0" applyNumberFormat="1" applyFont="1" applyFill="1" applyBorder="1" applyAlignment="1">
      <alignment horizontal="center" vertical="center" textRotation="90" wrapText="1"/>
    </xf>
    <xf numFmtId="164" fontId="1" fillId="24" borderId="20" xfId="0" applyNumberFormat="1" applyFont="1" applyFill="1" applyBorder="1" applyAlignment="1">
      <alignment horizontal="center" vertical="center" textRotation="90" wrapText="1"/>
    </xf>
    <xf numFmtId="0" fontId="1" fillId="24" borderId="39" xfId="0" applyFont="1" applyFill="1" applyBorder="1" applyAlignment="1">
      <alignment horizontal="center" vertical="center" wrapText="1"/>
    </xf>
    <xf numFmtId="0" fontId="26" fillId="24" borderId="0" xfId="0" applyFont="1" applyFill="1" applyBorder="1" applyAlignment="1">
      <alignment horizontal="left" wrapText="1"/>
    </xf>
    <xf numFmtId="0" fontId="26" fillId="24" borderId="0" xfId="0" applyFont="1" applyFill="1" applyAlignment="1">
      <alignment horizontal="center" wrapText="1"/>
    </xf>
    <xf numFmtId="0" fontId="1" fillId="24" borderId="19" xfId="0" applyFont="1" applyFill="1" applyBorder="1" applyAlignment="1">
      <alignment vertical="center" wrapText="1"/>
    </xf>
  </cellXfs>
  <cellStyles count="748">
    <cellStyle name="Normal" xfId="0"/>
    <cellStyle name="20% - Акцент1" xfId="15"/>
    <cellStyle name="20% - Акцент1 2" xfId="16"/>
    <cellStyle name="20% - Акцент1 2 2" xfId="17"/>
    <cellStyle name="20% - Акцент1 2 3" xfId="18"/>
    <cellStyle name="20% - Акцент1 2 4" xfId="19"/>
    <cellStyle name="20% - Акцент1 3" xfId="20"/>
    <cellStyle name="20% - Акцент1 3 2" xfId="21"/>
    <cellStyle name="20% - Акцент1 3 3" xfId="22"/>
    <cellStyle name="20% - Акцент1 3 4" xfId="23"/>
    <cellStyle name="20% - Акцент1 4" xfId="24"/>
    <cellStyle name="20% - Акцент1 4 2" xfId="25"/>
    <cellStyle name="20% - Акцент1 4 3" xfId="26"/>
    <cellStyle name="20% - Акцент1 4 4" xfId="27"/>
    <cellStyle name="20% - Акцент1 5" xfId="28"/>
    <cellStyle name="20% - Акцент1 5 2" xfId="29"/>
    <cellStyle name="20% - Акцент1 5 3" xfId="30"/>
    <cellStyle name="20% - Акцент1 5 4" xfId="31"/>
    <cellStyle name="20% - Акцент2" xfId="32"/>
    <cellStyle name="20% - Акцент2 2" xfId="33"/>
    <cellStyle name="20% - Акцент2 2 2" xfId="34"/>
    <cellStyle name="20% - Акцент2 2 3" xfId="35"/>
    <cellStyle name="20% - Акцент2 2 4" xfId="36"/>
    <cellStyle name="20% - Акцент2 3" xfId="37"/>
    <cellStyle name="20% - Акцент2 3 2" xfId="38"/>
    <cellStyle name="20% - Акцент2 3 3" xfId="39"/>
    <cellStyle name="20% - Акцент2 3 4" xfId="40"/>
    <cellStyle name="20% - Акцент2 4" xfId="41"/>
    <cellStyle name="20% - Акцент2 4 2" xfId="42"/>
    <cellStyle name="20% - Акцент2 4 3" xfId="43"/>
    <cellStyle name="20% - Акцент2 4 4" xfId="44"/>
    <cellStyle name="20% - Акцент2 5" xfId="45"/>
    <cellStyle name="20% - Акцент2 5 2" xfId="46"/>
    <cellStyle name="20% - Акцент2 5 3" xfId="47"/>
    <cellStyle name="20% - Акцент2 5 4" xfId="48"/>
    <cellStyle name="20% - Акцент3" xfId="49"/>
    <cellStyle name="20% - Акцент3 2" xfId="50"/>
    <cellStyle name="20% - Акцент3 2 2" xfId="51"/>
    <cellStyle name="20% - Акцент3 2 3" xfId="52"/>
    <cellStyle name="20% - Акцент3 2 4" xfId="53"/>
    <cellStyle name="20% - Акцент3 3" xfId="54"/>
    <cellStyle name="20% - Акцент3 3 2" xfId="55"/>
    <cellStyle name="20% - Акцент3 3 3" xfId="56"/>
    <cellStyle name="20% - Акцент3 3 4" xfId="57"/>
    <cellStyle name="20% - Акцент3 4" xfId="58"/>
    <cellStyle name="20% - Акцент3 4 2" xfId="59"/>
    <cellStyle name="20% - Акцент3 4 3" xfId="60"/>
    <cellStyle name="20% - Акцент3 4 4" xfId="61"/>
    <cellStyle name="20% - Акцент3 5" xfId="62"/>
    <cellStyle name="20% - Акцент3 5 2" xfId="63"/>
    <cellStyle name="20% - Акцент3 5 3" xfId="64"/>
    <cellStyle name="20% - Акцент3 5 4" xfId="65"/>
    <cellStyle name="20% - Акцент4" xfId="66"/>
    <cellStyle name="20% - Акцент4 2" xfId="67"/>
    <cellStyle name="20% - Акцент4 2 2" xfId="68"/>
    <cellStyle name="20% - Акцент4 2 3" xfId="69"/>
    <cellStyle name="20% - Акцент4 2 4" xfId="70"/>
    <cellStyle name="20% - Акцент4 3" xfId="71"/>
    <cellStyle name="20% - Акцент4 3 2" xfId="72"/>
    <cellStyle name="20% - Акцент4 3 3" xfId="73"/>
    <cellStyle name="20% - Акцент4 3 4" xfId="74"/>
    <cellStyle name="20% - Акцент4 4" xfId="75"/>
    <cellStyle name="20% - Акцент4 4 2" xfId="76"/>
    <cellStyle name="20% - Акцент4 4 3" xfId="77"/>
    <cellStyle name="20% - Акцент4 4 4" xfId="78"/>
    <cellStyle name="20% - Акцент4 5" xfId="79"/>
    <cellStyle name="20% - Акцент4 5 2" xfId="80"/>
    <cellStyle name="20% - Акцент4 5 3" xfId="81"/>
    <cellStyle name="20% - Акцент4 5 4" xfId="82"/>
    <cellStyle name="20% - Акцент5" xfId="83"/>
    <cellStyle name="20% - Акцент5 2" xfId="84"/>
    <cellStyle name="20% - Акцент5 2 2" xfId="85"/>
    <cellStyle name="20% - Акцент5 2 3" xfId="86"/>
    <cellStyle name="20% - Акцент5 2 4" xfId="87"/>
    <cellStyle name="20% - Акцент5 3" xfId="88"/>
    <cellStyle name="20% - Акцент5 3 2" xfId="89"/>
    <cellStyle name="20% - Акцент5 3 3" xfId="90"/>
    <cellStyle name="20% - Акцент5 3 4" xfId="91"/>
    <cellStyle name="20% - Акцент5 4" xfId="92"/>
    <cellStyle name="20% - Акцент5 4 2" xfId="93"/>
    <cellStyle name="20% - Акцент5 4 3" xfId="94"/>
    <cellStyle name="20% - Акцент5 4 4" xfId="95"/>
    <cellStyle name="20% - Акцент5 5" xfId="96"/>
    <cellStyle name="20% - Акцент5 5 2" xfId="97"/>
    <cellStyle name="20% - Акцент5 5 3" xfId="98"/>
    <cellStyle name="20% - Акцент5 5 4" xfId="99"/>
    <cellStyle name="20% - Акцент6" xfId="100"/>
    <cellStyle name="20% - Акцент6 2" xfId="101"/>
    <cellStyle name="20% - Акцент6 2 2" xfId="102"/>
    <cellStyle name="20% - Акцент6 2 3" xfId="103"/>
    <cellStyle name="20% - Акцент6 2 4" xfId="104"/>
    <cellStyle name="20% - Акцент6 3" xfId="105"/>
    <cellStyle name="20% - Акцент6 3 2" xfId="106"/>
    <cellStyle name="20% - Акцент6 3 3" xfId="107"/>
    <cellStyle name="20% - Акцент6 3 4" xfId="108"/>
    <cellStyle name="20% - Акцент6 4" xfId="109"/>
    <cellStyle name="20% - Акцент6 4 2" xfId="110"/>
    <cellStyle name="20% - Акцент6 4 3" xfId="111"/>
    <cellStyle name="20% - Акцент6 4 4" xfId="112"/>
    <cellStyle name="20% - Акцент6 5" xfId="113"/>
    <cellStyle name="20% - Акцент6 5 2" xfId="114"/>
    <cellStyle name="20% - Акцент6 5 3" xfId="115"/>
    <cellStyle name="20% - Акцент6 5 4" xfId="116"/>
    <cellStyle name="40% - Акцент1" xfId="117"/>
    <cellStyle name="40% - Акцент1 2" xfId="118"/>
    <cellStyle name="40% - Акцент1 2 2" xfId="119"/>
    <cellStyle name="40% - Акцент1 2 3" xfId="120"/>
    <cellStyle name="40% - Акцент1 2 4" xfId="121"/>
    <cellStyle name="40% - Акцент1 3" xfId="122"/>
    <cellStyle name="40% - Акцент1 3 2" xfId="123"/>
    <cellStyle name="40% - Акцент1 3 3" xfId="124"/>
    <cellStyle name="40% - Акцент1 3 4" xfId="125"/>
    <cellStyle name="40% - Акцент1 4" xfId="126"/>
    <cellStyle name="40% - Акцент1 4 2" xfId="127"/>
    <cellStyle name="40% - Акцент1 4 3" xfId="128"/>
    <cellStyle name="40% - Акцент1 4 4" xfId="129"/>
    <cellStyle name="40% - Акцент1 5" xfId="130"/>
    <cellStyle name="40% - Акцент1 5 2" xfId="131"/>
    <cellStyle name="40% - Акцент1 5 3" xfId="132"/>
    <cellStyle name="40% - Акцент1 5 4" xfId="133"/>
    <cellStyle name="40% - Акцент2" xfId="134"/>
    <cellStyle name="40% - Акцент2 2" xfId="135"/>
    <cellStyle name="40% - Акцент2 2 2" xfId="136"/>
    <cellStyle name="40% - Акцент2 2 3" xfId="137"/>
    <cellStyle name="40% - Акцент2 2 4" xfId="138"/>
    <cellStyle name="40% - Акцент2 3" xfId="139"/>
    <cellStyle name="40% - Акцент2 3 2" xfId="140"/>
    <cellStyle name="40% - Акцент2 3 3" xfId="141"/>
    <cellStyle name="40% - Акцент2 3 4" xfId="142"/>
    <cellStyle name="40% - Акцент2 4" xfId="143"/>
    <cellStyle name="40% - Акцент2 4 2" xfId="144"/>
    <cellStyle name="40% - Акцент2 4 3" xfId="145"/>
    <cellStyle name="40% - Акцент2 4 4" xfId="146"/>
    <cellStyle name="40% - Акцент2 5" xfId="147"/>
    <cellStyle name="40% - Акцент2 5 2" xfId="148"/>
    <cellStyle name="40% - Акцент2 5 3" xfId="149"/>
    <cellStyle name="40% - Акцент2 5 4" xfId="150"/>
    <cellStyle name="40% - Акцент3" xfId="151"/>
    <cellStyle name="40% - Акцент3 2" xfId="152"/>
    <cellStyle name="40% - Акцент3 2 2" xfId="153"/>
    <cellStyle name="40% - Акцент3 2 3" xfId="154"/>
    <cellStyle name="40% - Акцент3 2 4" xfId="155"/>
    <cellStyle name="40% - Акцент3 3" xfId="156"/>
    <cellStyle name="40% - Акцент3 3 2" xfId="157"/>
    <cellStyle name="40% - Акцент3 3 3" xfId="158"/>
    <cellStyle name="40% - Акцент3 3 4" xfId="159"/>
    <cellStyle name="40% - Акцент3 4" xfId="160"/>
    <cellStyle name="40% - Акцент3 4 2" xfId="161"/>
    <cellStyle name="40% - Акцент3 4 3" xfId="162"/>
    <cellStyle name="40% - Акцент3 4 4" xfId="163"/>
    <cellStyle name="40% - Акцент3 5" xfId="164"/>
    <cellStyle name="40% - Акцент3 5 2" xfId="165"/>
    <cellStyle name="40% - Акцент3 5 3" xfId="166"/>
    <cellStyle name="40% - Акцент3 5 4" xfId="167"/>
    <cellStyle name="40% - Акцент4" xfId="168"/>
    <cellStyle name="40% - Акцент4 2" xfId="169"/>
    <cellStyle name="40% - Акцент4 2 2" xfId="170"/>
    <cellStyle name="40% - Акцент4 2 3" xfId="171"/>
    <cellStyle name="40% - Акцент4 2 4" xfId="172"/>
    <cellStyle name="40% - Акцент4 3" xfId="173"/>
    <cellStyle name="40% - Акцент4 3 2" xfId="174"/>
    <cellStyle name="40% - Акцент4 3 3" xfId="175"/>
    <cellStyle name="40% - Акцент4 3 4" xfId="176"/>
    <cellStyle name="40% - Акцент4 4" xfId="177"/>
    <cellStyle name="40% - Акцент4 4 2" xfId="178"/>
    <cellStyle name="40% - Акцент4 4 3" xfId="179"/>
    <cellStyle name="40% - Акцент4 4 4" xfId="180"/>
    <cellStyle name="40% - Акцент4 5" xfId="181"/>
    <cellStyle name="40% - Акцент4 5 2" xfId="182"/>
    <cellStyle name="40% - Акцент4 5 3" xfId="183"/>
    <cellStyle name="40% - Акцент4 5 4" xfId="184"/>
    <cellStyle name="40% - Акцент5" xfId="185"/>
    <cellStyle name="40% - Акцент5 2" xfId="186"/>
    <cellStyle name="40% - Акцент5 2 2" xfId="187"/>
    <cellStyle name="40% - Акцент5 2 3" xfId="188"/>
    <cellStyle name="40% - Акцент5 2 4" xfId="189"/>
    <cellStyle name="40% - Акцент5 3" xfId="190"/>
    <cellStyle name="40% - Акцент5 3 2" xfId="191"/>
    <cellStyle name="40% - Акцент5 3 3" xfId="192"/>
    <cellStyle name="40% - Акцент5 3 4" xfId="193"/>
    <cellStyle name="40% - Акцент5 4" xfId="194"/>
    <cellStyle name="40% - Акцент5 4 2" xfId="195"/>
    <cellStyle name="40% - Акцент5 4 3" xfId="196"/>
    <cellStyle name="40% - Акцент5 4 4" xfId="197"/>
    <cellStyle name="40% - Акцент5 5" xfId="198"/>
    <cellStyle name="40% - Акцент5 5 2" xfId="199"/>
    <cellStyle name="40% - Акцент5 5 3" xfId="200"/>
    <cellStyle name="40% - Акцент5 5 4" xfId="201"/>
    <cellStyle name="40% - Акцент6" xfId="202"/>
    <cellStyle name="40% - Акцент6 2" xfId="203"/>
    <cellStyle name="40% - Акцент6 2 2" xfId="204"/>
    <cellStyle name="40% - Акцент6 2 3" xfId="205"/>
    <cellStyle name="40% - Акцент6 2 4" xfId="206"/>
    <cellStyle name="40% - Акцент6 3" xfId="207"/>
    <cellStyle name="40% - Акцент6 3 2" xfId="208"/>
    <cellStyle name="40% - Акцент6 3 3" xfId="209"/>
    <cellStyle name="40% - Акцент6 3 4" xfId="210"/>
    <cellStyle name="40% - Акцент6 4" xfId="211"/>
    <cellStyle name="40% - Акцент6 4 2" xfId="212"/>
    <cellStyle name="40% - Акцент6 4 3" xfId="213"/>
    <cellStyle name="40% - Акцент6 4 4" xfId="214"/>
    <cellStyle name="40% - Акцент6 5" xfId="215"/>
    <cellStyle name="40% - Акцент6 5 2" xfId="216"/>
    <cellStyle name="40% - Акцент6 5 3" xfId="217"/>
    <cellStyle name="40% - Акцент6 5 4" xfId="218"/>
    <cellStyle name="60% - Акцент1" xfId="219"/>
    <cellStyle name="60% - Акцент1 2" xfId="220"/>
    <cellStyle name="60% - Акцент1 2 2" xfId="221"/>
    <cellStyle name="60% - Акцент1 2 3" xfId="222"/>
    <cellStyle name="60% - Акцент1 2 4" xfId="223"/>
    <cellStyle name="60% - Акцент1 3" xfId="224"/>
    <cellStyle name="60% - Акцент1 3 2" xfId="225"/>
    <cellStyle name="60% - Акцент1 3 3" xfId="226"/>
    <cellStyle name="60% - Акцент1 3 4" xfId="227"/>
    <cellStyle name="60% - Акцент1 4" xfId="228"/>
    <cellStyle name="60% - Акцент1 4 2" xfId="229"/>
    <cellStyle name="60% - Акцент1 4 3" xfId="230"/>
    <cellStyle name="60% - Акцент1 4 4" xfId="231"/>
    <cellStyle name="60% - Акцент1 5" xfId="232"/>
    <cellStyle name="60% - Акцент1 5 2" xfId="233"/>
    <cellStyle name="60% - Акцент1 5 3" xfId="234"/>
    <cellStyle name="60% - Акцент1 5 4" xfId="235"/>
    <cellStyle name="60% - Акцент2" xfId="236"/>
    <cellStyle name="60% - Акцент2 2" xfId="237"/>
    <cellStyle name="60% - Акцент2 2 2" xfId="238"/>
    <cellStyle name="60% - Акцент2 2 3" xfId="239"/>
    <cellStyle name="60% - Акцент2 2 4" xfId="240"/>
    <cellStyle name="60% - Акцент2 3" xfId="241"/>
    <cellStyle name="60% - Акцент2 3 2" xfId="242"/>
    <cellStyle name="60% - Акцент2 3 3" xfId="243"/>
    <cellStyle name="60% - Акцент2 3 4" xfId="244"/>
    <cellStyle name="60% - Акцент2 4" xfId="245"/>
    <cellStyle name="60% - Акцент2 4 2" xfId="246"/>
    <cellStyle name="60% - Акцент2 4 3" xfId="247"/>
    <cellStyle name="60% - Акцент2 4 4" xfId="248"/>
    <cellStyle name="60% - Акцент2 5" xfId="249"/>
    <cellStyle name="60% - Акцент2 5 2" xfId="250"/>
    <cellStyle name="60% - Акцент2 5 3" xfId="251"/>
    <cellStyle name="60% - Акцент2 5 4" xfId="252"/>
    <cellStyle name="60% - Акцент3" xfId="253"/>
    <cellStyle name="60% - Акцент3 2" xfId="254"/>
    <cellStyle name="60% - Акцент3 2 2" xfId="255"/>
    <cellStyle name="60% - Акцент3 2 3" xfId="256"/>
    <cellStyle name="60% - Акцент3 2 4" xfId="257"/>
    <cellStyle name="60% - Акцент3 3" xfId="258"/>
    <cellStyle name="60% - Акцент3 3 2" xfId="259"/>
    <cellStyle name="60% - Акцент3 3 3" xfId="260"/>
    <cellStyle name="60% - Акцент3 3 4" xfId="261"/>
    <cellStyle name="60% - Акцент3 4" xfId="262"/>
    <cellStyle name="60% - Акцент3 4 2" xfId="263"/>
    <cellStyle name="60% - Акцент3 4 3" xfId="264"/>
    <cellStyle name="60% - Акцент3 4 4" xfId="265"/>
    <cellStyle name="60% - Акцент3 5" xfId="266"/>
    <cellStyle name="60% - Акцент3 5 2" xfId="267"/>
    <cellStyle name="60% - Акцент3 5 3" xfId="268"/>
    <cellStyle name="60% - Акцент3 5 4" xfId="269"/>
    <cellStyle name="60% - Акцент4" xfId="270"/>
    <cellStyle name="60% - Акцент4 2" xfId="271"/>
    <cellStyle name="60% - Акцент4 2 2" xfId="272"/>
    <cellStyle name="60% - Акцент4 2 3" xfId="273"/>
    <cellStyle name="60% - Акцент4 2 4" xfId="274"/>
    <cellStyle name="60% - Акцент4 3" xfId="275"/>
    <cellStyle name="60% - Акцент4 3 2" xfId="276"/>
    <cellStyle name="60% - Акцент4 3 3" xfId="277"/>
    <cellStyle name="60% - Акцент4 3 4" xfId="278"/>
    <cellStyle name="60% - Акцент4 4" xfId="279"/>
    <cellStyle name="60% - Акцент4 4 2" xfId="280"/>
    <cellStyle name="60% - Акцент4 4 3" xfId="281"/>
    <cellStyle name="60% - Акцент4 4 4" xfId="282"/>
    <cellStyle name="60% - Акцент4 5" xfId="283"/>
    <cellStyle name="60% - Акцент4 5 2" xfId="284"/>
    <cellStyle name="60% - Акцент4 5 3" xfId="285"/>
    <cellStyle name="60% - Акцент4 5 4" xfId="286"/>
    <cellStyle name="60% - Акцент5" xfId="287"/>
    <cellStyle name="60% - Акцент5 2" xfId="288"/>
    <cellStyle name="60% - Акцент5 2 2" xfId="289"/>
    <cellStyle name="60% - Акцент5 2 3" xfId="290"/>
    <cellStyle name="60% - Акцент5 2 4" xfId="291"/>
    <cellStyle name="60% - Акцент5 3" xfId="292"/>
    <cellStyle name="60% - Акцент5 3 2" xfId="293"/>
    <cellStyle name="60% - Акцент5 3 3" xfId="294"/>
    <cellStyle name="60% - Акцент5 3 4" xfId="295"/>
    <cellStyle name="60% - Акцент5 4" xfId="296"/>
    <cellStyle name="60% - Акцент5 4 2" xfId="297"/>
    <cellStyle name="60% - Акцент5 4 3" xfId="298"/>
    <cellStyle name="60% - Акцент5 4 4" xfId="299"/>
    <cellStyle name="60% - Акцент5 5" xfId="300"/>
    <cellStyle name="60% - Акцент5 5 2" xfId="301"/>
    <cellStyle name="60% - Акцент5 5 3" xfId="302"/>
    <cellStyle name="60% - Акцент5 5 4" xfId="303"/>
    <cellStyle name="60% - Акцент6" xfId="304"/>
    <cellStyle name="60% - Акцент6 2" xfId="305"/>
    <cellStyle name="60% - Акцент6 2 2" xfId="306"/>
    <cellStyle name="60% - Акцент6 2 3" xfId="307"/>
    <cellStyle name="60% - Акцент6 2 4" xfId="308"/>
    <cellStyle name="60% - Акцент6 3" xfId="309"/>
    <cellStyle name="60% - Акцент6 3 2" xfId="310"/>
    <cellStyle name="60% - Акцент6 3 3" xfId="311"/>
    <cellStyle name="60% - Акцент6 3 4" xfId="312"/>
    <cellStyle name="60% - Акцент6 4" xfId="313"/>
    <cellStyle name="60% - Акцент6 4 2" xfId="314"/>
    <cellStyle name="60% - Акцент6 4 3" xfId="315"/>
    <cellStyle name="60% - Акцент6 4 4" xfId="316"/>
    <cellStyle name="60% - Акцент6 5" xfId="317"/>
    <cellStyle name="60% - Акцент6 5 2" xfId="318"/>
    <cellStyle name="60% - Акцент6 5 3" xfId="319"/>
    <cellStyle name="60% - Акцент6 5 4" xfId="320"/>
    <cellStyle name="Excel Built-in Normal" xfId="321"/>
    <cellStyle name="Excel Built-in Normal 2" xfId="322"/>
    <cellStyle name="Акцент1" xfId="323"/>
    <cellStyle name="Акцент1 2" xfId="324"/>
    <cellStyle name="Акцент1 2 2" xfId="325"/>
    <cellStyle name="Акцент1 2 3" xfId="326"/>
    <cellStyle name="Акцент1 2 4" xfId="327"/>
    <cellStyle name="Акцент1 3" xfId="328"/>
    <cellStyle name="Акцент1 3 2" xfId="329"/>
    <cellStyle name="Акцент1 3 3" xfId="330"/>
    <cellStyle name="Акцент1 3 4" xfId="331"/>
    <cellStyle name="Акцент1 4" xfId="332"/>
    <cellStyle name="Акцент1 4 2" xfId="333"/>
    <cellStyle name="Акцент1 4 3" xfId="334"/>
    <cellStyle name="Акцент1 4 4" xfId="335"/>
    <cellStyle name="Акцент1 5" xfId="336"/>
    <cellStyle name="Акцент1 5 2" xfId="337"/>
    <cellStyle name="Акцент1 5 3" xfId="338"/>
    <cellStyle name="Акцент1 5 4" xfId="339"/>
    <cellStyle name="Акцент2" xfId="340"/>
    <cellStyle name="Акцент2 2" xfId="341"/>
    <cellStyle name="Акцент2 2 2" xfId="342"/>
    <cellStyle name="Акцент2 2 3" xfId="343"/>
    <cellStyle name="Акцент2 2 4" xfId="344"/>
    <cellStyle name="Акцент2 3" xfId="345"/>
    <cellStyle name="Акцент2 3 2" xfId="346"/>
    <cellStyle name="Акцент2 3 3" xfId="347"/>
    <cellStyle name="Акцент2 3 4" xfId="348"/>
    <cellStyle name="Акцент2 4" xfId="349"/>
    <cellStyle name="Акцент2 4 2" xfId="350"/>
    <cellStyle name="Акцент2 4 3" xfId="351"/>
    <cellStyle name="Акцент2 4 4" xfId="352"/>
    <cellStyle name="Акцент2 5" xfId="353"/>
    <cellStyle name="Акцент2 5 2" xfId="354"/>
    <cellStyle name="Акцент2 5 3" xfId="355"/>
    <cellStyle name="Акцент2 5 4" xfId="356"/>
    <cellStyle name="Акцент3" xfId="357"/>
    <cellStyle name="Акцент3 2" xfId="358"/>
    <cellStyle name="Акцент3 2 2" xfId="359"/>
    <cellStyle name="Акцент3 2 3" xfId="360"/>
    <cellStyle name="Акцент3 2 4" xfId="361"/>
    <cellStyle name="Акцент3 3" xfId="362"/>
    <cellStyle name="Акцент3 3 2" xfId="363"/>
    <cellStyle name="Акцент3 3 3" xfId="364"/>
    <cellStyle name="Акцент3 3 4" xfId="365"/>
    <cellStyle name="Акцент3 4" xfId="366"/>
    <cellStyle name="Акцент3 4 2" xfId="367"/>
    <cellStyle name="Акцент3 4 3" xfId="368"/>
    <cellStyle name="Акцент3 4 4" xfId="369"/>
    <cellStyle name="Акцент3 5" xfId="370"/>
    <cellStyle name="Акцент3 5 2" xfId="371"/>
    <cellStyle name="Акцент3 5 3" xfId="372"/>
    <cellStyle name="Акцент3 5 4" xfId="373"/>
    <cellStyle name="Акцент4" xfId="374"/>
    <cellStyle name="Акцент4 2" xfId="375"/>
    <cellStyle name="Акцент4 2 2" xfId="376"/>
    <cellStyle name="Акцент4 2 3" xfId="377"/>
    <cellStyle name="Акцент4 2 4" xfId="378"/>
    <cellStyle name="Акцент4 3" xfId="379"/>
    <cellStyle name="Акцент4 3 2" xfId="380"/>
    <cellStyle name="Акцент4 3 3" xfId="381"/>
    <cellStyle name="Акцент4 3 4" xfId="382"/>
    <cellStyle name="Акцент4 4" xfId="383"/>
    <cellStyle name="Акцент4 4 2" xfId="384"/>
    <cellStyle name="Акцент4 4 3" xfId="385"/>
    <cellStyle name="Акцент4 4 4" xfId="386"/>
    <cellStyle name="Акцент4 5" xfId="387"/>
    <cellStyle name="Акцент4 5 2" xfId="388"/>
    <cellStyle name="Акцент4 5 3" xfId="389"/>
    <cellStyle name="Акцент4 5 4" xfId="390"/>
    <cellStyle name="Акцент5" xfId="391"/>
    <cellStyle name="Акцент5 2" xfId="392"/>
    <cellStyle name="Акцент5 2 2" xfId="393"/>
    <cellStyle name="Акцент5 2 3" xfId="394"/>
    <cellStyle name="Акцент5 2 4" xfId="395"/>
    <cellStyle name="Акцент5 3" xfId="396"/>
    <cellStyle name="Акцент5 3 2" xfId="397"/>
    <cellStyle name="Акцент5 3 3" xfId="398"/>
    <cellStyle name="Акцент5 3 4" xfId="399"/>
    <cellStyle name="Акцент5 4" xfId="400"/>
    <cellStyle name="Акцент5 4 2" xfId="401"/>
    <cellStyle name="Акцент5 4 3" xfId="402"/>
    <cellStyle name="Акцент5 4 4" xfId="403"/>
    <cellStyle name="Акцент5 5" xfId="404"/>
    <cellStyle name="Акцент5 5 2" xfId="405"/>
    <cellStyle name="Акцент5 5 3" xfId="406"/>
    <cellStyle name="Акцент5 5 4" xfId="407"/>
    <cellStyle name="Акцент6" xfId="408"/>
    <cellStyle name="Акцент6 2" xfId="409"/>
    <cellStyle name="Акцент6 2 2" xfId="410"/>
    <cellStyle name="Акцент6 2 3" xfId="411"/>
    <cellStyle name="Акцент6 2 4" xfId="412"/>
    <cellStyle name="Акцент6 3" xfId="413"/>
    <cellStyle name="Акцент6 3 2" xfId="414"/>
    <cellStyle name="Акцент6 3 3" xfId="415"/>
    <cellStyle name="Акцент6 3 4" xfId="416"/>
    <cellStyle name="Акцент6 4" xfId="417"/>
    <cellStyle name="Акцент6 4 2" xfId="418"/>
    <cellStyle name="Акцент6 4 3" xfId="419"/>
    <cellStyle name="Акцент6 4 4" xfId="420"/>
    <cellStyle name="Акцент6 5" xfId="421"/>
    <cellStyle name="Акцент6 5 2" xfId="422"/>
    <cellStyle name="Акцент6 5 3" xfId="423"/>
    <cellStyle name="Акцент6 5 4" xfId="424"/>
    <cellStyle name="Ввод " xfId="425"/>
    <cellStyle name="Ввод  2" xfId="426"/>
    <cellStyle name="Ввод  2 2" xfId="427"/>
    <cellStyle name="Ввод  2 3" xfId="428"/>
    <cellStyle name="Ввод  2 4" xfId="429"/>
    <cellStyle name="Ввод  3" xfId="430"/>
    <cellStyle name="Ввод  3 2" xfId="431"/>
    <cellStyle name="Ввод  3 3" xfId="432"/>
    <cellStyle name="Ввод  3 4" xfId="433"/>
    <cellStyle name="Ввод  4" xfId="434"/>
    <cellStyle name="Ввод  4 2" xfId="435"/>
    <cellStyle name="Ввод  4 3" xfId="436"/>
    <cellStyle name="Ввод  4 4" xfId="437"/>
    <cellStyle name="Ввод  5" xfId="438"/>
    <cellStyle name="Ввод  5 2" xfId="439"/>
    <cellStyle name="Ввод  5 3" xfId="440"/>
    <cellStyle name="Ввод  5 4" xfId="441"/>
    <cellStyle name="Вывод" xfId="442"/>
    <cellStyle name="Вывод 2" xfId="443"/>
    <cellStyle name="Вывод 2 2" xfId="444"/>
    <cellStyle name="Вывод 2 3" xfId="445"/>
    <cellStyle name="Вывод 2 4" xfId="446"/>
    <cellStyle name="Вывод 3" xfId="447"/>
    <cellStyle name="Вывод 3 2" xfId="448"/>
    <cellStyle name="Вывод 3 3" xfId="449"/>
    <cellStyle name="Вывод 3 4" xfId="450"/>
    <cellStyle name="Вывод 4" xfId="451"/>
    <cellStyle name="Вывод 4 2" xfId="452"/>
    <cellStyle name="Вывод 4 3" xfId="453"/>
    <cellStyle name="Вывод 4 4" xfId="454"/>
    <cellStyle name="Вывод 5" xfId="455"/>
    <cellStyle name="Вывод 5 2" xfId="456"/>
    <cellStyle name="Вывод 5 3" xfId="457"/>
    <cellStyle name="Вывод 5 4" xfId="458"/>
    <cellStyle name="Вычисление" xfId="459"/>
    <cellStyle name="Вычисление 2" xfId="460"/>
    <cellStyle name="Вычисление 2 2" xfId="461"/>
    <cellStyle name="Вычисление 2 3" xfId="462"/>
    <cellStyle name="Вычисление 2 4" xfId="463"/>
    <cellStyle name="Вычисление 3" xfId="464"/>
    <cellStyle name="Вычисление 3 2" xfId="465"/>
    <cellStyle name="Вычисление 3 3" xfId="466"/>
    <cellStyle name="Вычисление 3 4" xfId="467"/>
    <cellStyle name="Вычисление 4" xfId="468"/>
    <cellStyle name="Вычисление 4 2" xfId="469"/>
    <cellStyle name="Вычисление 4 3" xfId="470"/>
    <cellStyle name="Вычисление 4 4" xfId="471"/>
    <cellStyle name="Вычисление 5" xfId="472"/>
    <cellStyle name="Вычисление 5 2" xfId="473"/>
    <cellStyle name="Вычисление 5 3" xfId="474"/>
    <cellStyle name="Вычисление 5 4" xfId="475"/>
    <cellStyle name="Currency" xfId="476"/>
    <cellStyle name="Currency [0]" xfId="477"/>
    <cellStyle name="Заголовок 1" xfId="478"/>
    <cellStyle name="Заголовок 1 2" xfId="479"/>
    <cellStyle name="Заголовок 1 2 2" xfId="480"/>
    <cellStyle name="Заголовок 1 2 3" xfId="481"/>
    <cellStyle name="Заголовок 1 2 4" xfId="482"/>
    <cellStyle name="Заголовок 1 3" xfId="483"/>
    <cellStyle name="Заголовок 1 3 2" xfId="484"/>
    <cellStyle name="Заголовок 1 3 3" xfId="485"/>
    <cellStyle name="Заголовок 1 3 4" xfId="486"/>
    <cellStyle name="Заголовок 1 4" xfId="487"/>
    <cellStyle name="Заголовок 1 4 2" xfId="488"/>
    <cellStyle name="Заголовок 1 4 3" xfId="489"/>
    <cellStyle name="Заголовок 1 4 4" xfId="490"/>
    <cellStyle name="Заголовок 1 5" xfId="491"/>
    <cellStyle name="Заголовок 1 5 2" xfId="492"/>
    <cellStyle name="Заголовок 1 5 3" xfId="493"/>
    <cellStyle name="Заголовок 1 5 4" xfId="494"/>
    <cellStyle name="Заголовок 2" xfId="495"/>
    <cellStyle name="Заголовок 2 2" xfId="496"/>
    <cellStyle name="Заголовок 2 2 2" xfId="497"/>
    <cellStyle name="Заголовок 2 2 3" xfId="498"/>
    <cellStyle name="Заголовок 2 2 4" xfId="499"/>
    <cellStyle name="Заголовок 2 3" xfId="500"/>
    <cellStyle name="Заголовок 2 3 2" xfId="501"/>
    <cellStyle name="Заголовок 2 3 3" xfId="502"/>
    <cellStyle name="Заголовок 2 3 4" xfId="503"/>
    <cellStyle name="Заголовок 2 4" xfId="504"/>
    <cellStyle name="Заголовок 2 4 2" xfId="505"/>
    <cellStyle name="Заголовок 2 4 3" xfId="506"/>
    <cellStyle name="Заголовок 2 4 4" xfId="507"/>
    <cellStyle name="Заголовок 2 5" xfId="508"/>
    <cellStyle name="Заголовок 2 5 2" xfId="509"/>
    <cellStyle name="Заголовок 2 5 3" xfId="510"/>
    <cellStyle name="Заголовок 2 5 4" xfId="511"/>
    <cellStyle name="Заголовок 3" xfId="512"/>
    <cellStyle name="Заголовок 3 2" xfId="513"/>
    <cellStyle name="Заголовок 3 2 2" xfId="514"/>
    <cellStyle name="Заголовок 3 2 3" xfId="515"/>
    <cellStyle name="Заголовок 3 2 4" xfId="516"/>
    <cellStyle name="Заголовок 3 3" xfId="517"/>
    <cellStyle name="Заголовок 3 3 2" xfId="518"/>
    <cellStyle name="Заголовок 3 3 3" xfId="519"/>
    <cellStyle name="Заголовок 3 3 4" xfId="520"/>
    <cellStyle name="Заголовок 3 4" xfId="521"/>
    <cellStyle name="Заголовок 3 4 2" xfId="522"/>
    <cellStyle name="Заголовок 3 4 3" xfId="523"/>
    <cellStyle name="Заголовок 3 4 4" xfId="524"/>
    <cellStyle name="Заголовок 3 5" xfId="525"/>
    <cellStyle name="Заголовок 3 5 2" xfId="526"/>
    <cellStyle name="Заголовок 3 5 3" xfId="527"/>
    <cellStyle name="Заголовок 3 5 4" xfId="528"/>
    <cellStyle name="Заголовок 4" xfId="529"/>
    <cellStyle name="Заголовок 4 2" xfId="530"/>
    <cellStyle name="Заголовок 4 2 2" xfId="531"/>
    <cellStyle name="Заголовок 4 2 3" xfId="532"/>
    <cellStyle name="Заголовок 4 2 4" xfId="533"/>
    <cellStyle name="Заголовок 4 3" xfId="534"/>
    <cellStyle name="Заголовок 4 3 2" xfId="535"/>
    <cellStyle name="Заголовок 4 3 3" xfId="536"/>
    <cellStyle name="Заголовок 4 3 4" xfId="537"/>
    <cellStyle name="Заголовок 4 4" xfId="538"/>
    <cellStyle name="Заголовок 4 4 2" xfId="539"/>
    <cellStyle name="Заголовок 4 4 3" xfId="540"/>
    <cellStyle name="Заголовок 4 4 4" xfId="541"/>
    <cellStyle name="Заголовок 4 5" xfId="542"/>
    <cellStyle name="Заголовок 4 5 2" xfId="543"/>
    <cellStyle name="Заголовок 4 5 3" xfId="544"/>
    <cellStyle name="Заголовок 4 5 4" xfId="545"/>
    <cellStyle name="Итог" xfId="546"/>
    <cellStyle name="Итог 2" xfId="547"/>
    <cellStyle name="Итог 2 2" xfId="548"/>
    <cellStyle name="Итог 2 3" xfId="549"/>
    <cellStyle name="Итог 2 4" xfId="550"/>
    <cellStyle name="Итог 3" xfId="551"/>
    <cellStyle name="Итог 3 2" xfId="552"/>
    <cellStyle name="Итог 3 3" xfId="553"/>
    <cellStyle name="Итог 3 4" xfId="554"/>
    <cellStyle name="Итог 4" xfId="555"/>
    <cellStyle name="Итог 4 2" xfId="556"/>
    <cellStyle name="Итог 4 3" xfId="557"/>
    <cellStyle name="Итог 4 4" xfId="558"/>
    <cellStyle name="Итог 5" xfId="559"/>
    <cellStyle name="Итог 5 2" xfId="560"/>
    <cellStyle name="Итог 5 3" xfId="561"/>
    <cellStyle name="Итог 5 4" xfId="562"/>
    <cellStyle name="Контрольная ячейка" xfId="563"/>
    <cellStyle name="Контрольная ячейка 2" xfId="564"/>
    <cellStyle name="Контрольная ячейка 2 2" xfId="565"/>
    <cellStyle name="Контрольная ячейка 2 3" xfId="566"/>
    <cellStyle name="Контрольная ячейка 2 4" xfId="567"/>
    <cellStyle name="Контрольная ячейка 3" xfId="568"/>
    <cellStyle name="Контрольная ячейка 3 2" xfId="569"/>
    <cellStyle name="Контрольная ячейка 3 3" xfId="570"/>
    <cellStyle name="Контрольная ячейка 3 4" xfId="571"/>
    <cellStyle name="Контрольная ячейка 4" xfId="572"/>
    <cellStyle name="Контрольная ячейка 4 2" xfId="573"/>
    <cellStyle name="Контрольная ячейка 4 3" xfId="574"/>
    <cellStyle name="Контрольная ячейка 4 4" xfId="575"/>
    <cellStyle name="Контрольная ячейка 5" xfId="576"/>
    <cellStyle name="Контрольная ячейка 5 2" xfId="577"/>
    <cellStyle name="Контрольная ячейка 5 3" xfId="578"/>
    <cellStyle name="Контрольная ячейка 5 4" xfId="579"/>
    <cellStyle name="Название" xfId="580"/>
    <cellStyle name="Название 2" xfId="581"/>
    <cellStyle name="Название 2 2" xfId="582"/>
    <cellStyle name="Название 2 3" xfId="583"/>
    <cellStyle name="Название 2 4" xfId="584"/>
    <cellStyle name="Название 3" xfId="585"/>
    <cellStyle name="Название 3 2" xfId="586"/>
    <cellStyle name="Название 3 3" xfId="587"/>
    <cellStyle name="Название 3 4" xfId="588"/>
    <cellStyle name="Название 4" xfId="589"/>
    <cellStyle name="Название 4 2" xfId="590"/>
    <cellStyle name="Название 4 3" xfId="591"/>
    <cellStyle name="Название 4 4" xfId="592"/>
    <cellStyle name="Название 5" xfId="593"/>
    <cellStyle name="Название 5 2" xfId="594"/>
    <cellStyle name="Название 5 3" xfId="595"/>
    <cellStyle name="Название 5 4" xfId="596"/>
    <cellStyle name="Нейтральный" xfId="597"/>
    <cellStyle name="Нейтральный 2" xfId="598"/>
    <cellStyle name="Нейтральный 2 2" xfId="599"/>
    <cellStyle name="Нейтральный 2 3" xfId="600"/>
    <cellStyle name="Нейтральный 2 4" xfId="601"/>
    <cellStyle name="Нейтральный 3" xfId="602"/>
    <cellStyle name="Нейтральный 3 2" xfId="603"/>
    <cellStyle name="Нейтральный 3 3" xfId="604"/>
    <cellStyle name="Нейтральный 3 4" xfId="605"/>
    <cellStyle name="Нейтральный 4" xfId="606"/>
    <cellStyle name="Нейтральный 4 2" xfId="607"/>
    <cellStyle name="Нейтральный 4 3" xfId="608"/>
    <cellStyle name="Нейтральный 4 4" xfId="609"/>
    <cellStyle name="Нейтральный 5" xfId="610"/>
    <cellStyle name="Нейтральный 5 2" xfId="611"/>
    <cellStyle name="Нейтральный 5 3" xfId="612"/>
    <cellStyle name="Нейтральный 5 4" xfId="613"/>
    <cellStyle name="Обычный 10" xfId="614"/>
    <cellStyle name="Обычный 10 2" xfId="615"/>
    <cellStyle name="Обычный 11" xfId="616"/>
    <cellStyle name="Обычный 12" xfId="617"/>
    <cellStyle name="Обычный 2" xfId="618"/>
    <cellStyle name="Обычный 2 2" xfId="619"/>
    <cellStyle name="Обычный 2 3" xfId="620"/>
    <cellStyle name="Обычный 2 4" xfId="621"/>
    <cellStyle name="Обычный 2 5" xfId="622"/>
    <cellStyle name="Обычный 5" xfId="623"/>
    <cellStyle name="Обычный 8" xfId="624"/>
    <cellStyle name="Обычный 9" xfId="625"/>
    <cellStyle name="Обычный_01.07.13" xfId="626"/>
    <cellStyle name="Обычный_Бюджет розвитку 2014_17.09.2013 2" xfId="627"/>
    <cellStyle name="Обычный_ПЛАН Бюджету розвитку на 2013_деп.економіки" xfId="628"/>
    <cellStyle name="Обычный_Расшифр по обєктам власн надх" xfId="629"/>
    <cellStyle name="Плохой" xfId="630"/>
    <cellStyle name="Плохой 2" xfId="631"/>
    <cellStyle name="Плохой 2 2" xfId="632"/>
    <cellStyle name="Плохой 2 3" xfId="633"/>
    <cellStyle name="Плохой 2 4" xfId="634"/>
    <cellStyle name="Плохой 3" xfId="635"/>
    <cellStyle name="Плохой 3 2" xfId="636"/>
    <cellStyle name="Плохой 3 3" xfId="637"/>
    <cellStyle name="Плохой 3 4" xfId="638"/>
    <cellStyle name="Плохой 4" xfId="639"/>
    <cellStyle name="Плохой 4 2" xfId="640"/>
    <cellStyle name="Плохой 4 3" xfId="641"/>
    <cellStyle name="Плохой 4 4" xfId="642"/>
    <cellStyle name="Плохой 5" xfId="643"/>
    <cellStyle name="Плохой 5 2" xfId="644"/>
    <cellStyle name="Плохой 5 3" xfId="645"/>
    <cellStyle name="Плохой 5 4" xfId="646"/>
    <cellStyle name="Пояснение" xfId="647"/>
    <cellStyle name="Пояснение 2" xfId="648"/>
    <cellStyle name="Пояснение 2 2" xfId="649"/>
    <cellStyle name="Пояснение 2 3" xfId="650"/>
    <cellStyle name="Пояснение 2 4" xfId="651"/>
    <cellStyle name="Пояснение 3" xfId="652"/>
    <cellStyle name="Пояснение 3 2" xfId="653"/>
    <cellStyle name="Пояснение 3 3" xfId="654"/>
    <cellStyle name="Пояснение 3 4" xfId="655"/>
    <cellStyle name="Пояснение 4" xfId="656"/>
    <cellStyle name="Пояснение 4 2" xfId="657"/>
    <cellStyle name="Пояснение 4 3" xfId="658"/>
    <cellStyle name="Пояснение 4 4" xfId="659"/>
    <cellStyle name="Пояснение 5" xfId="660"/>
    <cellStyle name="Пояснение 5 2" xfId="661"/>
    <cellStyle name="Пояснение 5 3" xfId="662"/>
    <cellStyle name="Пояснение 5 4" xfId="663"/>
    <cellStyle name="Примечание" xfId="664"/>
    <cellStyle name="Примечание 2" xfId="665"/>
    <cellStyle name="Примечание 2 2" xfId="666"/>
    <cellStyle name="Примечание 2 3" xfId="667"/>
    <cellStyle name="Примечание 2 4" xfId="668"/>
    <cellStyle name="Примечание 3" xfId="669"/>
    <cellStyle name="Примечание 3 2" xfId="670"/>
    <cellStyle name="Примечание 3 3" xfId="671"/>
    <cellStyle name="Примечание 3 4" xfId="672"/>
    <cellStyle name="Примечание 4" xfId="673"/>
    <cellStyle name="Примечание 4 2" xfId="674"/>
    <cellStyle name="Примечание 4 3" xfId="675"/>
    <cellStyle name="Примечание 4 4" xfId="676"/>
    <cellStyle name="Примечание 5" xfId="677"/>
    <cellStyle name="Примечание 5 2" xfId="678"/>
    <cellStyle name="Примечание 5 3" xfId="679"/>
    <cellStyle name="Примечание 5 4" xfId="680"/>
    <cellStyle name="Percent" xfId="681"/>
    <cellStyle name="Процентный 2" xfId="682"/>
    <cellStyle name="Процентный 2 10" xfId="683"/>
    <cellStyle name="Процентный 2 11" xfId="684"/>
    <cellStyle name="Процентный 2 12" xfId="685"/>
    <cellStyle name="Процентный 2 13" xfId="686"/>
    <cellStyle name="Процентный 2 14" xfId="687"/>
    <cellStyle name="Процентный 2 15" xfId="688"/>
    <cellStyle name="Процентный 2 16" xfId="689"/>
    <cellStyle name="Процентный 2 17" xfId="690"/>
    <cellStyle name="Процентный 2 18" xfId="691"/>
    <cellStyle name="Процентный 2 19" xfId="692"/>
    <cellStyle name="Процентный 2 2" xfId="693"/>
    <cellStyle name="Процентный 2 20" xfId="694"/>
    <cellStyle name="Процентный 2 21" xfId="695"/>
    <cellStyle name="Процентный 2 22" xfId="696"/>
    <cellStyle name="Процентный 2 23" xfId="697"/>
    <cellStyle name="Процентный 2 24" xfId="698"/>
    <cellStyle name="Процентный 2 25" xfId="699"/>
    <cellStyle name="Процентный 2 26" xfId="700"/>
    <cellStyle name="Процентный 2 3" xfId="701"/>
    <cellStyle name="Процентный 2 4" xfId="702"/>
    <cellStyle name="Процентный 2 5" xfId="703"/>
    <cellStyle name="Процентный 2 6" xfId="704"/>
    <cellStyle name="Процентный 2 7" xfId="705"/>
    <cellStyle name="Процентный 2 8" xfId="706"/>
    <cellStyle name="Процентный 2 9" xfId="707"/>
    <cellStyle name="Процентный 5" xfId="708"/>
    <cellStyle name="Связанная ячейка" xfId="709"/>
    <cellStyle name="Связанная ячейка 2" xfId="710"/>
    <cellStyle name="Связанная ячейка 2 2" xfId="711"/>
    <cellStyle name="Связанная ячейка 2 3" xfId="712"/>
    <cellStyle name="Связанная ячейка 2 4" xfId="713"/>
    <cellStyle name="Связанная ячейка 3" xfId="714"/>
    <cellStyle name="Связанная ячейка 3 2" xfId="715"/>
    <cellStyle name="Связанная ячейка 3 3" xfId="716"/>
    <cellStyle name="Связанная ячейка 3 4" xfId="717"/>
    <cellStyle name="Связанная ячейка 4" xfId="718"/>
    <cellStyle name="Связанная ячейка 4 2" xfId="719"/>
    <cellStyle name="Связанная ячейка 4 3" xfId="720"/>
    <cellStyle name="Связанная ячейка 4 4" xfId="721"/>
    <cellStyle name="Связанная ячейка 5" xfId="722"/>
    <cellStyle name="Связанная ячейка 5 2" xfId="723"/>
    <cellStyle name="Связанная ячейка 5 3" xfId="724"/>
    <cellStyle name="Связанная ячейка 5 4" xfId="725"/>
    <cellStyle name="Текст предупреждения" xfId="726"/>
    <cellStyle name="Текст предупреждения 2" xfId="727"/>
    <cellStyle name="Текст предупреждения 2 2" xfId="728"/>
    <cellStyle name="Текст предупреждения 2 3" xfId="729"/>
    <cellStyle name="Текст предупреждения 2 4" xfId="730"/>
    <cellStyle name="Текст предупреждения 3" xfId="731"/>
    <cellStyle name="Текст предупреждения 3 2" xfId="732"/>
    <cellStyle name="Текст предупреждения 3 3" xfId="733"/>
    <cellStyle name="Текст предупреждения 3 4" xfId="734"/>
    <cellStyle name="Текст предупреждения 4" xfId="735"/>
    <cellStyle name="Текст предупреждения 4 2" xfId="736"/>
    <cellStyle name="Текст предупреждения 4 3" xfId="737"/>
    <cellStyle name="Текст предупреждения 4 4" xfId="738"/>
    <cellStyle name="Текст предупреждения 5" xfId="739"/>
    <cellStyle name="Текст предупреждения 5 2" xfId="740"/>
    <cellStyle name="Текст предупреждения 5 3" xfId="741"/>
    <cellStyle name="Текст предупреждения 5 4" xfId="742"/>
    <cellStyle name="Comma" xfId="743"/>
    <cellStyle name="Comma [0]" xfId="744"/>
    <cellStyle name="Хороший" xfId="745"/>
    <cellStyle name="Хороший 2" xfId="746"/>
    <cellStyle name="Хороший 2 2" xfId="747"/>
    <cellStyle name="Хороший 2 3" xfId="748"/>
    <cellStyle name="Хороший 2 4" xfId="749"/>
    <cellStyle name="Хороший 3" xfId="750"/>
    <cellStyle name="Хороший 3 2" xfId="751"/>
    <cellStyle name="Хороший 3 3" xfId="752"/>
    <cellStyle name="Хороший 3 4" xfId="753"/>
    <cellStyle name="Хороший 4" xfId="754"/>
    <cellStyle name="Хороший 4 2" xfId="755"/>
    <cellStyle name="Хороший 4 3" xfId="756"/>
    <cellStyle name="Хороший 4 4" xfId="757"/>
    <cellStyle name="Хороший 5" xfId="758"/>
    <cellStyle name="Хороший 5 2" xfId="759"/>
    <cellStyle name="Хороший 5 3" xfId="760"/>
    <cellStyle name="Хороший 5 4" xfId="7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1"/>
  <sheetViews>
    <sheetView view="pageBreakPreview" zoomScale="80" zoomScaleNormal="60" zoomScaleSheetLayoutView="80" zoomScalePageLayoutView="0" workbookViewId="0" topLeftCell="B100">
      <selection activeCell="I8" sqref="I8:I9"/>
    </sheetView>
  </sheetViews>
  <sheetFormatPr defaultColWidth="9.140625" defaultRowHeight="15"/>
  <cols>
    <col min="1" max="1" width="19.8515625" style="84" customWidth="1"/>
    <col min="2" max="2" width="27.7109375" style="84" customWidth="1"/>
    <col min="3" max="3" width="59.140625" style="84" customWidth="1"/>
    <col min="4" max="4" width="17.57421875" style="84" customWidth="1"/>
    <col min="5" max="5" width="10.140625" style="84" customWidth="1"/>
    <col min="6" max="7" width="16.140625" style="84" customWidth="1"/>
    <col min="8" max="8" width="19.00390625" style="84" customWidth="1"/>
    <col min="9" max="9" width="49.00390625" style="88" customWidth="1"/>
    <col min="10" max="16384" width="9.140625" style="84" customWidth="1"/>
  </cols>
  <sheetData>
    <row r="1" spans="2:9" s="57" customFormat="1" ht="19.5" customHeight="1">
      <c r="B1" s="58"/>
      <c r="H1" s="59"/>
      <c r="I1" s="60"/>
    </row>
    <row r="2" spans="1:9" s="125" customFormat="1" ht="30" customHeight="1">
      <c r="A2" s="123"/>
      <c r="B2" s="121"/>
      <c r="C2" s="124"/>
      <c r="D2" s="124"/>
      <c r="E2" s="124"/>
      <c r="F2" s="124"/>
      <c r="G2" s="124"/>
      <c r="H2" s="124"/>
      <c r="I2" s="124" t="s">
        <v>18</v>
      </c>
    </row>
    <row r="3" spans="1:9" s="125" customFormat="1" ht="110.25" customHeight="1">
      <c r="A3" s="123"/>
      <c r="B3" s="121"/>
      <c r="C3" s="124"/>
      <c r="D3" s="124"/>
      <c r="E3" s="124"/>
      <c r="F3" s="124"/>
      <c r="G3" s="124"/>
      <c r="H3" s="126"/>
      <c r="I3" s="126" t="s">
        <v>278</v>
      </c>
    </row>
    <row r="4" spans="1:9" s="83" customFormat="1" ht="46.5" customHeight="1">
      <c r="A4" s="155" t="s">
        <v>295</v>
      </c>
      <c r="B4" s="155"/>
      <c r="C4" s="155"/>
      <c r="D4" s="155"/>
      <c r="E4" s="155"/>
      <c r="F4" s="155"/>
      <c r="G4" s="155"/>
      <c r="H4" s="155"/>
      <c r="I4" s="155"/>
    </row>
    <row r="5" spans="1:9" s="83" customFormat="1" ht="23.25">
      <c r="A5" s="61"/>
      <c r="B5" s="62"/>
      <c r="C5" s="61"/>
      <c r="D5" s="61"/>
      <c r="E5" s="63"/>
      <c r="F5" s="64"/>
      <c r="G5" s="63"/>
      <c r="H5" s="65"/>
      <c r="I5" s="62" t="s">
        <v>19</v>
      </c>
    </row>
    <row r="6" spans="1:9" s="83" customFormat="1" ht="23.25">
      <c r="A6" s="156" t="s">
        <v>296</v>
      </c>
      <c r="B6" s="156"/>
      <c r="C6" s="156"/>
      <c r="D6" s="156"/>
      <c r="E6" s="156"/>
      <c r="F6" s="156"/>
      <c r="G6" s="156"/>
      <c r="H6" s="156"/>
      <c r="I6" s="156"/>
    </row>
    <row r="7" spans="1:9" ht="19.5" thickBot="1">
      <c r="A7" s="66"/>
      <c r="B7" s="157"/>
      <c r="C7" s="157"/>
      <c r="D7" s="66"/>
      <c r="E7" s="67"/>
      <c r="F7" s="66"/>
      <c r="G7" s="66"/>
      <c r="H7" s="66"/>
      <c r="I7" s="68"/>
    </row>
    <row r="8" spans="1:9" ht="94.5" customHeight="1">
      <c r="A8" s="89" t="s">
        <v>279</v>
      </c>
      <c r="B8" s="69" t="s">
        <v>283</v>
      </c>
      <c r="C8" s="158" t="s">
        <v>284</v>
      </c>
      <c r="D8" s="158" t="s">
        <v>285</v>
      </c>
      <c r="E8" s="160" t="s">
        <v>286</v>
      </c>
      <c r="F8" s="158" t="s">
        <v>287</v>
      </c>
      <c r="G8" s="158" t="s">
        <v>297</v>
      </c>
      <c r="H8" s="158" t="s">
        <v>298</v>
      </c>
      <c r="I8" s="162" t="s">
        <v>8</v>
      </c>
    </row>
    <row r="9" spans="1:9" ht="94.5" customHeight="1" thickBot="1">
      <c r="A9" s="90" t="s">
        <v>288</v>
      </c>
      <c r="B9" s="71" t="s">
        <v>289</v>
      </c>
      <c r="C9" s="159"/>
      <c r="D9" s="159"/>
      <c r="E9" s="161"/>
      <c r="F9" s="159"/>
      <c r="G9" s="159"/>
      <c r="H9" s="159"/>
      <c r="I9" s="139"/>
    </row>
    <row r="10" spans="1:9" ht="19.5" thickBot="1">
      <c r="A10" s="91">
        <v>1</v>
      </c>
      <c r="B10" s="72">
        <v>2</v>
      </c>
      <c r="C10" s="73">
        <v>3</v>
      </c>
      <c r="D10" s="73">
        <v>4</v>
      </c>
      <c r="E10" s="74">
        <v>5</v>
      </c>
      <c r="F10" s="73">
        <v>6</v>
      </c>
      <c r="G10" s="73">
        <v>7</v>
      </c>
      <c r="H10" s="73">
        <v>8</v>
      </c>
      <c r="I10" s="75">
        <v>9</v>
      </c>
    </row>
    <row r="11" spans="1:9" s="85" customFormat="1" ht="33" customHeight="1">
      <c r="A11" s="92"/>
      <c r="B11" s="100"/>
      <c r="C11" s="54" t="s">
        <v>307</v>
      </c>
      <c r="D11" s="55">
        <f>SUM(D12+D15+D33+D58+D62+D65+D68+D380+D390+D401+D415+D419)</f>
        <v>531728.1709899999</v>
      </c>
      <c r="E11" s="55"/>
      <c r="F11" s="55">
        <f>SUM(F12+F15+F33+F58+F62+F65+F68+F380+F390+F401+F415+F419)</f>
        <v>428530.13177</v>
      </c>
      <c r="G11" s="55">
        <f>SUM(G12+G15+G33+G58+G62+G65+G68+G380+G390+G401+G415+G419)</f>
        <v>92718.18198999997</v>
      </c>
      <c r="H11" s="55">
        <f>SUM(H12+H15+H33+H58+H62+H65+H68+H380+H390+H401+H415+H419)</f>
        <v>34918.85234000001</v>
      </c>
      <c r="I11" s="76"/>
    </row>
    <row r="12" spans="1:9" s="85" customFormat="1" ht="39.75" customHeight="1">
      <c r="A12" s="93" t="s">
        <v>290</v>
      </c>
      <c r="B12" s="101" t="s">
        <v>308</v>
      </c>
      <c r="C12" s="25"/>
      <c r="D12" s="26">
        <f>SUM(D13:D14)</f>
        <v>2498.718</v>
      </c>
      <c r="E12" s="26"/>
      <c r="F12" s="26">
        <f>SUM(F13:F14)</f>
        <v>2159.57026</v>
      </c>
      <c r="G12" s="26">
        <f>SUM(G13)</f>
        <v>415.76</v>
      </c>
      <c r="H12" s="26">
        <f>SUM(H13)</f>
        <v>415.75927</v>
      </c>
      <c r="I12" s="86"/>
    </row>
    <row r="13" spans="1:9" ht="43.5" customHeight="1">
      <c r="A13" s="138">
        <v>150101</v>
      </c>
      <c r="B13" s="136" t="s">
        <v>291</v>
      </c>
      <c r="C13" s="39" t="s">
        <v>309</v>
      </c>
      <c r="D13" s="1">
        <v>2498.718</v>
      </c>
      <c r="E13" s="2">
        <f>100-(F13/D13)*100</f>
        <v>13.572869767616837</v>
      </c>
      <c r="F13" s="1">
        <f>D13-1.09968-338.04806</f>
        <v>2159.57026</v>
      </c>
      <c r="G13" s="1">
        <f>SUM(G14)</f>
        <v>415.76</v>
      </c>
      <c r="H13" s="1">
        <v>415.75927</v>
      </c>
      <c r="I13" s="135" t="s">
        <v>102</v>
      </c>
    </row>
    <row r="14" spans="1:9" ht="37.5">
      <c r="A14" s="138"/>
      <c r="B14" s="136"/>
      <c r="C14" s="39" t="s">
        <v>292</v>
      </c>
      <c r="D14" s="1"/>
      <c r="E14" s="2"/>
      <c r="F14" s="1"/>
      <c r="G14" s="1">
        <v>415.76</v>
      </c>
      <c r="H14" s="1">
        <v>415.75927</v>
      </c>
      <c r="I14" s="135"/>
    </row>
    <row r="15" spans="1:9" s="85" customFormat="1" ht="75">
      <c r="A15" s="94">
        <v>10</v>
      </c>
      <c r="B15" s="101" t="s">
        <v>293</v>
      </c>
      <c r="C15" s="25"/>
      <c r="D15" s="26">
        <f>SUM(D16+D19+D21+D23+D28+D30+D32+D18+D25+D27)</f>
        <v>163476.636</v>
      </c>
      <c r="E15" s="77"/>
      <c r="F15" s="26">
        <f>SUM(F16+F19+F21+F23+F28+F30+F32+F18+F25+F27)</f>
        <v>125491.47308000001</v>
      </c>
      <c r="G15" s="26">
        <f>SUM(G16+G19+G21+G23+G28+G30+G32+G18+G25+G27)</f>
        <v>22411.798</v>
      </c>
      <c r="H15" s="26">
        <f>SUM(H16+H19+H21+H23+H28+H30+H32+H18+H25+H27)</f>
        <v>6208.89381</v>
      </c>
      <c r="I15" s="86"/>
    </row>
    <row r="16" spans="1:9" ht="99.75" customHeight="1">
      <c r="A16" s="137" t="s">
        <v>294</v>
      </c>
      <c r="B16" s="136" t="s">
        <v>291</v>
      </c>
      <c r="C16" s="3" t="s">
        <v>310</v>
      </c>
      <c r="D16" s="1">
        <v>6379.139</v>
      </c>
      <c r="E16" s="2">
        <f>100-(F16/D16)*100</f>
        <v>67.11595483340307</v>
      </c>
      <c r="F16" s="1">
        <f>D16-(1687.311+344.04021+44.9761+181.131+636.19824+755.9243+631.8392)</f>
        <v>2097.7189500000004</v>
      </c>
      <c r="G16" s="1">
        <f>831.335+G17+134.558+865.442-1366</f>
        <v>731.719</v>
      </c>
      <c r="H16" s="1">
        <v>362.86958</v>
      </c>
      <c r="I16" s="135" t="s">
        <v>104</v>
      </c>
    </row>
    <row r="17" spans="1:9" ht="37.5">
      <c r="A17" s="137"/>
      <c r="B17" s="136"/>
      <c r="C17" s="39" t="s">
        <v>292</v>
      </c>
      <c r="D17" s="1"/>
      <c r="E17" s="2"/>
      <c r="F17" s="1"/>
      <c r="G17" s="1">
        <v>266.384</v>
      </c>
      <c r="H17" s="1">
        <v>266.38363</v>
      </c>
      <c r="I17" s="135"/>
    </row>
    <row r="18" spans="1:9" ht="75">
      <c r="A18" s="95" t="s">
        <v>294</v>
      </c>
      <c r="B18" s="102" t="s">
        <v>291</v>
      </c>
      <c r="C18" s="39" t="s">
        <v>311</v>
      </c>
      <c r="D18" s="1">
        <v>9880.23</v>
      </c>
      <c r="E18" s="2">
        <f>100-(F18/D18)*100</f>
        <v>13.027971008772056</v>
      </c>
      <c r="F18" s="1">
        <f>D18-(1069.7+206.46924+0.13313+10.89113)</f>
        <v>8593.0365</v>
      </c>
      <c r="G18" s="1">
        <v>1.704</v>
      </c>
      <c r="H18" s="1">
        <v>1.704</v>
      </c>
      <c r="I18" s="46" t="s">
        <v>105</v>
      </c>
    </row>
    <row r="19" spans="1:9" ht="93.75">
      <c r="A19" s="137" t="s">
        <v>294</v>
      </c>
      <c r="B19" s="136" t="s">
        <v>291</v>
      </c>
      <c r="C19" s="39" t="s">
        <v>238</v>
      </c>
      <c r="D19" s="1">
        <v>619.012</v>
      </c>
      <c r="E19" s="2">
        <f>100-(F19/D19)*100</f>
        <v>3.225659599490811</v>
      </c>
      <c r="F19" s="1">
        <f>D19-19.96722</f>
        <v>599.04478</v>
      </c>
      <c r="G19" s="1">
        <v>599.045</v>
      </c>
      <c r="H19" s="1">
        <v>251.69821</v>
      </c>
      <c r="I19" s="154" t="s">
        <v>106</v>
      </c>
    </row>
    <row r="20" spans="1:9" ht="37.5">
      <c r="A20" s="137"/>
      <c r="B20" s="136"/>
      <c r="C20" s="39" t="s">
        <v>292</v>
      </c>
      <c r="D20" s="1"/>
      <c r="E20" s="2"/>
      <c r="F20" s="1"/>
      <c r="G20" s="1">
        <f>180.426-15.521+0.194</f>
        <v>165.09899999999996</v>
      </c>
      <c r="H20" s="1">
        <v>165.09821</v>
      </c>
      <c r="I20" s="154"/>
    </row>
    <row r="21" spans="1:9" ht="79.5" customHeight="1">
      <c r="A21" s="137" t="s">
        <v>294</v>
      </c>
      <c r="B21" s="136" t="s">
        <v>291</v>
      </c>
      <c r="C21" s="3" t="s">
        <v>312</v>
      </c>
      <c r="D21" s="1">
        <v>1001.743</v>
      </c>
      <c r="E21" s="2">
        <f>100-(F21/D21)*100</f>
        <v>75.90313982728105</v>
      </c>
      <c r="F21" s="1">
        <f>D21-(21.29719+527.40245+211.65475)</f>
        <v>241.38860999999997</v>
      </c>
      <c r="G21" s="1">
        <f>320.825+G22-134.558</f>
        <v>241.389</v>
      </c>
      <c r="H21" s="1">
        <v>167.58106</v>
      </c>
      <c r="I21" s="135" t="s">
        <v>107</v>
      </c>
    </row>
    <row r="22" spans="1:9" ht="37.5">
      <c r="A22" s="137"/>
      <c r="B22" s="136"/>
      <c r="C22" s="39" t="s">
        <v>292</v>
      </c>
      <c r="D22" s="1"/>
      <c r="E22" s="2"/>
      <c r="F22" s="1"/>
      <c r="G22" s="1">
        <v>55.122</v>
      </c>
      <c r="H22" s="1">
        <v>55.1216</v>
      </c>
      <c r="I22" s="135"/>
    </row>
    <row r="23" spans="1:9" ht="126" customHeight="1">
      <c r="A23" s="137" t="s">
        <v>294</v>
      </c>
      <c r="B23" s="136" t="s">
        <v>291</v>
      </c>
      <c r="C23" s="39" t="s">
        <v>313</v>
      </c>
      <c r="D23" s="1">
        <v>18053.4</v>
      </c>
      <c r="E23" s="2">
        <f>100-(F23/D23)*100</f>
        <v>38.37191974918852</v>
      </c>
      <c r="F23" s="1">
        <f>D23-(202.12564+117.93706+2239.71048+4367.66298)</f>
        <v>11125.96384</v>
      </c>
      <c r="G23" s="1">
        <f>11125.964-1400</f>
        <v>9725.964</v>
      </c>
      <c r="H23" s="1">
        <v>4431.94778</v>
      </c>
      <c r="I23" s="135" t="s">
        <v>239</v>
      </c>
    </row>
    <row r="24" spans="1:9" ht="37.5">
      <c r="A24" s="137"/>
      <c r="B24" s="136"/>
      <c r="C24" s="39" t="s">
        <v>292</v>
      </c>
      <c r="D24" s="1"/>
      <c r="E24" s="2"/>
      <c r="F24" s="1"/>
      <c r="G24" s="1">
        <f>2214.185-1402.182</f>
        <v>812.0029999999999</v>
      </c>
      <c r="H24" s="1">
        <v>811.97658</v>
      </c>
      <c r="I24" s="135"/>
    </row>
    <row r="25" spans="1:9" ht="83.25" customHeight="1">
      <c r="A25" s="137" t="s">
        <v>294</v>
      </c>
      <c r="B25" s="136" t="s">
        <v>291</v>
      </c>
      <c r="C25" s="39" t="s">
        <v>314</v>
      </c>
      <c r="D25" s="1">
        <v>4860</v>
      </c>
      <c r="E25" s="2">
        <f>100-(F25/D25)*100</f>
        <v>3.0492106995884853</v>
      </c>
      <c r="F25" s="1">
        <f>D25-148.19164</f>
        <v>4711.80836</v>
      </c>
      <c r="G25" s="1">
        <f>0.754+147.438</f>
        <v>148.19199999999998</v>
      </c>
      <c r="H25" s="1">
        <v>6.19642</v>
      </c>
      <c r="I25" s="135" t="s">
        <v>108</v>
      </c>
    </row>
    <row r="26" spans="1:9" ht="37.5">
      <c r="A26" s="137"/>
      <c r="B26" s="136"/>
      <c r="C26" s="39" t="s">
        <v>292</v>
      </c>
      <c r="D26" s="1"/>
      <c r="E26" s="2"/>
      <c r="F26" s="1"/>
      <c r="G26" s="1">
        <v>0.754</v>
      </c>
      <c r="H26" s="1">
        <v>0.7535</v>
      </c>
      <c r="I26" s="135"/>
    </row>
    <row r="27" spans="1:9" ht="75">
      <c r="A27" s="95" t="s">
        <v>294</v>
      </c>
      <c r="B27" s="102" t="s">
        <v>291</v>
      </c>
      <c r="C27" s="39" t="s">
        <v>315</v>
      </c>
      <c r="D27" s="1">
        <v>906.755</v>
      </c>
      <c r="E27" s="2">
        <f>100-(F27/D27)*100</f>
        <v>33.15051143914289</v>
      </c>
      <c r="F27" s="1">
        <f>D27-300-0.59492+0.001</f>
        <v>606.16108</v>
      </c>
      <c r="G27" s="1">
        <v>299.406</v>
      </c>
      <c r="H27" s="1">
        <v>299.40508</v>
      </c>
      <c r="I27" s="46" t="s">
        <v>109</v>
      </c>
    </row>
    <row r="28" spans="1:9" ht="66" customHeight="1">
      <c r="A28" s="137" t="s">
        <v>294</v>
      </c>
      <c r="B28" s="136" t="s">
        <v>291</v>
      </c>
      <c r="C28" s="39" t="s">
        <v>316</v>
      </c>
      <c r="D28" s="1">
        <v>7650.634</v>
      </c>
      <c r="E28" s="2">
        <f>100-(F28/D28)*100</f>
        <v>23.45771030217888</v>
      </c>
      <c r="F28" s="1">
        <f>SUM(D28-1794.66356)</f>
        <v>5855.97044</v>
      </c>
      <c r="G28" s="1">
        <f>2639.632+G29+2910.665-5000-477</f>
        <v>378.97000000000025</v>
      </c>
      <c r="H28" s="1">
        <v>378.67048</v>
      </c>
      <c r="I28" s="135" t="s">
        <v>276</v>
      </c>
    </row>
    <row r="29" spans="1:9" ht="37.5">
      <c r="A29" s="137"/>
      <c r="B29" s="136"/>
      <c r="C29" s="39" t="s">
        <v>292</v>
      </c>
      <c r="D29" s="1"/>
      <c r="E29" s="2"/>
      <c r="F29" s="1"/>
      <c r="G29" s="1">
        <v>305.673</v>
      </c>
      <c r="H29" s="1">
        <v>305.67277</v>
      </c>
      <c r="I29" s="135"/>
    </row>
    <row r="30" spans="1:9" ht="42" customHeight="1">
      <c r="A30" s="137" t="s">
        <v>294</v>
      </c>
      <c r="B30" s="136" t="s">
        <v>291</v>
      </c>
      <c r="C30" s="39" t="s">
        <v>317</v>
      </c>
      <c r="D30" s="1">
        <v>99995.818</v>
      </c>
      <c r="E30" s="2">
        <f>100-(F30/D30)*100</f>
        <v>21.4663506027822</v>
      </c>
      <c r="F30" s="1">
        <f>SUM(D30-941.16388-1592.174-18932.115)</f>
        <v>78530.36512</v>
      </c>
      <c r="G30" s="1">
        <f>1000+G31+8869.564</f>
        <v>9935.409</v>
      </c>
      <c r="H30" s="1">
        <v>0</v>
      </c>
      <c r="I30" s="135" t="s">
        <v>87</v>
      </c>
    </row>
    <row r="31" spans="1:9" ht="40.5" customHeight="1">
      <c r="A31" s="137"/>
      <c r="B31" s="136"/>
      <c r="C31" s="39" t="s">
        <v>292</v>
      </c>
      <c r="D31" s="1"/>
      <c r="E31" s="2"/>
      <c r="F31" s="1"/>
      <c r="G31" s="1">
        <v>65.845</v>
      </c>
      <c r="H31" s="1">
        <v>0</v>
      </c>
      <c r="I31" s="135"/>
    </row>
    <row r="32" spans="1:9" ht="43.5" customHeight="1">
      <c r="A32" s="95" t="s">
        <v>294</v>
      </c>
      <c r="B32" s="102" t="s">
        <v>291</v>
      </c>
      <c r="C32" s="39" t="s">
        <v>318</v>
      </c>
      <c r="D32" s="1">
        <v>14129.905</v>
      </c>
      <c r="E32" s="2">
        <f>100-(F32/D32)*100</f>
        <v>7.07640709544755</v>
      </c>
      <c r="F32" s="1">
        <f>SUM(D32-299.89-699.9996)</f>
        <v>13130.015400000002</v>
      </c>
      <c r="G32" s="1">
        <v>350</v>
      </c>
      <c r="H32" s="1">
        <v>308.8212</v>
      </c>
      <c r="I32" s="46" t="s">
        <v>275</v>
      </c>
    </row>
    <row r="33" spans="1:9" s="85" customFormat="1" ht="80.25" customHeight="1">
      <c r="A33" s="94">
        <v>14</v>
      </c>
      <c r="B33" s="101" t="s">
        <v>319</v>
      </c>
      <c r="C33" s="25"/>
      <c r="D33" s="26">
        <f>SUM(D34+D35+D37+D39+D41+D42+D44+D45+D47+D50+D51+D53+D56+D49+D57)</f>
        <v>63648.17899999999</v>
      </c>
      <c r="E33" s="77"/>
      <c r="F33" s="26">
        <f>SUM(F34+F35+F37+F39+F41+F42+F44+F45+F47+F50+F51+F53+F56+F49+F57)</f>
        <v>50506.50215000001</v>
      </c>
      <c r="G33" s="26">
        <f>SUM(G34+G35+G37+G39+G41+G42+G44+G45+G47+G50+G51+G53+G56+G49+G57+G55)</f>
        <v>9214.011999999999</v>
      </c>
      <c r="H33" s="26">
        <f>SUM(H34+H35+H37+H39+H41+H42+H44+H45+H47+H50+H51+H53+H56+H49+H57+H55)</f>
        <v>4725.383860000001</v>
      </c>
      <c r="I33" s="86"/>
    </row>
    <row r="34" spans="1:9" ht="142.5" customHeight="1">
      <c r="A34" s="95" t="s">
        <v>294</v>
      </c>
      <c r="B34" s="102" t="s">
        <v>291</v>
      </c>
      <c r="C34" s="4" t="s">
        <v>320</v>
      </c>
      <c r="D34" s="1">
        <v>8930.226</v>
      </c>
      <c r="E34" s="2">
        <f>100-(F34/D34)*100</f>
        <v>34.88813362618146</v>
      </c>
      <c r="F34" s="1">
        <f>D34-(1.65492+3.86148+683.13948+758.24118+1668.69212)</f>
        <v>5814.636820000001</v>
      </c>
      <c r="G34" s="1">
        <v>858.524</v>
      </c>
      <c r="H34" s="1">
        <v>858.5234</v>
      </c>
      <c r="I34" s="46" t="s">
        <v>240</v>
      </c>
    </row>
    <row r="35" spans="1:9" ht="112.5" customHeight="1">
      <c r="A35" s="137" t="s">
        <v>294</v>
      </c>
      <c r="B35" s="136" t="s">
        <v>291</v>
      </c>
      <c r="C35" s="5" t="s">
        <v>321</v>
      </c>
      <c r="D35" s="1">
        <v>8142.051</v>
      </c>
      <c r="E35" s="2">
        <f>100-(F35/D35)*100</f>
        <v>81.205556683445</v>
      </c>
      <c r="F35" s="1">
        <f>D35-(1388.68+1250+594.39965+183.85879+1020+1166.7+415.61717+592.54223)</f>
        <v>1530.2531600000002</v>
      </c>
      <c r="G35" s="1">
        <f>1279.91+G36-0.73</f>
        <v>1530.2530000000002</v>
      </c>
      <c r="H35" s="1">
        <v>943.40439</v>
      </c>
      <c r="I35" s="135" t="s">
        <v>223</v>
      </c>
    </row>
    <row r="36" spans="1:9" ht="48" customHeight="1">
      <c r="A36" s="137"/>
      <c r="B36" s="136"/>
      <c r="C36" s="39" t="s">
        <v>292</v>
      </c>
      <c r="D36" s="1"/>
      <c r="E36" s="2"/>
      <c r="F36" s="1"/>
      <c r="G36" s="1">
        <v>251.073</v>
      </c>
      <c r="H36" s="1">
        <v>251.07218</v>
      </c>
      <c r="I36" s="135"/>
    </row>
    <row r="37" spans="1:9" ht="102" customHeight="1">
      <c r="A37" s="137" t="s">
        <v>294</v>
      </c>
      <c r="B37" s="136" t="s">
        <v>291</v>
      </c>
      <c r="C37" s="5" t="s">
        <v>322</v>
      </c>
      <c r="D37" s="1">
        <v>27395.31</v>
      </c>
      <c r="E37" s="2">
        <f>100-(F37/D37)*100</f>
        <v>2.9271758195107083</v>
      </c>
      <c r="F37" s="1">
        <f>SUM(D37-767.38333-34.52556)</f>
        <v>26593.401110000003</v>
      </c>
      <c r="G37" s="1">
        <f>100+G38</f>
        <v>300</v>
      </c>
      <c r="H37" s="1">
        <v>200.63133</v>
      </c>
      <c r="I37" s="135" t="s">
        <v>204</v>
      </c>
    </row>
    <row r="38" spans="1:9" ht="37.5">
      <c r="A38" s="137"/>
      <c r="B38" s="136"/>
      <c r="C38" s="39" t="s">
        <v>292</v>
      </c>
      <c r="D38" s="1"/>
      <c r="E38" s="2"/>
      <c r="F38" s="1"/>
      <c r="G38" s="1">
        <v>200</v>
      </c>
      <c r="H38" s="1">
        <v>200</v>
      </c>
      <c r="I38" s="135"/>
    </row>
    <row r="39" spans="1:9" ht="93.75">
      <c r="A39" s="137" t="s">
        <v>294</v>
      </c>
      <c r="B39" s="136" t="s">
        <v>291</v>
      </c>
      <c r="C39" s="5" t="s">
        <v>323</v>
      </c>
      <c r="D39" s="1">
        <v>3575.299</v>
      </c>
      <c r="E39" s="2">
        <f>100-(F39/D39)*100</f>
        <v>35.42972405944231</v>
      </c>
      <c r="F39" s="1">
        <f>D39-(30.1488+136.05183+2.41403+1098.10391)</f>
        <v>2308.58043</v>
      </c>
      <c r="G39" s="1">
        <v>1017.862</v>
      </c>
      <c r="H39" s="1">
        <v>272.11159</v>
      </c>
      <c r="I39" s="141" t="s">
        <v>224</v>
      </c>
    </row>
    <row r="40" spans="1:9" ht="37.5">
      <c r="A40" s="137"/>
      <c r="B40" s="136"/>
      <c r="C40" s="39" t="s">
        <v>292</v>
      </c>
      <c r="D40" s="1"/>
      <c r="E40" s="2"/>
      <c r="F40" s="1"/>
      <c r="G40" s="1">
        <f>17.862-8.371</f>
        <v>9.490999999999998</v>
      </c>
      <c r="H40" s="1">
        <v>9.48555</v>
      </c>
      <c r="I40" s="141"/>
    </row>
    <row r="41" spans="1:9" ht="75">
      <c r="A41" s="95" t="s">
        <v>294</v>
      </c>
      <c r="B41" s="102" t="s">
        <v>291</v>
      </c>
      <c r="C41" s="39" t="s">
        <v>324</v>
      </c>
      <c r="D41" s="1">
        <v>2351.685</v>
      </c>
      <c r="E41" s="2">
        <f>100-(F41/D41)*100</f>
        <v>8.038622944824667</v>
      </c>
      <c r="F41" s="1">
        <f>SUM(D41-129.97194-59.07115)</f>
        <v>2162.64191</v>
      </c>
      <c r="G41" s="1">
        <f>1162.642+1000-1500-500</f>
        <v>162.64199999999983</v>
      </c>
      <c r="H41" s="1">
        <v>0</v>
      </c>
      <c r="I41" s="46" t="s">
        <v>87</v>
      </c>
    </row>
    <row r="42" spans="1:9" ht="56.25">
      <c r="A42" s="137" t="s">
        <v>294</v>
      </c>
      <c r="B42" s="136" t="s">
        <v>291</v>
      </c>
      <c r="C42" s="39" t="s">
        <v>325</v>
      </c>
      <c r="D42" s="1">
        <v>2581.403</v>
      </c>
      <c r="E42" s="2">
        <f>100-(F42/D42)*100</f>
        <v>7.747724783770678</v>
      </c>
      <c r="F42" s="1">
        <f>SUM(D42-141.81762-58.18238)</f>
        <v>2381.403</v>
      </c>
      <c r="G42" s="1">
        <f>1000+G43+0.73+99.82+1269.118-1534.696-500+184.727-0.35</f>
        <v>531.0840000000003</v>
      </c>
      <c r="H42" s="1">
        <v>11.73467</v>
      </c>
      <c r="I42" s="135" t="s">
        <v>204</v>
      </c>
    </row>
    <row r="43" spans="1:9" ht="37.5">
      <c r="A43" s="137"/>
      <c r="B43" s="136"/>
      <c r="C43" s="39" t="s">
        <v>292</v>
      </c>
      <c r="D43" s="1"/>
      <c r="E43" s="2"/>
      <c r="F43" s="1"/>
      <c r="G43" s="1">
        <v>11.735</v>
      </c>
      <c r="H43" s="1">
        <v>11.73467</v>
      </c>
      <c r="I43" s="135"/>
    </row>
    <row r="44" spans="1:9" ht="75">
      <c r="A44" s="95" t="s">
        <v>294</v>
      </c>
      <c r="B44" s="102" t="s">
        <v>291</v>
      </c>
      <c r="C44" s="39" t="s">
        <v>326</v>
      </c>
      <c r="D44" s="1">
        <v>1801.032</v>
      </c>
      <c r="E44" s="2">
        <f>100-(F44/D44)*100</f>
        <v>8.126401973979355</v>
      </c>
      <c r="F44" s="1">
        <f>SUM(D44-100.44048-45.91862)</f>
        <v>1654.6729</v>
      </c>
      <c r="G44" s="1">
        <f>723.448+931.225-1500</f>
        <v>154.673</v>
      </c>
      <c r="H44" s="1">
        <v>0</v>
      </c>
      <c r="I44" s="46" t="s">
        <v>87</v>
      </c>
    </row>
    <row r="45" spans="1:9" ht="76.5" customHeight="1">
      <c r="A45" s="137" t="s">
        <v>294</v>
      </c>
      <c r="B45" s="136" t="s">
        <v>291</v>
      </c>
      <c r="C45" s="5" t="s">
        <v>327</v>
      </c>
      <c r="D45" s="1">
        <f>300+20.647</f>
        <v>320.647</v>
      </c>
      <c r="E45" s="2">
        <f>100-(F45/D45)*100</f>
        <v>41.377255985554214</v>
      </c>
      <c r="F45" s="1">
        <f>SUM(D45-30.81-101.86493)</f>
        <v>187.97206999999997</v>
      </c>
      <c r="G45" s="1">
        <f>200.825+G46-99.821</f>
        <v>187.972</v>
      </c>
      <c r="H45" s="1">
        <v>116.8533</v>
      </c>
      <c r="I45" s="135" t="s">
        <v>241</v>
      </c>
    </row>
    <row r="46" spans="1:9" ht="37.5">
      <c r="A46" s="137"/>
      <c r="B46" s="136"/>
      <c r="C46" s="39" t="s">
        <v>292</v>
      </c>
      <c r="D46" s="1"/>
      <c r="E46" s="2"/>
      <c r="F46" s="1"/>
      <c r="G46" s="1">
        <v>86.968</v>
      </c>
      <c r="H46" s="1">
        <v>86.96722</v>
      </c>
      <c r="I46" s="135"/>
    </row>
    <row r="47" spans="1:9" ht="93.75">
      <c r="A47" s="152">
        <v>150101</v>
      </c>
      <c r="B47" s="136" t="s">
        <v>291</v>
      </c>
      <c r="C47" s="39" t="s">
        <v>328</v>
      </c>
      <c r="D47" s="1">
        <v>157.51</v>
      </c>
      <c r="E47" s="2">
        <f>100-(F47/D47)*100</f>
        <v>0</v>
      </c>
      <c r="F47" s="1">
        <f>SUM(D47)</f>
        <v>157.51</v>
      </c>
      <c r="G47" s="1">
        <f>20+137.51</f>
        <v>157.51</v>
      </c>
      <c r="H47" s="1">
        <v>149.38686</v>
      </c>
      <c r="I47" s="135" t="s">
        <v>225</v>
      </c>
    </row>
    <row r="48" spans="1:9" ht="37.5">
      <c r="A48" s="152"/>
      <c r="B48" s="136"/>
      <c r="C48" s="39" t="s">
        <v>292</v>
      </c>
      <c r="D48" s="1"/>
      <c r="E48" s="2"/>
      <c r="F48" s="1"/>
      <c r="G48" s="1">
        <v>20</v>
      </c>
      <c r="H48" s="1">
        <v>20</v>
      </c>
      <c r="I48" s="135"/>
    </row>
    <row r="49" spans="1:9" ht="56.25">
      <c r="A49" s="95" t="s">
        <v>294</v>
      </c>
      <c r="B49" s="102" t="s">
        <v>291</v>
      </c>
      <c r="C49" s="39" t="s">
        <v>329</v>
      </c>
      <c r="D49" s="1">
        <v>185</v>
      </c>
      <c r="E49" s="2">
        <f>100-(F49/D49)*100</f>
        <v>65.40081081081081</v>
      </c>
      <c r="F49" s="1">
        <f>SUM(D49-120.9915)</f>
        <v>64.0085</v>
      </c>
      <c r="G49" s="1">
        <v>64.009</v>
      </c>
      <c r="H49" s="1">
        <v>46.92588</v>
      </c>
      <c r="I49" s="46" t="s">
        <v>226</v>
      </c>
    </row>
    <row r="50" spans="1:9" ht="75">
      <c r="A50" s="95" t="s">
        <v>294</v>
      </c>
      <c r="B50" s="102" t="s">
        <v>291</v>
      </c>
      <c r="C50" s="39" t="s">
        <v>330</v>
      </c>
      <c r="D50" s="1">
        <v>4431.452</v>
      </c>
      <c r="E50" s="2">
        <f>100-(F50/D50)*100</f>
        <v>3.599783772903322</v>
      </c>
      <c r="F50" s="1">
        <f>SUM(D50-159.52269)</f>
        <v>4271.92931</v>
      </c>
      <c r="G50" s="1">
        <v>19.32</v>
      </c>
      <c r="H50" s="1">
        <v>0</v>
      </c>
      <c r="I50" s="46" t="s">
        <v>87</v>
      </c>
    </row>
    <row r="51" spans="1:9" ht="75">
      <c r="A51" s="137" t="s">
        <v>294</v>
      </c>
      <c r="B51" s="136" t="s">
        <v>291</v>
      </c>
      <c r="C51" s="39" t="s">
        <v>331</v>
      </c>
      <c r="D51" s="1">
        <v>415.206</v>
      </c>
      <c r="E51" s="2">
        <f>100-(F51/D51)*100</f>
        <v>0</v>
      </c>
      <c r="F51" s="1">
        <f>SUM(D51)</f>
        <v>415.206</v>
      </c>
      <c r="G51" s="1">
        <f>325.77+G52</f>
        <v>415.206</v>
      </c>
      <c r="H51" s="1">
        <v>353.376</v>
      </c>
      <c r="I51" s="46" t="s">
        <v>226</v>
      </c>
    </row>
    <row r="52" spans="1:9" ht="37.5">
      <c r="A52" s="137"/>
      <c r="B52" s="136"/>
      <c r="C52" s="39" t="s">
        <v>292</v>
      </c>
      <c r="D52" s="1"/>
      <c r="E52" s="2"/>
      <c r="F52" s="1"/>
      <c r="G52" s="1">
        <v>89.436</v>
      </c>
      <c r="H52" s="1">
        <v>89.436</v>
      </c>
      <c r="I52" s="46" t="s">
        <v>204</v>
      </c>
    </row>
    <row r="53" spans="1:9" ht="64.5" customHeight="1">
      <c r="A53" s="137" t="s">
        <v>294</v>
      </c>
      <c r="B53" s="136" t="s">
        <v>291</v>
      </c>
      <c r="C53" s="39" t="s">
        <v>332</v>
      </c>
      <c r="D53" s="1">
        <v>2647.748</v>
      </c>
      <c r="E53" s="2">
        <f>100-(F53/D53)*100</f>
        <v>14.996557829521535</v>
      </c>
      <c r="F53" s="1">
        <f>D53-397.07106</f>
        <v>2250.6769400000003</v>
      </c>
      <c r="G53" s="1">
        <f>1444.897+G54+743.118</f>
        <v>2250.677</v>
      </c>
      <c r="H53" s="1">
        <v>1167.20501</v>
      </c>
      <c r="I53" s="141" t="s">
        <v>242</v>
      </c>
    </row>
    <row r="54" spans="1:9" ht="37.5">
      <c r="A54" s="137"/>
      <c r="B54" s="136"/>
      <c r="C54" s="39" t="s">
        <v>292</v>
      </c>
      <c r="D54" s="1"/>
      <c r="E54" s="2"/>
      <c r="F54" s="1"/>
      <c r="G54" s="1">
        <v>62.662</v>
      </c>
      <c r="H54" s="1">
        <v>62.66181</v>
      </c>
      <c r="I54" s="141"/>
    </row>
    <row r="55" spans="1:9" ht="80.25" customHeight="1">
      <c r="A55" s="95" t="s">
        <v>605</v>
      </c>
      <c r="B55" s="102" t="s">
        <v>291</v>
      </c>
      <c r="C55" s="39" t="s">
        <v>333</v>
      </c>
      <c r="D55" s="1">
        <v>850.67</v>
      </c>
      <c r="E55" s="2">
        <f>100-(F55/D55)*100</f>
        <v>0</v>
      </c>
      <c r="F55" s="1">
        <f>SUM(D55)</f>
        <v>850.67</v>
      </c>
      <c r="G55" s="1">
        <v>850.67</v>
      </c>
      <c r="H55" s="1">
        <v>0</v>
      </c>
      <c r="I55" s="46" t="s">
        <v>87</v>
      </c>
    </row>
    <row r="56" spans="1:9" ht="58.5" customHeight="1">
      <c r="A56" s="95" t="s">
        <v>605</v>
      </c>
      <c r="B56" s="102" t="s">
        <v>291</v>
      </c>
      <c r="C56" s="39" t="s">
        <v>334</v>
      </c>
      <c r="D56" s="1">
        <v>563.594</v>
      </c>
      <c r="E56" s="2">
        <f>100-(F56/D56)*100</f>
        <v>0</v>
      </c>
      <c r="F56" s="1">
        <f>SUM(D56)</f>
        <v>563.594</v>
      </c>
      <c r="G56" s="1">
        <v>563.594</v>
      </c>
      <c r="H56" s="1">
        <v>456.98958</v>
      </c>
      <c r="I56" s="46" t="s">
        <v>226</v>
      </c>
    </row>
    <row r="57" spans="1:9" ht="75">
      <c r="A57" s="95" t="s">
        <v>605</v>
      </c>
      <c r="B57" s="102" t="s">
        <v>291</v>
      </c>
      <c r="C57" s="39" t="s">
        <v>335</v>
      </c>
      <c r="D57" s="1">
        <v>150.016</v>
      </c>
      <c r="E57" s="2">
        <f>100-(F57/D57)*100</f>
        <v>0</v>
      </c>
      <c r="F57" s="1">
        <f>SUM(D57)</f>
        <v>150.016</v>
      </c>
      <c r="G57" s="1">
        <v>150.016</v>
      </c>
      <c r="H57" s="1">
        <v>148.24185</v>
      </c>
      <c r="I57" s="46" t="s">
        <v>227</v>
      </c>
    </row>
    <row r="58" spans="1:9" s="85" customFormat="1" ht="93.75">
      <c r="A58" s="94">
        <v>15</v>
      </c>
      <c r="B58" s="101" t="s">
        <v>336</v>
      </c>
      <c r="C58" s="25"/>
      <c r="D58" s="26">
        <f>SUM(D59+D61)</f>
        <v>6274.216</v>
      </c>
      <c r="E58" s="77"/>
      <c r="F58" s="26">
        <f>SUM(F59+F61)</f>
        <v>4518.280790000001</v>
      </c>
      <c r="G58" s="26">
        <f>SUM(G59+G61)</f>
        <v>1518.281</v>
      </c>
      <c r="H58" s="26">
        <f>SUM(H59+H61)</f>
        <v>278.22834</v>
      </c>
      <c r="I58" s="86"/>
    </row>
    <row r="59" spans="1:9" ht="48.75" customHeight="1">
      <c r="A59" s="137" t="s">
        <v>294</v>
      </c>
      <c r="B59" s="136" t="s">
        <v>291</v>
      </c>
      <c r="C59" s="3" t="s">
        <v>337</v>
      </c>
      <c r="D59" s="1">
        <v>5974.216</v>
      </c>
      <c r="E59" s="2">
        <f>100-(F59/D59)*100</f>
        <v>29.391893597419312</v>
      </c>
      <c r="F59" s="1">
        <f>D59-141.38581-1614.5504+0.001</f>
        <v>4218.280790000001</v>
      </c>
      <c r="G59" s="1">
        <f>4218.281-3000</f>
        <v>1218.281</v>
      </c>
      <c r="H59" s="1">
        <v>278.22834</v>
      </c>
      <c r="I59" s="135" t="s">
        <v>243</v>
      </c>
    </row>
    <row r="60" spans="1:9" ht="37.5">
      <c r="A60" s="137"/>
      <c r="B60" s="136"/>
      <c r="C60" s="39" t="s">
        <v>292</v>
      </c>
      <c r="D60" s="1"/>
      <c r="E60" s="2"/>
      <c r="F60" s="1"/>
      <c r="G60" s="1">
        <f>458.388-292.555-0.455</f>
        <v>165.37799999999996</v>
      </c>
      <c r="H60" s="1">
        <v>165.37737</v>
      </c>
      <c r="I60" s="135"/>
    </row>
    <row r="61" spans="1:9" ht="56.25">
      <c r="A61" s="95" t="s">
        <v>294</v>
      </c>
      <c r="B61" s="102" t="s">
        <v>291</v>
      </c>
      <c r="C61" s="39" t="s">
        <v>338</v>
      </c>
      <c r="D61" s="1">
        <v>300</v>
      </c>
      <c r="E61" s="2">
        <f>100-(F61/D61)*100</f>
        <v>0</v>
      </c>
      <c r="F61" s="1">
        <f>SUM(D61)</f>
        <v>300</v>
      </c>
      <c r="G61" s="1">
        <v>300</v>
      </c>
      <c r="H61" s="1">
        <v>0</v>
      </c>
      <c r="I61" s="46" t="s">
        <v>87</v>
      </c>
    </row>
    <row r="62" spans="1:9" s="85" customFormat="1" ht="75">
      <c r="A62" s="94">
        <v>24</v>
      </c>
      <c r="B62" s="101" t="s">
        <v>339</v>
      </c>
      <c r="C62" s="25"/>
      <c r="D62" s="26">
        <f>SUM(D63)</f>
        <v>206.754</v>
      </c>
      <c r="E62" s="77"/>
      <c r="F62" s="26">
        <f>SUM(F63)</f>
        <v>136.52330999999998</v>
      </c>
      <c r="G62" s="26">
        <f>SUM(G63)</f>
        <v>136.523</v>
      </c>
      <c r="H62" s="26">
        <f>SUM(H63)</f>
        <v>121.85187</v>
      </c>
      <c r="I62" s="86"/>
    </row>
    <row r="63" spans="1:9" ht="64.5" customHeight="1">
      <c r="A63" s="137" t="s">
        <v>294</v>
      </c>
      <c r="B63" s="136" t="s">
        <v>291</v>
      </c>
      <c r="C63" s="39" t="s">
        <v>340</v>
      </c>
      <c r="D63" s="1">
        <v>206.754</v>
      </c>
      <c r="E63" s="2">
        <f>100-(F63/D63)*100</f>
        <v>33.96823761571723</v>
      </c>
      <c r="F63" s="1">
        <f>194.934-58.41069</f>
        <v>136.52330999999998</v>
      </c>
      <c r="G63" s="1">
        <f>126.86+G64</f>
        <v>136.523</v>
      </c>
      <c r="H63" s="1">
        <v>121.85187</v>
      </c>
      <c r="I63" s="87" t="s">
        <v>244</v>
      </c>
    </row>
    <row r="64" spans="1:9" ht="56.25">
      <c r="A64" s="137"/>
      <c r="B64" s="136"/>
      <c r="C64" s="39" t="s">
        <v>292</v>
      </c>
      <c r="D64" s="1"/>
      <c r="E64" s="2"/>
      <c r="F64" s="1"/>
      <c r="G64" s="1">
        <v>9.663</v>
      </c>
      <c r="H64" s="1">
        <v>9.66288</v>
      </c>
      <c r="I64" s="46" t="s">
        <v>143</v>
      </c>
    </row>
    <row r="65" spans="1:9" s="85" customFormat="1" ht="105" customHeight="1">
      <c r="A65" s="94">
        <v>32</v>
      </c>
      <c r="B65" s="101" t="s">
        <v>341</v>
      </c>
      <c r="C65" s="25"/>
      <c r="D65" s="26">
        <f>SUM(D66)</f>
        <v>1071.2</v>
      </c>
      <c r="E65" s="77"/>
      <c r="F65" s="26">
        <f>SUM(F66)</f>
        <v>986.2</v>
      </c>
      <c r="G65" s="26">
        <f>SUM(G66)</f>
        <v>986.2</v>
      </c>
      <c r="H65" s="26">
        <f>SUM(H66)</f>
        <v>320.09043</v>
      </c>
      <c r="I65" s="86"/>
    </row>
    <row r="66" spans="1:9" ht="62.25" customHeight="1">
      <c r="A66" s="137" t="s">
        <v>294</v>
      </c>
      <c r="B66" s="136" t="s">
        <v>291</v>
      </c>
      <c r="C66" s="39" t="s">
        <v>342</v>
      </c>
      <c r="D66" s="1">
        <v>1071.2</v>
      </c>
      <c r="E66" s="2">
        <f>100-(F66/D66)*100</f>
        <v>7.935026138909635</v>
      </c>
      <c r="F66" s="1">
        <f>SUM(D66-85)</f>
        <v>986.2</v>
      </c>
      <c r="G66" s="1">
        <f>666.109+G67</f>
        <v>986.2</v>
      </c>
      <c r="H66" s="1">
        <v>320.09043</v>
      </c>
      <c r="I66" s="135" t="s">
        <v>147</v>
      </c>
    </row>
    <row r="67" spans="1:9" ht="37.5">
      <c r="A67" s="137"/>
      <c r="B67" s="136"/>
      <c r="C67" s="39" t="s">
        <v>292</v>
      </c>
      <c r="D67" s="1"/>
      <c r="E67" s="2"/>
      <c r="F67" s="1"/>
      <c r="G67" s="1">
        <v>320.091</v>
      </c>
      <c r="H67" s="1">
        <v>320.09043</v>
      </c>
      <c r="I67" s="135"/>
    </row>
    <row r="68" spans="1:9" s="85" customFormat="1" ht="112.5">
      <c r="A68" s="94">
        <v>40</v>
      </c>
      <c r="B68" s="101" t="s">
        <v>343</v>
      </c>
      <c r="C68" s="25"/>
      <c r="D68" s="26">
        <f>SUM(D69:D373)-D84-D181-D368</f>
        <v>198761.40399000002</v>
      </c>
      <c r="E68" s="77"/>
      <c r="F68" s="26">
        <f>SUM(F69:F373)-F84-F181-F368</f>
        <v>162779.49537</v>
      </c>
      <c r="G68" s="26">
        <f>SUM(G364+G365+G234+G242+G248+G250+G243+G255+G244+G261+G246+G253+G265+G267+G270+G263+G69+G71+G73+G222+G79+G80+G76+G220+G306+G229+G82+G309+G338+G84+G181+G335+G224+G81+G226+G313+G315+G317+G320+G231+G322+G318+G323+G326+G312+G286+G228+G331+G287+G302+G291+G329+G274+G333+G366+G311+G276+G278+G337+G282+G325+G327+G284+G285+G289+G293+G299+G300+G295+G297+G304+G308+G328+G290+G368+G373+G236+G237+G238+G239+G240+G241+G249+G252+G257+G258+G259+G260+G269+G272+G280+G321+G77+G78+G339+G340+G341+G342+G343+G344+G345+G346+G347+G348+G349+G350+G351+G352+G353+G354+G355+G356+G357+G358+G359+G360+G361+G273+G362+G233+G225+G363+G75)</f>
        <v>48116.57398999998</v>
      </c>
      <c r="H68" s="26">
        <f>SUM(H364+H365+H234+H242+H248+H250+H243+H255+H244+H261+H246+H253+H265+H267+H270+H263+H69+H71+H73+H222+H79+H80+H76+H220+H306+H229+H82+H309+H338+H84+H181+H335+H224+H81+H226+H313+H315+H317+H320+H231+H322+H318+H323+H326+H312+H286+H228+H331+H287+H302+H291+H329+H274+H333+H366+H311+H276+H278+H337+H282+H325+H327+H284+H285+H289+H293+H299+H300+H295+H297+H304+H308+H328+H290+H368+H373+H236+H237+H238+H239+H240+H241+H249+H252+H257+H258+H259+H260+H269+H272+H280+H321+H77+H78+H339+H340+H341+H342+H343+H344+H345+H346+H347+H348+H349+H350+H351+H352+H353+H354+H355+H356+H357+H358+H359+H360+H361+H273+H362+H233+H225+H363+H75)</f>
        <v>19291.965320000007</v>
      </c>
      <c r="I68" s="86"/>
    </row>
    <row r="69" spans="1:9" ht="56.25">
      <c r="A69" s="137" t="s">
        <v>294</v>
      </c>
      <c r="B69" s="136" t="s">
        <v>291</v>
      </c>
      <c r="C69" s="39" t="s">
        <v>344</v>
      </c>
      <c r="D69" s="1">
        <v>706.344</v>
      </c>
      <c r="E69" s="2">
        <f>100-(F69/D69)*100</f>
        <v>28.570413283046207</v>
      </c>
      <c r="F69" s="1">
        <f>SUM(D69-201.8054)</f>
        <v>504.5386000000001</v>
      </c>
      <c r="G69" s="1">
        <f>38.016+G70+10.714</f>
        <v>193.638</v>
      </c>
      <c r="H69" s="1">
        <v>144.84154</v>
      </c>
      <c r="I69" s="147" t="s">
        <v>170</v>
      </c>
    </row>
    <row r="70" spans="1:9" ht="37.5">
      <c r="A70" s="137"/>
      <c r="B70" s="136"/>
      <c r="C70" s="39" t="s">
        <v>292</v>
      </c>
      <c r="D70" s="1"/>
      <c r="E70" s="2"/>
      <c r="F70" s="1"/>
      <c r="G70" s="1">
        <f>155.622-10.714</f>
        <v>144.90800000000002</v>
      </c>
      <c r="H70" s="1">
        <v>144.84154</v>
      </c>
      <c r="I70" s="147"/>
    </row>
    <row r="71" spans="1:9" ht="77.25" customHeight="1">
      <c r="A71" s="137" t="s">
        <v>294</v>
      </c>
      <c r="B71" s="136" t="s">
        <v>291</v>
      </c>
      <c r="C71" s="39" t="s">
        <v>345</v>
      </c>
      <c r="D71" s="1">
        <v>1512</v>
      </c>
      <c r="E71" s="2">
        <f>100-(F71/D71)*100</f>
        <v>45.888626322751314</v>
      </c>
      <c r="F71" s="1">
        <f>D71-509.5064-84.38064-99.94899</f>
        <v>818.1639700000001</v>
      </c>
      <c r="G71" s="1">
        <f>275.053+G72+536.536</f>
        <v>818.164</v>
      </c>
      <c r="H71" s="1">
        <v>58.10742</v>
      </c>
      <c r="I71" s="148" t="s">
        <v>171</v>
      </c>
    </row>
    <row r="72" spans="1:9" ht="37.5">
      <c r="A72" s="137"/>
      <c r="B72" s="136"/>
      <c r="C72" s="39" t="s">
        <v>292</v>
      </c>
      <c r="D72" s="1"/>
      <c r="E72" s="2"/>
      <c r="F72" s="1"/>
      <c r="G72" s="1">
        <v>6.575</v>
      </c>
      <c r="H72" s="1">
        <v>6.5748</v>
      </c>
      <c r="I72" s="148"/>
    </row>
    <row r="73" spans="1:9" ht="37.5">
      <c r="A73" s="137" t="s">
        <v>294</v>
      </c>
      <c r="B73" s="136" t="s">
        <v>291</v>
      </c>
      <c r="C73" s="39" t="s">
        <v>346</v>
      </c>
      <c r="D73" s="1">
        <v>1471.483</v>
      </c>
      <c r="E73" s="2">
        <f>100-(F73/D73)*100</f>
        <v>5.54817350930999</v>
      </c>
      <c r="F73" s="1">
        <f>D73-2.16203-79.4784</f>
        <v>1389.84257</v>
      </c>
      <c r="G73" s="1">
        <f>715.208+G74+671.483-1000</f>
        <v>389.84299999999985</v>
      </c>
      <c r="H73" s="1">
        <v>3.15184</v>
      </c>
      <c r="I73" s="147" t="s">
        <v>245</v>
      </c>
    </row>
    <row r="74" spans="1:9" ht="37.5">
      <c r="A74" s="137"/>
      <c r="B74" s="136"/>
      <c r="C74" s="39" t="s">
        <v>292</v>
      </c>
      <c r="D74" s="1"/>
      <c r="E74" s="2"/>
      <c r="F74" s="1"/>
      <c r="G74" s="1">
        <v>3.152</v>
      </c>
      <c r="H74" s="1">
        <v>3.15184</v>
      </c>
      <c r="I74" s="147"/>
    </row>
    <row r="75" spans="1:9" ht="37.5">
      <c r="A75" s="95" t="s">
        <v>294</v>
      </c>
      <c r="B75" s="102" t="s">
        <v>291</v>
      </c>
      <c r="C75" s="39" t="s">
        <v>347</v>
      </c>
      <c r="D75" s="1">
        <v>742.773</v>
      </c>
      <c r="E75" s="2">
        <f>100-(F75/D75)*100</f>
        <v>5.549784389039459</v>
      </c>
      <c r="F75" s="1">
        <v>701.5507</v>
      </c>
      <c r="G75" s="1">
        <v>41.335</v>
      </c>
      <c r="H75" s="1">
        <v>43.16131</v>
      </c>
      <c r="I75" s="78" t="s">
        <v>172</v>
      </c>
    </row>
    <row r="76" spans="1:9" ht="68.25" customHeight="1">
      <c r="A76" s="95" t="s">
        <v>294</v>
      </c>
      <c r="B76" s="102" t="s">
        <v>291</v>
      </c>
      <c r="C76" s="39" t="s">
        <v>348</v>
      </c>
      <c r="D76" s="1">
        <v>100</v>
      </c>
      <c r="E76" s="2">
        <f aca="true" t="shared" si="0" ref="E76:E82">100-(F76/D76)*100</f>
        <v>0</v>
      </c>
      <c r="F76" s="1">
        <f>SUM(D76)</f>
        <v>100</v>
      </c>
      <c r="G76" s="1">
        <v>100</v>
      </c>
      <c r="H76" s="1">
        <v>98.10754</v>
      </c>
      <c r="I76" s="78" t="s">
        <v>173</v>
      </c>
    </row>
    <row r="77" spans="1:9" ht="56.25">
      <c r="A77" s="95" t="s">
        <v>294</v>
      </c>
      <c r="B77" s="102" t="s">
        <v>291</v>
      </c>
      <c r="C77" s="39" t="s">
        <v>349</v>
      </c>
      <c r="D77" s="1">
        <v>50</v>
      </c>
      <c r="E77" s="2">
        <f t="shared" si="0"/>
        <v>0</v>
      </c>
      <c r="F77" s="1">
        <f>SUM(D77)</f>
        <v>50</v>
      </c>
      <c r="G77" s="1">
        <v>50</v>
      </c>
      <c r="H77" s="1">
        <v>28.78011</v>
      </c>
      <c r="I77" s="78" t="s">
        <v>173</v>
      </c>
    </row>
    <row r="78" spans="1:9" ht="59.25" customHeight="1">
      <c r="A78" s="95" t="s">
        <v>294</v>
      </c>
      <c r="B78" s="102" t="s">
        <v>291</v>
      </c>
      <c r="C78" s="39" t="s">
        <v>350</v>
      </c>
      <c r="D78" s="1">
        <v>100</v>
      </c>
      <c r="E78" s="2">
        <f t="shared" si="0"/>
        <v>0</v>
      </c>
      <c r="F78" s="1">
        <f>SUM(D78)</f>
        <v>100</v>
      </c>
      <c r="G78" s="1">
        <v>100</v>
      </c>
      <c r="H78" s="1">
        <v>71.42279</v>
      </c>
      <c r="I78" s="78" t="s">
        <v>173</v>
      </c>
    </row>
    <row r="79" spans="1:9" ht="43.5" customHeight="1">
      <c r="A79" s="95" t="s">
        <v>294</v>
      </c>
      <c r="B79" s="102" t="s">
        <v>291</v>
      </c>
      <c r="C79" s="3" t="s">
        <v>351</v>
      </c>
      <c r="D79" s="1">
        <v>822.602</v>
      </c>
      <c r="E79" s="2">
        <f t="shared" si="0"/>
        <v>58.78815028409851</v>
      </c>
      <c r="F79" s="1">
        <f>SUM(D79-463.8061-18.7964-0.99)</f>
        <v>339.00949999999995</v>
      </c>
      <c r="G79" s="1">
        <f>339.01-310</f>
        <v>29.00999999999999</v>
      </c>
      <c r="H79" s="1">
        <v>0</v>
      </c>
      <c r="I79" s="46" t="s">
        <v>87</v>
      </c>
    </row>
    <row r="80" spans="1:9" ht="46.5" customHeight="1">
      <c r="A80" s="95" t="s">
        <v>294</v>
      </c>
      <c r="B80" s="102" t="s">
        <v>291</v>
      </c>
      <c r="C80" s="3" t="s">
        <v>352</v>
      </c>
      <c r="D80" s="1">
        <v>610.807</v>
      </c>
      <c r="E80" s="2">
        <f t="shared" si="0"/>
        <v>52.79486482636905</v>
      </c>
      <c r="F80" s="1">
        <f>467.855-178.12755-1.39518</f>
        <v>288.33227</v>
      </c>
      <c r="G80" s="1">
        <v>288.332</v>
      </c>
      <c r="H80" s="1">
        <v>0</v>
      </c>
      <c r="I80" s="78" t="s">
        <v>87</v>
      </c>
    </row>
    <row r="81" spans="1:9" ht="60.75" customHeight="1">
      <c r="A81" s="95" t="s">
        <v>294</v>
      </c>
      <c r="B81" s="102" t="s">
        <v>291</v>
      </c>
      <c r="C81" s="39" t="s">
        <v>353</v>
      </c>
      <c r="D81" s="1">
        <v>11757.16</v>
      </c>
      <c r="E81" s="2">
        <f t="shared" si="0"/>
        <v>2.1553221186068754</v>
      </c>
      <c r="F81" s="1">
        <f>SUM(D81)-253.40467</f>
        <v>11503.75533</v>
      </c>
      <c r="G81" s="1">
        <v>33.016</v>
      </c>
      <c r="H81" s="1">
        <v>33.016</v>
      </c>
      <c r="I81" s="79" t="s">
        <v>174</v>
      </c>
    </row>
    <row r="82" spans="1:9" ht="63" customHeight="1">
      <c r="A82" s="137" t="s">
        <v>294</v>
      </c>
      <c r="B82" s="136" t="s">
        <v>291</v>
      </c>
      <c r="C82" s="3" t="s">
        <v>354</v>
      </c>
      <c r="D82" s="1">
        <v>4604.675</v>
      </c>
      <c r="E82" s="2">
        <f t="shared" si="0"/>
        <v>22.93151807673722</v>
      </c>
      <c r="F82" s="1">
        <f>SUM(D82-1.41395-1054.50793)</f>
        <v>3548.7531200000003</v>
      </c>
      <c r="G82" s="1">
        <f>1885.637+G83+56.615</f>
        <v>3548.7529999999997</v>
      </c>
      <c r="H82" s="1">
        <v>2973.15496</v>
      </c>
      <c r="I82" s="79" t="s">
        <v>228</v>
      </c>
    </row>
    <row r="83" spans="1:9" ht="66" customHeight="1">
      <c r="A83" s="137"/>
      <c r="B83" s="136"/>
      <c r="C83" s="39" t="s">
        <v>292</v>
      </c>
      <c r="D83" s="1"/>
      <c r="E83" s="2"/>
      <c r="F83" s="1"/>
      <c r="G83" s="1">
        <v>1606.501</v>
      </c>
      <c r="H83" s="1">
        <v>1606.50091</v>
      </c>
      <c r="I83" s="79" t="s">
        <v>246</v>
      </c>
    </row>
    <row r="84" spans="1:9" ht="37.5">
      <c r="A84" s="137" t="s">
        <v>294</v>
      </c>
      <c r="B84" s="136" t="s">
        <v>291</v>
      </c>
      <c r="C84" s="25" t="s">
        <v>355</v>
      </c>
      <c r="D84" s="1">
        <f>SUM(D87:D180)</f>
        <v>4626.929999999999</v>
      </c>
      <c r="E84" s="2">
        <f>100-(F84/D84)*100</f>
        <v>51.47335684784512</v>
      </c>
      <c r="F84" s="1">
        <f>SUM(F87:F180)</f>
        <v>2245.2938099999997</v>
      </c>
      <c r="G84" s="1">
        <f>SUM(G90-G91+G94+G95+G97-G98+G109+G114+G119+G122-G123+G132-G133+G135+G147+G153-G154+G157-G158+G164-G165+G167+G180+G85)</f>
        <v>1991.7809999999997</v>
      </c>
      <c r="H84" s="1">
        <f>SUM(H90-H91+H94+H95+H97-H98+H109+H114+H119+H122-H123+H132-H133+H135+H147+H153-H154+H157-H158+H164-H165+H167+H180+H85)</f>
        <v>1366.5900100000001</v>
      </c>
      <c r="I84" s="144"/>
    </row>
    <row r="85" spans="1:9" ht="37.5">
      <c r="A85" s="137"/>
      <c r="B85" s="136"/>
      <c r="C85" s="39" t="s">
        <v>292</v>
      </c>
      <c r="D85" s="1"/>
      <c r="E85" s="2"/>
      <c r="F85" s="1"/>
      <c r="G85" s="1">
        <f>SUM(G87+G88+G89+G91+G92+G93+G96+G98+G99+G100+G101+G102+G103+G104+G106+G107+G108+G110+G111+G112+G113+G115+G117+G120+G121+G123+G124+G125+G126+G127+G128+G129+G130+G131+G133+G134+G136+G138+G140+G142+G144+G145+G146+G148+G150+G151+G154+G155+G158+G159+G160+G161+G162+G163+G165+G166+G168+G170+G171+G172+G173+G174+G175+G176+G178)</f>
        <v>1025.616</v>
      </c>
      <c r="H85" s="1">
        <f>SUM(H87+H88+H89+H91+H92+H93+H96+H98+H99+H100+H101+H102+H103+H104+H106+H107+H108+H110+H111+H112+H113+H115+H117+H120+H121+H123+H124+H125+H126+H127+H128+H129+H130+H131+H133+H134+H136+H138+H140+H142+H144+H145+H146+H148+H150+H151+H154+H155+H158+H159+H160+H161+H162+H163+H165+H166+H168+H170+H171+H172+H173+H174+H175+H176+H178)</f>
        <v>1022.4451700000001</v>
      </c>
      <c r="I85" s="145"/>
    </row>
    <row r="86" spans="1:9" ht="18.75" customHeight="1">
      <c r="A86" s="137"/>
      <c r="B86" s="136"/>
      <c r="C86" s="39" t="s">
        <v>356</v>
      </c>
      <c r="D86" s="6"/>
      <c r="E86" s="7"/>
      <c r="F86" s="6"/>
      <c r="G86" s="6"/>
      <c r="H86" s="1"/>
      <c r="I86" s="146"/>
    </row>
    <row r="87" spans="1:9" ht="56.25" customHeight="1">
      <c r="A87" s="96"/>
      <c r="B87" s="102"/>
      <c r="C87" s="39" t="s">
        <v>357</v>
      </c>
      <c r="D87" s="1">
        <v>60.196</v>
      </c>
      <c r="E87" s="2">
        <f aca="true" t="shared" si="1" ref="E87:E164">100-(F87/D87)*100</f>
        <v>0</v>
      </c>
      <c r="F87" s="1">
        <f>SUM(D87)</f>
        <v>60.196</v>
      </c>
      <c r="G87" s="1">
        <v>58.381</v>
      </c>
      <c r="H87" s="1">
        <v>58.11241</v>
      </c>
      <c r="I87" s="79" t="s">
        <v>176</v>
      </c>
    </row>
    <row r="88" spans="1:9" ht="45" customHeight="1">
      <c r="A88" s="96"/>
      <c r="B88" s="102"/>
      <c r="C88" s="39" t="s">
        <v>358</v>
      </c>
      <c r="D88" s="1">
        <v>47.087</v>
      </c>
      <c r="E88" s="2">
        <f t="shared" si="1"/>
        <v>95.77078599188735</v>
      </c>
      <c r="F88" s="1">
        <f>SUM(D88-45.09559)</f>
        <v>1.991410000000002</v>
      </c>
      <c r="G88" s="1">
        <v>1.99</v>
      </c>
      <c r="H88" s="1">
        <v>1.98995</v>
      </c>
      <c r="I88" s="79" t="s">
        <v>174</v>
      </c>
    </row>
    <row r="89" spans="1:9" ht="46.5" customHeight="1">
      <c r="A89" s="96"/>
      <c r="B89" s="102"/>
      <c r="C89" s="39" t="s">
        <v>359</v>
      </c>
      <c r="D89" s="1">
        <v>54.353</v>
      </c>
      <c r="E89" s="2">
        <f t="shared" si="1"/>
        <v>95.50849079167662</v>
      </c>
      <c r="F89" s="1">
        <f>SUM(D89-51.91173)</f>
        <v>2.441270000000003</v>
      </c>
      <c r="G89" s="1">
        <v>2.085</v>
      </c>
      <c r="H89" s="1">
        <v>2.08462</v>
      </c>
      <c r="I89" s="79" t="s">
        <v>175</v>
      </c>
    </row>
    <row r="90" spans="1:9" ht="31.5" customHeight="1">
      <c r="A90" s="152"/>
      <c r="B90" s="136"/>
      <c r="C90" s="39" t="s">
        <v>360</v>
      </c>
      <c r="D90" s="1">
        <v>52.504</v>
      </c>
      <c r="E90" s="2">
        <f t="shared" si="1"/>
        <v>0</v>
      </c>
      <c r="F90" s="1">
        <f>SUM(D90)</f>
        <v>52.504</v>
      </c>
      <c r="G90" s="1">
        <f>43.383+G91</f>
        <v>52.504000000000005</v>
      </c>
      <c r="H90" s="1">
        <v>9.12028</v>
      </c>
      <c r="I90" s="147" t="s">
        <v>175</v>
      </c>
    </row>
    <row r="91" spans="1:9" ht="37.5">
      <c r="A91" s="152"/>
      <c r="B91" s="136"/>
      <c r="C91" s="39" t="s">
        <v>292</v>
      </c>
      <c r="D91" s="1"/>
      <c r="E91" s="2"/>
      <c r="F91" s="1"/>
      <c r="G91" s="1">
        <v>9.121</v>
      </c>
      <c r="H91" s="1">
        <v>9.12028</v>
      </c>
      <c r="I91" s="147"/>
    </row>
    <row r="92" spans="1:9" ht="51" customHeight="1">
      <c r="A92" s="96"/>
      <c r="B92" s="102"/>
      <c r="C92" s="39" t="s">
        <v>361</v>
      </c>
      <c r="D92" s="1">
        <v>52.372</v>
      </c>
      <c r="E92" s="2">
        <f t="shared" si="1"/>
        <v>82.4659932788513</v>
      </c>
      <c r="F92" s="1">
        <f>SUM(D92-43.18909)</f>
        <v>9.18291</v>
      </c>
      <c r="G92" s="1">
        <v>9.132</v>
      </c>
      <c r="H92" s="1">
        <v>9.13124</v>
      </c>
      <c r="I92" s="79" t="s">
        <v>175</v>
      </c>
    </row>
    <row r="93" spans="1:9" ht="37.5">
      <c r="A93" s="96"/>
      <c r="B93" s="102"/>
      <c r="C93" s="39" t="s">
        <v>362</v>
      </c>
      <c r="D93" s="1">
        <v>41.09</v>
      </c>
      <c r="E93" s="2">
        <f t="shared" si="1"/>
        <v>91.38914577756144</v>
      </c>
      <c r="F93" s="1">
        <f>SUM(D93-37.5518)</f>
        <v>3.5382000000000033</v>
      </c>
      <c r="G93" s="1">
        <v>1.912</v>
      </c>
      <c r="H93" s="1">
        <v>1.91183</v>
      </c>
      <c r="I93" s="79" t="s">
        <v>177</v>
      </c>
    </row>
    <row r="94" spans="1:9" ht="42.75" customHeight="1">
      <c r="A94" s="96"/>
      <c r="B94" s="102"/>
      <c r="C94" s="39" t="s">
        <v>363</v>
      </c>
      <c r="D94" s="1">
        <v>68.963</v>
      </c>
      <c r="E94" s="2">
        <f t="shared" si="1"/>
        <v>0</v>
      </c>
      <c r="F94" s="1">
        <v>68.963</v>
      </c>
      <c r="G94" s="1">
        <f>56.499+12.464</f>
        <v>68.96300000000001</v>
      </c>
      <c r="H94" s="1">
        <v>67.25473</v>
      </c>
      <c r="I94" s="79" t="s">
        <v>178</v>
      </c>
    </row>
    <row r="95" spans="1:9" ht="42.75" customHeight="1">
      <c r="A95" s="96"/>
      <c r="B95" s="102"/>
      <c r="C95" s="39" t="s">
        <v>364</v>
      </c>
      <c r="D95" s="1">
        <v>20</v>
      </c>
      <c r="E95" s="2">
        <f t="shared" si="1"/>
        <v>0</v>
      </c>
      <c r="F95" s="1">
        <f>SUM(D95)</f>
        <v>20</v>
      </c>
      <c r="G95" s="1">
        <f>45.522-25.522</f>
        <v>20</v>
      </c>
      <c r="H95" s="1">
        <v>6.00704</v>
      </c>
      <c r="I95" s="79" t="s">
        <v>179</v>
      </c>
    </row>
    <row r="96" spans="1:9" ht="45" customHeight="1">
      <c r="A96" s="96"/>
      <c r="B96" s="102"/>
      <c r="C96" s="39" t="s">
        <v>365</v>
      </c>
      <c r="D96" s="1">
        <v>65.071</v>
      </c>
      <c r="E96" s="2">
        <f t="shared" si="1"/>
        <v>80.5603110448587</v>
      </c>
      <c r="F96" s="1">
        <f>SUM(D96-52.4214)</f>
        <v>12.6496</v>
      </c>
      <c r="G96" s="1">
        <v>9.287</v>
      </c>
      <c r="H96" s="1">
        <v>9.28603</v>
      </c>
      <c r="I96" s="79" t="s">
        <v>175</v>
      </c>
    </row>
    <row r="97" spans="1:9" ht="30.75" customHeight="1">
      <c r="A97" s="152"/>
      <c r="B97" s="136"/>
      <c r="C97" s="39" t="s">
        <v>366</v>
      </c>
      <c r="D97" s="1">
        <v>71.304</v>
      </c>
      <c r="E97" s="2">
        <f t="shared" si="1"/>
        <v>0</v>
      </c>
      <c r="F97" s="1">
        <f>SUM(D97)</f>
        <v>71.304</v>
      </c>
      <c r="G97" s="1">
        <f>64.231+G98</f>
        <v>71.304</v>
      </c>
      <c r="H97" s="1">
        <v>7.07245</v>
      </c>
      <c r="I97" s="147" t="s">
        <v>175</v>
      </c>
    </row>
    <row r="98" spans="1:9" ht="37.5">
      <c r="A98" s="152"/>
      <c r="B98" s="136"/>
      <c r="C98" s="39" t="s">
        <v>292</v>
      </c>
      <c r="D98" s="1"/>
      <c r="E98" s="2"/>
      <c r="F98" s="1"/>
      <c r="G98" s="1">
        <v>7.073</v>
      </c>
      <c r="H98" s="1">
        <v>7.07245</v>
      </c>
      <c r="I98" s="147"/>
    </row>
    <row r="99" spans="1:9" ht="46.5" customHeight="1">
      <c r="A99" s="96"/>
      <c r="B99" s="102"/>
      <c r="C99" s="39" t="s">
        <v>367</v>
      </c>
      <c r="D99" s="1">
        <v>92.568</v>
      </c>
      <c r="E99" s="2">
        <f t="shared" si="1"/>
        <v>89.16931336963097</v>
      </c>
      <c r="F99" s="1">
        <f>SUM(D99-82.54225)</f>
        <v>10.025750000000002</v>
      </c>
      <c r="G99" s="1">
        <v>9.695</v>
      </c>
      <c r="H99" s="1">
        <v>9.69454</v>
      </c>
      <c r="I99" s="79" t="s">
        <v>175</v>
      </c>
    </row>
    <row r="100" spans="1:9" ht="46.5" customHeight="1">
      <c r="A100" s="96"/>
      <c r="B100" s="102"/>
      <c r="C100" s="39" t="s">
        <v>368</v>
      </c>
      <c r="D100" s="1">
        <v>88.703</v>
      </c>
      <c r="E100" s="2">
        <f t="shared" si="1"/>
        <v>86.98877151843793</v>
      </c>
      <c r="F100" s="1">
        <f>SUM(D100-77.16165)</f>
        <v>11.541350000000008</v>
      </c>
      <c r="G100" s="1">
        <v>2.569</v>
      </c>
      <c r="H100" s="1">
        <v>2.56812</v>
      </c>
      <c r="I100" s="79" t="s">
        <v>175</v>
      </c>
    </row>
    <row r="101" spans="1:9" ht="46.5" customHeight="1">
      <c r="A101" s="96"/>
      <c r="B101" s="102"/>
      <c r="C101" s="39" t="s">
        <v>369</v>
      </c>
      <c r="D101" s="1">
        <v>61.612</v>
      </c>
      <c r="E101" s="2">
        <f t="shared" si="1"/>
        <v>77.98508407453093</v>
      </c>
      <c r="F101" s="1">
        <f>SUM(D101-48.04817)</f>
        <v>13.563830000000003</v>
      </c>
      <c r="G101" s="1">
        <v>9.252</v>
      </c>
      <c r="H101" s="1">
        <v>9.25163</v>
      </c>
      <c r="I101" s="79" t="s">
        <v>175</v>
      </c>
    </row>
    <row r="102" spans="1:9" ht="46.5" customHeight="1">
      <c r="A102" s="96"/>
      <c r="B102" s="102"/>
      <c r="C102" s="39" t="s">
        <v>370</v>
      </c>
      <c r="D102" s="1">
        <v>50.195</v>
      </c>
      <c r="E102" s="2">
        <f t="shared" si="1"/>
        <v>91.98326526546468</v>
      </c>
      <c r="F102" s="1">
        <f>SUM(D102-46.171)</f>
        <v>4.024000000000001</v>
      </c>
      <c r="G102" s="1">
        <v>2.031</v>
      </c>
      <c r="H102" s="1">
        <v>2.03045</v>
      </c>
      <c r="I102" s="79" t="s">
        <v>175</v>
      </c>
    </row>
    <row r="103" spans="1:9" ht="46.5" customHeight="1">
      <c r="A103" s="96"/>
      <c r="B103" s="102"/>
      <c r="C103" s="39" t="s">
        <v>371</v>
      </c>
      <c r="D103" s="1">
        <v>56.441</v>
      </c>
      <c r="E103" s="2">
        <f t="shared" si="1"/>
        <v>80.30263460959232</v>
      </c>
      <c r="F103" s="1">
        <f>SUM(D103-45.32361)</f>
        <v>11.11739</v>
      </c>
      <c r="G103" s="1">
        <v>9.173</v>
      </c>
      <c r="H103" s="1">
        <v>9.17264</v>
      </c>
      <c r="I103" s="79" t="s">
        <v>175</v>
      </c>
    </row>
    <row r="104" spans="1:9" ht="30.75" customHeight="1">
      <c r="A104" s="152"/>
      <c r="B104" s="149"/>
      <c r="C104" s="39" t="s">
        <v>372</v>
      </c>
      <c r="D104" s="1">
        <v>64.969</v>
      </c>
      <c r="E104" s="2">
        <f t="shared" si="1"/>
        <v>1.9398020594437355</v>
      </c>
      <c r="F104" s="1">
        <f>SUM(D104-1.26027)</f>
        <v>63.708729999999996</v>
      </c>
      <c r="G104" s="1">
        <v>60.541</v>
      </c>
      <c r="H104" s="1">
        <v>60.27884</v>
      </c>
      <c r="I104" s="147" t="s">
        <v>180</v>
      </c>
    </row>
    <row r="105" spans="1:9" ht="46.5" customHeight="1">
      <c r="A105" s="152"/>
      <c r="B105" s="149"/>
      <c r="C105" s="39" t="s">
        <v>292</v>
      </c>
      <c r="D105" s="1"/>
      <c r="E105" s="2"/>
      <c r="F105" s="1"/>
      <c r="G105" s="1">
        <v>60.279</v>
      </c>
      <c r="H105" s="1">
        <v>60.27884</v>
      </c>
      <c r="I105" s="147"/>
    </row>
    <row r="106" spans="1:9" ht="37.5">
      <c r="A106" s="96"/>
      <c r="B106" s="102"/>
      <c r="C106" s="39" t="s">
        <v>373</v>
      </c>
      <c r="D106" s="1">
        <v>79.571</v>
      </c>
      <c r="E106" s="2">
        <f t="shared" si="1"/>
        <v>93.98728179864524</v>
      </c>
      <c r="F106" s="1">
        <f>SUM(D106-74.78662)</f>
        <v>4.784379999999999</v>
      </c>
      <c r="G106" s="1">
        <v>2.414</v>
      </c>
      <c r="H106" s="1">
        <v>2.41315</v>
      </c>
      <c r="I106" s="79" t="s">
        <v>175</v>
      </c>
    </row>
    <row r="107" spans="1:9" ht="37.5">
      <c r="A107" s="96"/>
      <c r="B107" s="102"/>
      <c r="C107" s="39" t="s">
        <v>374</v>
      </c>
      <c r="D107" s="1">
        <v>39.365</v>
      </c>
      <c r="E107" s="2">
        <f t="shared" si="1"/>
        <v>94.9973072526356</v>
      </c>
      <c r="F107" s="1">
        <f>SUM(D107-37.39569)</f>
        <v>1.9693100000000001</v>
      </c>
      <c r="G107" s="1">
        <v>1.89</v>
      </c>
      <c r="H107" s="1">
        <v>1.88934</v>
      </c>
      <c r="I107" s="79" t="s">
        <v>175</v>
      </c>
    </row>
    <row r="108" spans="1:9" ht="37.5">
      <c r="A108" s="96"/>
      <c r="B108" s="102"/>
      <c r="C108" s="39" t="s">
        <v>375</v>
      </c>
      <c r="D108" s="1">
        <v>54.952</v>
      </c>
      <c r="E108" s="2">
        <f t="shared" si="1"/>
        <v>95.87239772892707</v>
      </c>
      <c r="F108" s="1">
        <f>SUM(D108-52.6838)</f>
        <v>2.2682</v>
      </c>
      <c r="G108" s="1">
        <v>2.093</v>
      </c>
      <c r="H108" s="1">
        <v>2.0924</v>
      </c>
      <c r="I108" s="79" t="s">
        <v>175</v>
      </c>
    </row>
    <row r="109" spans="1:9" ht="39.75" customHeight="1">
      <c r="A109" s="96"/>
      <c r="B109" s="102"/>
      <c r="C109" s="39" t="s">
        <v>376</v>
      </c>
      <c r="D109" s="1">
        <v>74.519</v>
      </c>
      <c r="E109" s="2">
        <f t="shared" si="1"/>
        <v>0</v>
      </c>
      <c r="F109" s="1">
        <f>SUM(D109)</f>
        <v>74.519</v>
      </c>
      <c r="G109" s="1">
        <f>60.544+13.975</f>
        <v>74.51899999999999</v>
      </c>
      <c r="H109" s="1">
        <v>58.55898</v>
      </c>
      <c r="I109" s="79" t="s">
        <v>141</v>
      </c>
    </row>
    <row r="110" spans="1:9" ht="37.5">
      <c r="A110" s="96"/>
      <c r="B110" s="102"/>
      <c r="C110" s="39" t="s">
        <v>377</v>
      </c>
      <c r="D110" s="1">
        <v>34.528</v>
      </c>
      <c r="E110" s="2">
        <f t="shared" si="1"/>
        <v>94.65645273401299</v>
      </c>
      <c r="F110" s="1">
        <f>SUM(D110-32.68298)</f>
        <v>1.845019999999998</v>
      </c>
      <c r="G110" s="1">
        <v>1.827</v>
      </c>
      <c r="H110" s="1">
        <v>1.82631</v>
      </c>
      <c r="I110" s="79" t="s">
        <v>175</v>
      </c>
    </row>
    <row r="111" spans="1:9" ht="37.5">
      <c r="A111" s="96"/>
      <c r="B111" s="102"/>
      <c r="C111" s="39" t="s">
        <v>378</v>
      </c>
      <c r="D111" s="1">
        <v>55.78</v>
      </c>
      <c r="E111" s="2">
        <f t="shared" si="1"/>
        <v>95.41945141627824</v>
      </c>
      <c r="F111" s="1">
        <f>SUM(D111-53.22497)</f>
        <v>2.555030000000002</v>
      </c>
      <c r="G111" s="1">
        <v>2.104</v>
      </c>
      <c r="H111" s="1">
        <v>2.10319</v>
      </c>
      <c r="I111" s="79" t="s">
        <v>175</v>
      </c>
    </row>
    <row r="112" spans="1:9" ht="37.5">
      <c r="A112" s="96"/>
      <c r="B112" s="102"/>
      <c r="C112" s="39" t="s">
        <v>379</v>
      </c>
      <c r="D112" s="1">
        <v>57.184</v>
      </c>
      <c r="E112" s="2">
        <f t="shared" si="1"/>
        <v>94.70267907106884</v>
      </c>
      <c r="F112" s="1">
        <f>SUM(D112-54.15478)</f>
        <v>3.029219999999995</v>
      </c>
      <c r="G112" s="1">
        <v>2.122</v>
      </c>
      <c r="H112" s="1">
        <v>2.12148</v>
      </c>
      <c r="I112" s="79" t="s">
        <v>175</v>
      </c>
    </row>
    <row r="113" spans="1:9" ht="37.5">
      <c r="A113" s="96"/>
      <c r="B113" s="102"/>
      <c r="C113" s="39" t="s">
        <v>380</v>
      </c>
      <c r="D113" s="1">
        <v>50.13</v>
      </c>
      <c r="E113" s="2">
        <f t="shared" si="1"/>
        <v>95.43552762816677</v>
      </c>
      <c r="F113" s="1">
        <f>SUM(D113-47.84183)</f>
        <v>2.288170000000001</v>
      </c>
      <c r="G113" s="1">
        <v>2.03</v>
      </c>
      <c r="H113" s="1">
        <v>2.02959</v>
      </c>
      <c r="I113" s="79" t="s">
        <v>175</v>
      </c>
    </row>
    <row r="114" spans="1:9" ht="38.25" customHeight="1">
      <c r="A114" s="96"/>
      <c r="B114" s="102"/>
      <c r="C114" s="39" t="s">
        <v>381</v>
      </c>
      <c r="D114" s="1">
        <v>75.228</v>
      </c>
      <c r="E114" s="2">
        <f t="shared" si="1"/>
        <v>0</v>
      </c>
      <c r="F114" s="1">
        <f>SUM(D114)</f>
        <v>75.228</v>
      </c>
      <c r="G114" s="1">
        <f>61.218+14.01</f>
        <v>75.22800000000001</v>
      </c>
      <c r="H114" s="1">
        <v>64.57196</v>
      </c>
      <c r="I114" s="79" t="s">
        <v>141</v>
      </c>
    </row>
    <row r="115" spans="1:9" ht="44.25" customHeight="1">
      <c r="A115" s="152"/>
      <c r="B115" s="149"/>
      <c r="C115" s="39" t="s">
        <v>382</v>
      </c>
      <c r="D115" s="1">
        <v>57.668</v>
      </c>
      <c r="E115" s="2">
        <f t="shared" si="1"/>
        <v>1.9073836443088084</v>
      </c>
      <c r="F115" s="1">
        <f>SUM(D115-1.09995)</f>
        <v>56.56805</v>
      </c>
      <c r="G115" s="1">
        <v>53.812</v>
      </c>
      <c r="H115" s="1">
        <v>53.57026</v>
      </c>
      <c r="I115" s="147" t="s">
        <v>180</v>
      </c>
    </row>
    <row r="116" spans="1:9" ht="37.5">
      <c r="A116" s="152"/>
      <c r="B116" s="149"/>
      <c r="C116" s="39" t="s">
        <v>292</v>
      </c>
      <c r="D116" s="1"/>
      <c r="E116" s="2"/>
      <c r="F116" s="1"/>
      <c r="G116" s="1">
        <v>53.571</v>
      </c>
      <c r="H116" s="1">
        <v>53.57026</v>
      </c>
      <c r="I116" s="147"/>
    </row>
    <row r="117" spans="1:9" ht="41.25" customHeight="1">
      <c r="A117" s="152"/>
      <c r="B117" s="149"/>
      <c r="C117" s="39" t="s">
        <v>383</v>
      </c>
      <c r="D117" s="1">
        <v>57.486</v>
      </c>
      <c r="E117" s="2">
        <f t="shared" si="1"/>
        <v>1.880597014925371</v>
      </c>
      <c r="F117" s="1">
        <f>SUM(D117-1.08108)</f>
        <v>56.40492</v>
      </c>
      <c r="G117" s="1">
        <v>53.035</v>
      </c>
      <c r="H117" s="1">
        <v>52.79335</v>
      </c>
      <c r="I117" s="147" t="s">
        <v>180</v>
      </c>
    </row>
    <row r="118" spans="1:9" ht="42" customHeight="1">
      <c r="A118" s="152"/>
      <c r="B118" s="149"/>
      <c r="C118" s="39" t="s">
        <v>292</v>
      </c>
      <c r="D118" s="1"/>
      <c r="E118" s="2"/>
      <c r="F118" s="1"/>
      <c r="G118" s="1">
        <v>52.794</v>
      </c>
      <c r="H118" s="1">
        <v>52.79335</v>
      </c>
      <c r="I118" s="147"/>
    </row>
    <row r="119" spans="1:9" ht="36.75" customHeight="1">
      <c r="A119" s="96"/>
      <c r="B119" s="102"/>
      <c r="C119" s="39" t="s">
        <v>384</v>
      </c>
      <c r="D119" s="1">
        <v>100.258</v>
      </c>
      <c r="E119" s="2">
        <f t="shared" si="1"/>
        <v>0</v>
      </c>
      <c r="F119" s="1">
        <f>SUM(D119)</f>
        <v>100.258</v>
      </c>
      <c r="G119" s="1">
        <f>79.499+20.759</f>
        <v>100.258</v>
      </c>
      <c r="H119" s="1">
        <v>30.14811</v>
      </c>
      <c r="I119" s="79" t="s">
        <v>128</v>
      </c>
    </row>
    <row r="120" spans="1:9" ht="37.5">
      <c r="A120" s="96"/>
      <c r="B120" s="102"/>
      <c r="C120" s="39" t="s">
        <v>385</v>
      </c>
      <c r="D120" s="1">
        <v>58.691</v>
      </c>
      <c r="E120" s="2">
        <f t="shared" si="1"/>
        <v>81.98239934572592</v>
      </c>
      <c r="F120" s="1">
        <f>SUM(D120-48.11629)</f>
        <v>10.574710000000003</v>
      </c>
      <c r="G120" s="1">
        <v>9.214</v>
      </c>
      <c r="H120" s="1">
        <v>9.21358</v>
      </c>
      <c r="I120" s="79" t="s">
        <v>175</v>
      </c>
    </row>
    <row r="121" spans="1:9" ht="42" customHeight="1">
      <c r="A121" s="96"/>
      <c r="B121" s="102"/>
      <c r="C121" s="39" t="s">
        <v>386</v>
      </c>
      <c r="D121" s="1">
        <v>57.397</v>
      </c>
      <c r="E121" s="2">
        <f t="shared" si="1"/>
        <v>81.27107688555151</v>
      </c>
      <c r="F121" s="1">
        <f>SUM(D121-46.64716)</f>
        <v>10.749839999999999</v>
      </c>
      <c r="G121" s="1">
        <v>7.073</v>
      </c>
      <c r="H121" s="1">
        <v>7.07245</v>
      </c>
      <c r="I121" s="79" t="s">
        <v>175</v>
      </c>
    </row>
    <row r="122" spans="1:9" ht="24.75" customHeight="1">
      <c r="A122" s="152"/>
      <c r="B122" s="136"/>
      <c r="C122" s="39" t="s">
        <v>387</v>
      </c>
      <c r="D122" s="1">
        <v>45.508</v>
      </c>
      <c r="E122" s="2">
        <f t="shared" si="1"/>
        <v>0</v>
      </c>
      <c r="F122" s="1">
        <f>SUM(D122)</f>
        <v>45.508</v>
      </c>
      <c r="G122" s="1">
        <f>36.466+G123</f>
        <v>45.508</v>
      </c>
      <c r="H122" s="1">
        <v>9.04183</v>
      </c>
      <c r="I122" s="147" t="s">
        <v>175</v>
      </c>
    </row>
    <row r="123" spans="1:9" ht="37.5">
      <c r="A123" s="152"/>
      <c r="B123" s="136"/>
      <c r="C123" s="39" t="s">
        <v>292</v>
      </c>
      <c r="D123" s="1"/>
      <c r="E123" s="2"/>
      <c r="F123" s="1"/>
      <c r="G123" s="1">
        <v>9.042</v>
      </c>
      <c r="H123" s="1">
        <v>9.04183</v>
      </c>
      <c r="I123" s="147"/>
    </row>
    <row r="124" spans="1:9" ht="37.5">
      <c r="A124" s="96"/>
      <c r="B124" s="102"/>
      <c r="C124" s="39" t="s">
        <v>388</v>
      </c>
      <c r="D124" s="1">
        <v>84.08</v>
      </c>
      <c r="E124" s="2">
        <f t="shared" si="1"/>
        <v>87.04231684110371</v>
      </c>
      <c r="F124" s="1">
        <f>SUM(D124-73.18518)</f>
        <v>10.894819999999996</v>
      </c>
      <c r="G124" s="1">
        <v>9.545</v>
      </c>
      <c r="H124" s="1">
        <v>9.54436</v>
      </c>
      <c r="I124" s="79" t="s">
        <v>175</v>
      </c>
    </row>
    <row r="125" spans="1:9" ht="37.5">
      <c r="A125" s="96"/>
      <c r="B125" s="102"/>
      <c r="C125" s="39" t="s">
        <v>389</v>
      </c>
      <c r="D125" s="1">
        <v>64.172</v>
      </c>
      <c r="E125" s="2">
        <f t="shared" si="1"/>
        <v>83.3252353051175</v>
      </c>
      <c r="F125" s="1">
        <f>SUM(D125-53.47147)</f>
        <v>10.70053</v>
      </c>
      <c r="G125" s="1">
        <v>9.285</v>
      </c>
      <c r="H125" s="1">
        <v>9.28499</v>
      </c>
      <c r="I125" s="79" t="s">
        <v>175</v>
      </c>
    </row>
    <row r="126" spans="1:9" ht="37.5">
      <c r="A126" s="96"/>
      <c r="B126" s="102"/>
      <c r="C126" s="39" t="s">
        <v>390</v>
      </c>
      <c r="D126" s="1">
        <v>58.55</v>
      </c>
      <c r="E126" s="2">
        <f t="shared" si="1"/>
        <v>78.21029888983776</v>
      </c>
      <c r="F126" s="1">
        <f>SUM(D126-45.79213)</f>
        <v>12.757869999999997</v>
      </c>
      <c r="G126" s="1">
        <v>9.212</v>
      </c>
      <c r="H126" s="1">
        <v>9.21174</v>
      </c>
      <c r="I126" s="79" t="s">
        <v>175</v>
      </c>
    </row>
    <row r="127" spans="1:9" ht="75">
      <c r="A127" s="96"/>
      <c r="B127" s="102"/>
      <c r="C127" s="39" t="s">
        <v>391</v>
      </c>
      <c r="D127" s="1">
        <v>46.313</v>
      </c>
      <c r="E127" s="2">
        <f t="shared" si="1"/>
        <v>1.8820849437523037</v>
      </c>
      <c r="F127" s="1">
        <f>SUM(D127-0.87165)</f>
        <v>45.44135</v>
      </c>
      <c r="G127" s="1">
        <v>44.617</v>
      </c>
      <c r="H127" s="1">
        <v>44.43845</v>
      </c>
      <c r="I127" s="79" t="s">
        <v>180</v>
      </c>
    </row>
    <row r="128" spans="1:9" ht="46.5" customHeight="1">
      <c r="A128" s="96"/>
      <c r="B128" s="102"/>
      <c r="C128" s="39" t="s">
        <v>392</v>
      </c>
      <c r="D128" s="1">
        <v>38.092</v>
      </c>
      <c r="E128" s="2">
        <f t="shared" si="1"/>
        <v>73.39690748713642</v>
      </c>
      <c r="F128" s="1">
        <f>SUM(D128-27.95835)</f>
        <v>10.13365</v>
      </c>
      <c r="G128" s="1">
        <v>8.946</v>
      </c>
      <c r="H128" s="1">
        <v>8.94521</v>
      </c>
      <c r="I128" s="79" t="s">
        <v>175</v>
      </c>
    </row>
    <row r="129" spans="1:9" ht="46.5" customHeight="1">
      <c r="A129" s="96"/>
      <c r="B129" s="102"/>
      <c r="C129" s="39" t="s">
        <v>393</v>
      </c>
      <c r="D129" s="1">
        <v>80.096</v>
      </c>
      <c r="E129" s="2">
        <f t="shared" si="1"/>
        <v>86.15483919296844</v>
      </c>
      <c r="F129" s="1">
        <f>SUM(D129-69.00658)</f>
        <v>11.089420000000004</v>
      </c>
      <c r="G129" s="1">
        <v>9.493</v>
      </c>
      <c r="H129" s="1">
        <v>9.49247</v>
      </c>
      <c r="I129" s="79" t="s">
        <v>175</v>
      </c>
    </row>
    <row r="130" spans="1:9" ht="46.5" customHeight="1">
      <c r="A130" s="96"/>
      <c r="B130" s="102"/>
      <c r="C130" s="39" t="s">
        <v>394</v>
      </c>
      <c r="D130" s="1">
        <v>84.977</v>
      </c>
      <c r="E130" s="2">
        <f t="shared" si="1"/>
        <v>85.46327829883379</v>
      </c>
      <c r="F130" s="1">
        <f>SUM(D130-72.62413)</f>
        <v>12.35287000000001</v>
      </c>
      <c r="G130" s="1">
        <v>9.557</v>
      </c>
      <c r="H130" s="1">
        <v>9.55602</v>
      </c>
      <c r="I130" s="79" t="s">
        <v>175</v>
      </c>
    </row>
    <row r="131" spans="1:9" ht="46.5" customHeight="1">
      <c r="A131" s="96"/>
      <c r="B131" s="102"/>
      <c r="C131" s="39" t="s">
        <v>395</v>
      </c>
      <c r="D131" s="1">
        <v>56.282</v>
      </c>
      <c r="E131" s="2">
        <f t="shared" si="1"/>
        <v>82.70916101062508</v>
      </c>
      <c r="F131" s="1">
        <f>SUM(D131-46.55037)</f>
        <v>9.731629999999996</v>
      </c>
      <c r="G131" s="1">
        <v>9.183</v>
      </c>
      <c r="H131" s="1">
        <v>9.1822</v>
      </c>
      <c r="I131" s="79" t="s">
        <v>175</v>
      </c>
    </row>
    <row r="132" spans="1:9" ht="29.25" customHeight="1">
      <c r="A132" s="152"/>
      <c r="B132" s="136"/>
      <c r="C132" s="39" t="s">
        <v>396</v>
      </c>
      <c r="D132" s="1">
        <v>87.445</v>
      </c>
      <c r="E132" s="2">
        <f t="shared" si="1"/>
        <v>0</v>
      </c>
      <c r="F132" s="1">
        <f>SUM(D132)</f>
        <v>87.445</v>
      </c>
      <c r="G132" s="1">
        <f>77.862+G133</f>
        <v>87.445</v>
      </c>
      <c r="H132" s="1">
        <v>9.58233</v>
      </c>
      <c r="I132" s="147" t="s">
        <v>175</v>
      </c>
    </row>
    <row r="133" spans="1:9" ht="37.5">
      <c r="A133" s="152"/>
      <c r="B133" s="136"/>
      <c r="C133" s="39" t="s">
        <v>292</v>
      </c>
      <c r="D133" s="1"/>
      <c r="E133" s="2"/>
      <c r="F133" s="1"/>
      <c r="G133" s="1">
        <v>9.583</v>
      </c>
      <c r="H133" s="1">
        <v>9.58233</v>
      </c>
      <c r="I133" s="147"/>
    </row>
    <row r="134" spans="1:9" ht="42" customHeight="1">
      <c r="A134" s="96"/>
      <c r="B134" s="102"/>
      <c r="C134" s="39" t="s">
        <v>397</v>
      </c>
      <c r="D134" s="1">
        <v>60.834</v>
      </c>
      <c r="E134" s="2">
        <f t="shared" si="1"/>
        <v>82.83856067330768</v>
      </c>
      <c r="F134" s="1">
        <f>SUM(D134-50.39401)</f>
        <v>10.439990000000002</v>
      </c>
      <c r="G134" s="1">
        <v>9.242</v>
      </c>
      <c r="H134" s="1">
        <v>9.2415</v>
      </c>
      <c r="I134" s="79" t="s">
        <v>175</v>
      </c>
    </row>
    <row r="135" spans="1:9" ht="33.75" customHeight="1">
      <c r="A135" s="96"/>
      <c r="B135" s="102"/>
      <c r="C135" s="39" t="s">
        <v>398</v>
      </c>
      <c r="D135" s="1">
        <v>41.54</v>
      </c>
      <c r="E135" s="2">
        <f t="shared" si="1"/>
        <v>0</v>
      </c>
      <c r="F135" s="1">
        <f>SUM(D135)</f>
        <v>41.54</v>
      </c>
      <c r="G135" s="1">
        <f>34.702+6.838</f>
        <v>41.54</v>
      </c>
      <c r="H135" s="1">
        <v>38.28135</v>
      </c>
      <c r="I135" s="79" t="s">
        <v>178</v>
      </c>
    </row>
    <row r="136" spans="1:9" ht="33.75" customHeight="1">
      <c r="A136" s="152"/>
      <c r="B136" s="149"/>
      <c r="C136" s="39" t="s">
        <v>399</v>
      </c>
      <c r="D136" s="1">
        <v>45.737</v>
      </c>
      <c r="E136" s="2">
        <f t="shared" si="1"/>
        <v>0</v>
      </c>
      <c r="F136" s="1">
        <f>SUM(D136)</f>
        <v>45.737</v>
      </c>
      <c r="G136" s="1">
        <v>44.329</v>
      </c>
      <c r="H136" s="1">
        <v>44.14584</v>
      </c>
      <c r="I136" s="147" t="s">
        <v>180</v>
      </c>
    </row>
    <row r="137" spans="1:9" ht="48" customHeight="1">
      <c r="A137" s="152"/>
      <c r="B137" s="149"/>
      <c r="C137" s="39" t="s">
        <v>292</v>
      </c>
      <c r="D137" s="1"/>
      <c r="E137" s="2"/>
      <c r="F137" s="1"/>
      <c r="G137" s="1">
        <v>44.146</v>
      </c>
      <c r="H137" s="1">
        <v>44.14584</v>
      </c>
      <c r="I137" s="147"/>
    </row>
    <row r="138" spans="1:9" ht="44.25" customHeight="1">
      <c r="A138" s="96"/>
      <c r="B138" s="102"/>
      <c r="C138" s="39" t="s">
        <v>400</v>
      </c>
      <c r="D138" s="1">
        <v>60.713</v>
      </c>
      <c r="E138" s="2">
        <f t="shared" si="1"/>
        <v>0</v>
      </c>
      <c r="F138" s="1">
        <f>SUM(D138)</f>
        <v>60.713</v>
      </c>
      <c r="G138" s="1">
        <v>57.34</v>
      </c>
      <c r="H138" s="1">
        <v>57.09237</v>
      </c>
      <c r="I138" s="147" t="s">
        <v>180</v>
      </c>
    </row>
    <row r="139" spans="1:9" ht="37.5">
      <c r="A139" s="96"/>
      <c r="B139" s="102"/>
      <c r="C139" s="39" t="s">
        <v>292</v>
      </c>
      <c r="D139" s="1"/>
      <c r="E139" s="2"/>
      <c r="F139" s="1"/>
      <c r="G139" s="1">
        <v>57.093</v>
      </c>
      <c r="H139" s="1">
        <v>57.09237</v>
      </c>
      <c r="I139" s="147"/>
    </row>
    <row r="140" spans="1:9" ht="32.25" customHeight="1">
      <c r="A140" s="152"/>
      <c r="B140" s="149"/>
      <c r="C140" s="39" t="s">
        <v>401</v>
      </c>
      <c r="D140" s="1">
        <v>44.924</v>
      </c>
      <c r="E140" s="2">
        <f t="shared" si="1"/>
        <v>72.44628706259459</v>
      </c>
      <c r="F140" s="1">
        <f>SUM(D140-32.54577)</f>
        <v>12.378230000000002</v>
      </c>
      <c r="G140" s="1">
        <v>11.687</v>
      </c>
      <c r="H140" s="1">
        <v>11.50414</v>
      </c>
      <c r="I140" s="147" t="s">
        <v>181</v>
      </c>
    </row>
    <row r="141" spans="1:9" ht="48" customHeight="1">
      <c r="A141" s="152"/>
      <c r="B141" s="149"/>
      <c r="C141" s="39" t="s">
        <v>292</v>
      </c>
      <c r="D141" s="1"/>
      <c r="E141" s="2"/>
      <c r="F141" s="1"/>
      <c r="G141" s="1">
        <v>11.505</v>
      </c>
      <c r="H141" s="1">
        <v>11.50414</v>
      </c>
      <c r="I141" s="147"/>
    </row>
    <row r="142" spans="1:9" ht="32.25" customHeight="1">
      <c r="A142" s="152"/>
      <c r="B142" s="149"/>
      <c r="C142" s="39" t="s">
        <v>402</v>
      </c>
      <c r="D142" s="1">
        <v>71.2</v>
      </c>
      <c r="E142" s="2">
        <f t="shared" si="1"/>
        <v>1.9898595505618033</v>
      </c>
      <c r="F142" s="1">
        <f>SUM(D142-1.41678)</f>
        <v>69.78322</v>
      </c>
      <c r="G142" s="1">
        <v>66.858</v>
      </c>
      <c r="H142" s="1">
        <v>66.54717</v>
      </c>
      <c r="I142" s="147" t="s">
        <v>180</v>
      </c>
    </row>
    <row r="143" spans="1:9" ht="48" customHeight="1">
      <c r="A143" s="152"/>
      <c r="B143" s="149"/>
      <c r="C143" s="39" t="s">
        <v>292</v>
      </c>
      <c r="D143" s="1"/>
      <c r="E143" s="2"/>
      <c r="F143" s="1"/>
      <c r="G143" s="1">
        <v>66.548</v>
      </c>
      <c r="H143" s="1">
        <v>66.54717</v>
      </c>
      <c r="I143" s="147"/>
    </row>
    <row r="144" spans="1:9" ht="48" customHeight="1">
      <c r="A144" s="96"/>
      <c r="B144" s="102"/>
      <c r="C144" s="39" t="s">
        <v>403</v>
      </c>
      <c r="D144" s="1">
        <v>88.259</v>
      </c>
      <c r="E144" s="2">
        <f t="shared" si="1"/>
        <v>82.77464054657315</v>
      </c>
      <c r="F144" s="1">
        <f>SUM(D144-73.05607)</f>
        <v>15.202929999999995</v>
      </c>
      <c r="G144" s="1">
        <v>9.593</v>
      </c>
      <c r="H144" s="1">
        <v>9.59293</v>
      </c>
      <c r="I144" s="79" t="s">
        <v>174</v>
      </c>
    </row>
    <row r="145" spans="1:9" ht="48" customHeight="1">
      <c r="A145" s="96"/>
      <c r="B145" s="102"/>
      <c r="C145" s="39" t="s">
        <v>404</v>
      </c>
      <c r="D145" s="1">
        <v>88.746</v>
      </c>
      <c r="E145" s="2">
        <f t="shared" si="1"/>
        <v>84.224291799067</v>
      </c>
      <c r="F145" s="1">
        <f>SUM(D145-74.74569)</f>
        <v>14.000309999999999</v>
      </c>
      <c r="G145" s="1">
        <v>9.6</v>
      </c>
      <c r="H145" s="1">
        <v>9.59926</v>
      </c>
      <c r="I145" s="79" t="s">
        <v>174</v>
      </c>
    </row>
    <row r="146" spans="1:9" ht="48" customHeight="1">
      <c r="A146" s="96"/>
      <c r="B146" s="102"/>
      <c r="C146" s="39" t="s">
        <v>405</v>
      </c>
      <c r="D146" s="1">
        <v>89.966</v>
      </c>
      <c r="E146" s="2">
        <f t="shared" si="1"/>
        <v>0</v>
      </c>
      <c r="F146" s="1">
        <f>SUM(D146)</f>
        <v>89.966</v>
      </c>
      <c r="G146" s="1">
        <v>9.622</v>
      </c>
      <c r="H146" s="1">
        <v>9.62104</v>
      </c>
      <c r="I146" s="79" t="s">
        <v>174</v>
      </c>
    </row>
    <row r="147" spans="1:9" ht="48.75" customHeight="1">
      <c r="A147" s="96"/>
      <c r="B147" s="102"/>
      <c r="C147" s="39" t="s">
        <v>406</v>
      </c>
      <c r="D147" s="1">
        <v>40.346</v>
      </c>
      <c r="E147" s="2">
        <f t="shared" si="1"/>
        <v>0</v>
      </c>
      <c r="F147" s="1">
        <f>SUM(D147)</f>
        <v>40.346</v>
      </c>
      <c r="G147" s="1">
        <f>80.346-40</f>
        <v>40.346000000000004</v>
      </c>
      <c r="H147" s="1">
        <v>7.00251</v>
      </c>
      <c r="I147" s="80" t="s">
        <v>142</v>
      </c>
    </row>
    <row r="148" spans="1:9" ht="26.25" customHeight="1">
      <c r="A148" s="152"/>
      <c r="B148" s="149"/>
      <c r="C148" s="39" t="s">
        <v>407</v>
      </c>
      <c r="D148" s="1">
        <v>71.436</v>
      </c>
      <c r="E148" s="2">
        <f t="shared" si="1"/>
        <v>81.32823786326222</v>
      </c>
      <c r="F148" s="1">
        <f>SUM(D148-58.09764)</f>
        <v>13.338360000000009</v>
      </c>
      <c r="G148" s="1">
        <v>10.799</v>
      </c>
      <c r="H148" s="1">
        <v>10.79084</v>
      </c>
      <c r="I148" s="147" t="s">
        <v>182</v>
      </c>
    </row>
    <row r="149" spans="1:9" ht="48" customHeight="1">
      <c r="A149" s="152"/>
      <c r="B149" s="149"/>
      <c r="C149" s="39" t="s">
        <v>292</v>
      </c>
      <c r="D149" s="1"/>
      <c r="E149" s="2"/>
      <c r="F149" s="1"/>
      <c r="G149" s="1">
        <v>10.791</v>
      </c>
      <c r="H149" s="1">
        <v>10.79084</v>
      </c>
      <c r="I149" s="147"/>
    </row>
    <row r="150" spans="1:9" ht="43.5" customHeight="1">
      <c r="A150" s="96"/>
      <c r="B150" s="102"/>
      <c r="C150" s="39" t="s">
        <v>408</v>
      </c>
      <c r="D150" s="1">
        <v>39.254</v>
      </c>
      <c r="E150" s="2">
        <f t="shared" si="1"/>
        <v>75.32164874917206</v>
      </c>
      <c r="F150" s="1">
        <f>SUM(D150-29.56676)</f>
        <v>9.68724</v>
      </c>
      <c r="G150" s="1">
        <v>8.961</v>
      </c>
      <c r="H150" s="1">
        <v>8.96036</v>
      </c>
      <c r="I150" s="79" t="s">
        <v>175</v>
      </c>
    </row>
    <row r="151" spans="1:9" ht="27.75" customHeight="1">
      <c r="A151" s="152"/>
      <c r="B151" s="149"/>
      <c r="C151" s="39" t="s">
        <v>409</v>
      </c>
      <c r="D151" s="1">
        <v>45.906</v>
      </c>
      <c r="E151" s="2">
        <f t="shared" si="1"/>
        <v>64.032021957914</v>
      </c>
      <c r="F151" s="1">
        <f>SUM(D151-29.39454)</f>
        <v>16.51146</v>
      </c>
      <c r="G151" s="1">
        <v>14.203</v>
      </c>
      <c r="H151" s="1">
        <v>14.0244</v>
      </c>
      <c r="I151" s="147" t="s">
        <v>181</v>
      </c>
    </row>
    <row r="152" spans="1:9" ht="37.5">
      <c r="A152" s="152"/>
      <c r="B152" s="149"/>
      <c r="C152" s="39" t="s">
        <v>292</v>
      </c>
      <c r="D152" s="1"/>
      <c r="E152" s="2"/>
      <c r="F152" s="1"/>
      <c r="G152" s="1">
        <v>14.025</v>
      </c>
      <c r="H152" s="1">
        <v>14.0244</v>
      </c>
      <c r="I152" s="147"/>
    </row>
    <row r="153" spans="1:9" ht="29.25" customHeight="1">
      <c r="A153" s="152"/>
      <c r="B153" s="136"/>
      <c r="C153" s="39" t="s">
        <v>410</v>
      </c>
      <c r="D153" s="1">
        <v>76.47</v>
      </c>
      <c r="E153" s="2">
        <f t="shared" si="1"/>
        <v>25.667451288086824</v>
      </c>
      <c r="F153" s="1">
        <f>SUM(D153-19.6279)</f>
        <v>56.8421</v>
      </c>
      <c r="G153" s="1">
        <v>56.842</v>
      </c>
      <c r="H153" s="1">
        <v>9.44521</v>
      </c>
      <c r="I153" s="147" t="s">
        <v>175</v>
      </c>
    </row>
    <row r="154" spans="1:9" ht="37.5">
      <c r="A154" s="152"/>
      <c r="B154" s="136"/>
      <c r="C154" s="39" t="s">
        <v>292</v>
      </c>
      <c r="D154" s="1"/>
      <c r="E154" s="2"/>
      <c r="F154" s="1"/>
      <c r="G154" s="1">
        <v>9.446</v>
      </c>
      <c r="H154" s="1">
        <v>9.44521</v>
      </c>
      <c r="I154" s="147"/>
    </row>
    <row r="155" spans="1:9" ht="27.75" customHeight="1">
      <c r="A155" s="152"/>
      <c r="B155" s="149"/>
      <c r="C155" s="39" t="s">
        <v>411</v>
      </c>
      <c r="D155" s="1">
        <v>83.593</v>
      </c>
      <c r="E155" s="2">
        <f t="shared" si="1"/>
        <v>85.15307501824316</v>
      </c>
      <c r="F155" s="1">
        <f>SUM(D155-71.18201)</f>
        <v>12.410989999999998</v>
      </c>
      <c r="G155" s="1">
        <v>9.539</v>
      </c>
      <c r="H155" s="1">
        <v>9.538</v>
      </c>
      <c r="I155" s="147" t="s">
        <v>175</v>
      </c>
    </row>
    <row r="156" spans="1:9" ht="37.5">
      <c r="A156" s="152"/>
      <c r="B156" s="149"/>
      <c r="C156" s="39" t="s">
        <v>292</v>
      </c>
      <c r="D156" s="1"/>
      <c r="E156" s="2"/>
      <c r="F156" s="1"/>
      <c r="G156" s="1">
        <v>9.538</v>
      </c>
      <c r="H156" s="1">
        <v>9.538</v>
      </c>
      <c r="I156" s="147"/>
    </row>
    <row r="157" spans="1:9" ht="26.25" customHeight="1">
      <c r="A157" s="152"/>
      <c r="B157" s="136"/>
      <c r="C157" s="39" t="s">
        <v>412</v>
      </c>
      <c r="D157" s="1">
        <v>99.223</v>
      </c>
      <c r="E157" s="2">
        <f t="shared" si="1"/>
        <v>0</v>
      </c>
      <c r="F157" s="1">
        <f>SUM(D157)</f>
        <v>99.223</v>
      </c>
      <c r="G157" s="1">
        <f>89.481+G158</f>
        <v>99.223</v>
      </c>
      <c r="H157" s="1">
        <v>9.74164</v>
      </c>
      <c r="I157" s="147" t="s">
        <v>175</v>
      </c>
    </row>
    <row r="158" spans="1:9" ht="37.5">
      <c r="A158" s="152"/>
      <c r="B158" s="136"/>
      <c r="C158" s="39" t="s">
        <v>292</v>
      </c>
      <c r="D158" s="1"/>
      <c r="E158" s="2"/>
      <c r="F158" s="1"/>
      <c r="G158" s="1">
        <v>9.742</v>
      </c>
      <c r="H158" s="1">
        <v>9.74164</v>
      </c>
      <c r="I158" s="147"/>
    </row>
    <row r="159" spans="1:9" ht="45" customHeight="1">
      <c r="A159" s="96"/>
      <c r="B159" s="102"/>
      <c r="C159" s="39" t="s">
        <v>413</v>
      </c>
      <c r="D159" s="1">
        <v>78.787</v>
      </c>
      <c r="E159" s="2">
        <f t="shared" si="1"/>
        <v>84.08113013568229</v>
      </c>
      <c r="F159" s="1">
        <f>SUM(D159-66.245)</f>
        <v>12.542000000000002</v>
      </c>
      <c r="G159" s="1">
        <v>9.475</v>
      </c>
      <c r="H159" s="1">
        <v>9.47471</v>
      </c>
      <c r="I159" s="79" t="s">
        <v>175</v>
      </c>
    </row>
    <row r="160" spans="1:9" ht="45" customHeight="1">
      <c r="A160" s="96"/>
      <c r="B160" s="102"/>
      <c r="C160" s="39" t="s">
        <v>414</v>
      </c>
      <c r="D160" s="1">
        <v>90.008</v>
      </c>
      <c r="E160" s="2">
        <f t="shared" si="1"/>
        <v>68.60492400675497</v>
      </c>
      <c r="F160" s="1">
        <f>SUM(D160-61.74992)</f>
        <v>28.258079999999993</v>
      </c>
      <c r="G160" s="1">
        <v>9.622</v>
      </c>
      <c r="H160" s="1">
        <v>9.62158</v>
      </c>
      <c r="I160" s="79" t="s">
        <v>175</v>
      </c>
    </row>
    <row r="161" spans="1:9" ht="46.5" customHeight="1">
      <c r="A161" s="96"/>
      <c r="B161" s="102"/>
      <c r="C161" s="39" t="s">
        <v>415</v>
      </c>
      <c r="D161" s="1">
        <v>45.839</v>
      </c>
      <c r="E161" s="2">
        <f t="shared" si="1"/>
        <v>95.63264905429874</v>
      </c>
      <c r="F161" s="1">
        <f>SUM(D161-43.83705)</f>
        <v>2.001950000000001</v>
      </c>
      <c r="G161" s="1">
        <v>1.974</v>
      </c>
      <c r="H161" s="1">
        <v>1.97369</v>
      </c>
      <c r="I161" s="79" t="s">
        <v>175</v>
      </c>
    </row>
    <row r="162" spans="1:9" ht="46.5" customHeight="1">
      <c r="A162" s="96"/>
      <c r="B162" s="102"/>
      <c r="C162" s="39" t="s">
        <v>416</v>
      </c>
      <c r="D162" s="1">
        <v>70.895</v>
      </c>
      <c r="E162" s="2">
        <f t="shared" si="1"/>
        <v>96.64502433175825</v>
      </c>
      <c r="F162" s="1">
        <f>SUM(D162-68.51649)</f>
        <v>2.3785099999999915</v>
      </c>
      <c r="G162" s="1">
        <v>2.301</v>
      </c>
      <c r="H162" s="1">
        <v>2.30013</v>
      </c>
      <c r="I162" s="79" t="s">
        <v>175</v>
      </c>
    </row>
    <row r="163" spans="1:9" ht="82.5" customHeight="1">
      <c r="A163" s="96"/>
      <c r="B163" s="102"/>
      <c r="C163" s="39" t="s">
        <v>417</v>
      </c>
      <c r="D163" s="1">
        <v>61.058</v>
      </c>
      <c r="E163" s="2">
        <f t="shared" si="1"/>
        <v>0</v>
      </c>
      <c r="F163" s="1">
        <f>SUM(D163)</f>
        <v>61.058</v>
      </c>
      <c r="G163" s="1">
        <v>24.608</v>
      </c>
      <c r="H163" s="1">
        <v>24.60771</v>
      </c>
      <c r="I163" s="79" t="s">
        <v>180</v>
      </c>
    </row>
    <row r="164" spans="1:9" ht="26.25" customHeight="1">
      <c r="A164" s="152"/>
      <c r="B164" s="136"/>
      <c r="C164" s="39" t="s">
        <v>418</v>
      </c>
      <c r="D164" s="1">
        <v>71.304</v>
      </c>
      <c r="E164" s="2">
        <f t="shared" si="1"/>
        <v>0</v>
      </c>
      <c r="F164" s="1">
        <f>SUM(D164)</f>
        <v>71.304</v>
      </c>
      <c r="G164" s="1">
        <f>61.935+G165</f>
        <v>71.304</v>
      </c>
      <c r="H164" s="1">
        <v>9.36838</v>
      </c>
      <c r="I164" s="147" t="s">
        <v>175</v>
      </c>
    </row>
    <row r="165" spans="1:9" ht="40.5" customHeight="1">
      <c r="A165" s="152"/>
      <c r="B165" s="136"/>
      <c r="C165" s="39" t="s">
        <v>292</v>
      </c>
      <c r="D165" s="1"/>
      <c r="E165" s="2"/>
      <c r="F165" s="1"/>
      <c r="G165" s="1">
        <v>9.369</v>
      </c>
      <c r="H165" s="1">
        <v>9.36838</v>
      </c>
      <c r="I165" s="147"/>
    </row>
    <row r="166" spans="1:9" ht="46.5" customHeight="1">
      <c r="A166" s="96"/>
      <c r="B166" s="102"/>
      <c r="C166" s="39" t="s">
        <v>419</v>
      </c>
      <c r="D166" s="1">
        <v>55.194</v>
      </c>
      <c r="E166" s="2">
        <f aca="true" t="shared" si="2" ref="E166:E180">100-(F166/D166)*100</f>
        <v>94.36866326049932</v>
      </c>
      <c r="F166" s="1">
        <f>SUM(D166-52.08584)</f>
        <v>3.108160000000005</v>
      </c>
      <c r="G166" s="1">
        <v>2.096</v>
      </c>
      <c r="H166" s="1">
        <v>2.09557</v>
      </c>
      <c r="I166" s="79" t="s">
        <v>175</v>
      </c>
    </row>
    <row r="167" spans="1:9" ht="51.75" customHeight="1">
      <c r="A167" s="96"/>
      <c r="B167" s="102"/>
      <c r="C167" s="39" t="s">
        <v>420</v>
      </c>
      <c r="D167" s="1">
        <v>49.329</v>
      </c>
      <c r="E167" s="2">
        <f t="shared" si="2"/>
        <v>0</v>
      </c>
      <c r="F167" s="1">
        <f>SUM(D167)</f>
        <v>49.329</v>
      </c>
      <c r="G167" s="1">
        <f>65.863-16.534</f>
        <v>49.329</v>
      </c>
      <c r="H167" s="1">
        <v>7.00251</v>
      </c>
      <c r="I167" s="79" t="s">
        <v>183</v>
      </c>
    </row>
    <row r="168" spans="1:9" ht="39.75" customHeight="1">
      <c r="A168" s="152"/>
      <c r="B168" s="149"/>
      <c r="C168" s="39" t="s">
        <v>421</v>
      </c>
      <c r="D168" s="1">
        <v>72.646</v>
      </c>
      <c r="E168" s="2">
        <f t="shared" si="2"/>
        <v>1.86749442501997</v>
      </c>
      <c r="F168" s="1">
        <f>SUM(D168-1.35666)</f>
        <v>71.28934</v>
      </c>
      <c r="G168" s="1">
        <v>64.42</v>
      </c>
      <c r="H168" s="1">
        <v>64.10873</v>
      </c>
      <c r="I168" s="147" t="s">
        <v>184</v>
      </c>
    </row>
    <row r="169" spans="1:9" ht="37.5">
      <c r="A169" s="152"/>
      <c r="B169" s="149"/>
      <c r="C169" s="39" t="s">
        <v>292</v>
      </c>
      <c r="D169" s="1"/>
      <c r="E169" s="2"/>
      <c r="F169" s="1"/>
      <c r="G169" s="1">
        <v>64.109</v>
      </c>
      <c r="H169" s="1">
        <v>64.10873</v>
      </c>
      <c r="I169" s="147"/>
    </row>
    <row r="170" spans="1:9" ht="46.5" customHeight="1">
      <c r="A170" s="96"/>
      <c r="B170" s="102"/>
      <c r="C170" s="39" t="s">
        <v>422</v>
      </c>
      <c r="D170" s="1">
        <v>40.468</v>
      </c>
      <c r="E170" s="2">
        <f t="shared" si="2"/>
        <v>76.81479193436789</v>
      </c>
      <c r="F170" s="1">
        <f>SUM(D170-31.08541)</f>
        <v>9.382590000000004</v>
      </c>
      <c r="G170" s="1">
        <v>8.962</v>
      </c>
      <c r="H170" s="1">
        <v>8.96128</v>
      </c>
      <c r="I170" s="79" t="s">
        <v>175</v>
      </c>
    </row>
    <row r="171" spans="1:9" ht="46.5" customHeight="1">
      <c r="A171" s="96"/>
      <c r="B171" s="102"/>
      <c r="C171" s="39" t="s">
        <v>423</v>
      </c>
      <c r="D171" s="1">
        <v>57.373</v>
      </c>
      <c r="E171" s="2">
        <f t="shared" si="2"/>
        <v>78.42478169173654</v>
      </c>
      <c r="F171" s="1">
        <f>SUM(D171-44.99465)</f>
        <v>12.378349999999998</v>
      </c>
      <c r="G171" s="1">
        <v>9.185</v>
      </c>
      <c r="H171" s="1">
        <v>9.1846</v>
      </c>
      <c r="I171" s="79" t="s">
        <v>175</v>
      </c>
    </row>
    <row r="172" spans="1:9" ht="46.5" customHeight="1">
      <c r="A172" s="96"/>
      <c r="B172" s="102"/>
      <c r="C172" s="39" t="s">
        <v>424</v>
      </c>
      <c r="D172" s="1">
        <v>63.158</v>
      </c>
      <c r="E172" s="2">
        <f t="shared" si="2"/>
        <v>84.28816618638969</v>
      </c>
      <c r="F172" s="1">
        <f>SUM(D172-53.23472)</f>
        <v>9.923279999999998</v>
      </c>
      <c r="G172" s="1">
        <v>9.272</v>
      </c>
      <c r="H172" s="1">
        <v>9.27178</v>
      </c>
      <c r="I172" s="79" t="s">
        <v>175</v>
      </c>
    </row>
    <row r="173" spans="1:9" ht="46.5" customHeight="1">
      <c r="A173" s="96"/>
      <c r="B173" s="102"/>
      <c r="C173" s="39" t="s">
        <v>425</v>
      </c>
      <c r="D173" s="1">
        <v>50.97</v>
      </c>
      <c r="E173" s="2">
        <f t="shared" si="2"/>
        <v>92.39019030802433</v>
      </c>
      <c r="F173" s="1">
        <f>SUM(D173-47.09128)</f>
        <v>3.8787200000000013</v>
      </c>
      <c r="G173" s="1">
        <v>2.041</v>
      </c>
      <c r="H173" s="1">
        <v>2.04053</v>
      </c>
      <c r="I173" s="79" t="s">
        <v>175</v>
      </c>
    </row>
    <row r="174" spans="1:9" ht="46.5" customHeight="1">
      <c r="A174" s="96"/>
      <c r="B174" s="102"/>
      <c r="C174" s="39" t="s">
        <v>426</v>
      </c>
      <c r="D174" s="1">
        <v>56.728</v>
      </c>
      <c r="E174" s="2">
        <f t="shared" si="2"/>
        <v>79.36183189959104</v>
      </c>
      <c r="F174" s="1">
        <f>SUM(D174-45.02038)</f>
        <v>11.707619999999999</v>
      </c>
      <c r="G174" s="1">
        <v>9.177</v>
      </c>
      <c r="H174" s="1">
        <v>9.17618</v>
      </c>
      <c r="I174" s="79" t="s">
        <v>175</v>
      </c>
    </row>
    <row r="175" spans="1:9" ht="46.5" customHeight="1">
      <c r="A175" s="96"/>
      <c r="B175" s="102"/>
      <c r="C175" s="39" t="s">
        <v>427</v>
      </c>
      <c r="D175" s="1">
        <v>71.123</v>
      </c>
      <c r="E175" s="2">
        <f t="shared" si="2"/>
        <v>76.17123855855348</v>
      </c>
      <c r="F175" s="1">
        <f>SUM(D175-54.17527)</f>
        <v>16.947730000000007</v>
      </c>
      <c r="G175" s="1">
        <v>9.367</v>
      </c>
      <c r="H175" s="1">
        <v>9.36602</v>
      </c>
      <c r="I175" s="79" t="s">
        <v>175</v>
      </c>
    </row>
    <row r="176" spans="1:9" ht="42.75" customHeight="1">
      <c r="A176" s="152"/>
      <c r="B176" s="149"/>
      <c r="C176" s="39" t="s">
        <v>428</v>
      </c>
      <c r="D176" s="1">
        <v>71.123</v>
      </c>
      <c r="E176" s="2">
        <f t="shared" si="2"/>
        <v>1.9667055664131112</v>
      </c>
      <c r="F176" s="1">
        <f>SUM(D176-1.39878)</f>
        <v>69.72422</v>
      </c>
      <c r="G176" s="1">
        <v>66.168</v>
      </c>
      <c r="H176" s="1">
        <v>65.85672</v>
      </c>
      <c r="I176" s="147" t="s">
        <v>180</v>
      </c>
    </row>
    <row r="177" spans="1:9" ht="37.5">
      <c r="A177" s="152"/>
      <c r="B177" s="149"/>
      <c r="C177" s="39" t="s">
        <v>292</v>
      </c>
      <c r="D177" s="1"/>
      <c r="E177" s="2"/>
      <c r="F177" s="1"/>
      <c r="G177" s="1">
        <v>65.857</v>
      </c>
      <c r="H177" s="1">
        <v>65.85672</v>
      </c>
      <c r="I177" s="147"/>
    </row>
    <row r="178" spans="1:9" ht="39.75" customHeight="1">
      <c r="A178" s="152"/>
      <c r="B178" s="149"/>
      <c r="C178" s="39" t="s">
        <v>429</v>
      </c>
      <c r="D178" s="1">
        <v>51.852</v>
      </c>
      <c r="E178" s="2">
        <f t="shared" si="2"/>
        <v>1.8629946771580705</v>
      </c>
      <c r="F178" s="1">
        <f>SUM(D178-0.966)</f>
        <v>50.885999999999996</v>
      </c>
      <c r="G178" s="1">
        <v>48.299</v>
      </c>
      <c r="H178" s="1">
        <v>48.08313</v>
      </c>
      <c r="I178" s="147" t="s">
        <v>180</v>
      </c>
    </row>
    <row r="179" spans="1:9" ht="37.5">
      <c r="A179" s="152"/>
      <c r="B179" s="149"/>
      <c r="C179" s="39" t="s">
        <v>292</v>
      </c>
      <c r="D179" s="1"/>
      <c r="E179" s="2"/>
      <c r="F179" s="1"/>
      <c r="G179" s="1">
        <v>48.084</v>
      </c>
      <c r="H179" s="1">
        <v>48.08313</v>
      </c>
      <c r="I179" s="147"/>
    </row>
    <row r="180" spans="1:9" ht="35.25" customHeight="1">
      <c r="A180" s="96"/>
      <c r="B180" s="102"/>
      <c r="C180" s="39" t="s">
        <v>430</v>
      </c>
      <c r="D180" s="1">
        <v>75.228</v>
      </c>
      <c r="E180" s="2">
        <f t="shared" si="2"/>
        <v>0</v>
      </c>
      <c r="F180" s="1">
        <f>SUM(D180)</f>
        <v>75.228</v>
      </c>
      <c r="G180" s="1">
        <f>61.218+14.01</f>
        <v>75.22800000000001</v>
      </c>
      <c r="H180" s="1">
        <v>65.31765</v>
      </c>
      <c r="I180" s="79" t="s">
        <v>178</v>
      </c>
    </row>
    <row r="181" spans="1:9" ht="29.25" customHeight="1">
      <c r="A181" s="137" t="s">
        <v>294</v>
      </c>
      <c r="B181" s="136" t="s">
        <v>291</v>
      </c>
      <c r="C181" s="25" t="s">
        <v>431</v>
      </c>
      <c r="D181" s="1">
        <f>SUM(D184:D219)</f>
        <v>1402.492</v>
      </c>
      <c r="E181" s="2">
        <f>100-(F181/D181)*100</f>
        <v>20.777580192970802</v>
      </c>
      <c r="F181" s="1">
        <f>SUM(F184:F219)</f>
        <v>1111.0881</v>
      </c>
      <c r="G181" s="1">
        <f>SUM(G190+G193+G195+G216+G182-G191-G194-G196)</f>
        <v>1031.1069999999993</v>
      </c>
      <c r="H181" s="1">
        <f>SUM(H190+H193+H195+H216+H182-H191-H194-H196)</f>
        <v>891.0851399999999</v>
      </c>
      <c r="I181" s="139"/>
    </row>
    <row r="182" spans="1:9" ht="37.5">
      <c r="A182" s="137"/>
      <c r="B182" s="136"/>
      <c r="C182" s="39" t="s">
        <v>292</v>
      </c>
      <c r="D182" s="1"/>
      <c r="E182" s="2"/>
      <c r="F182" s="1"/>
      <c r="G182" s="1">
        <f>SUM(G184:G219)-G190-G193-G195-G216</f>
        <v>891.0979999999996</v>
      </c>
      <c r="H182" s="1">
        <f>SUM(H184:H219)-H190-H193-H195-H216</f>
        <v>891.0851399999999</v>
      </c>
      <c r="I182" s="143"/>
    </row>
    <row r="183" spans="1:9" ht="23.25" customHeight="1">
      <c r="A183" s="137"/>
      <c r="B183" s="136"/>
      <c r="C183" s="39" t="s">
        <v>356</v>
      </c>
      <c r="D183" s="6"/>
      <c r="E183" s="7"/>
      <c r="F183" s="6"/>
      <c r="G183" s="6"/>
      <c r="H183" s="1"/>
      <c r="I183" s="140"/>
    </row>
    <row r="184" spans="1:9" ht="82.5" customHeight="1">
      <c r="A184" s="96"/>
      <c r="B184" s="102"/>
      <c r="C184" s="39" t="s">
        <v>432</v>
      </c>
      <c r="D184" s="1">
        <v>42.5</v>
      </c>
      <c r="E184" s="2">
        <f aca="true" t="shared" si="3" ref="E184:E219">100-(F184/D184)*100</f>
        <v>0</v>
      </c>
      <c r="F184" s="1">
        <f>SUM(D184)</f>
        <v>42.5</v>
      </c>
      <c r="G184" s="1">
        <v>38.673</v>
      </c>
      <c r="H184" s="1">
        <v>38.67213</v>
      </c>
      <c r="I184" s="79" t="s">
        <v>180</v>
      </c>
    </row>
    <row r="185" spans="1:9" ht="82.5" customHeight="1">
      <c r="A185" s="96"/>
      <c r="B185" s="102"/>
      <c r="C185" s="39" t="s">
        <v>433</v>
      </c>
      <c r="D185" s="1">
        <v>42.5</v>
      </c>
      <c r="E185" s="2">
        <f t="shared" si="3"/>
        <v>0</v>
      </c>
      <c r="F185" s="1">
        <f>SUM(D185)</f>
        <v>42.5</v>
      </c>
      <c r="G185" s="1">
        <v>39.458</v>
      </c>
      <c r="H185" s="1">
        <v>39.4576</v>
      </c>
      <c r="I185" s="79" t="s">
        <v>180</v>
      </c>
    </row>
    <row r="186" spans="1:9" ht="82.5" customHeight="1">
      <c r="A186" s="96"/>
      <c r="B186" s="102"/>
      <c r="C186" s="39" t="s">
        <v>434</v>
      </c>
      <c r="D186" s="1">
        <v>42.5</v>
      </c>
      <c r="E186" s="2">
        <f t="shared" si="3"/>
        <v>0</v>
      </c>
      <c r="F186" s="1">
        <f>SUM(D186)</f>
        <v>42.5</v>
      </c>
      <c r="G186" s="1">
        <v>39.622</v>
      </c>
      <c r="H186" s="1">
        <v>39.62115</v>
      </c>
      <c r="I186" s="79" t="s">
        <v>180</v>
      </c>
    </row>
    <row r="187" spans="1:9" ht="82.5" customHeight="1">
      <c r="A187" s="96"/>
      <c r="B187" s="102"/>
      <c r="C187" s="39" t="s">
        <v>435</v>
      </c>
      <c r="D187" s="1">
        <v>42.5</v>
      </c>
      <c r="E187" s="2">
        <f t="shared" si="3"/>
        <v>0</v>
      </c>
      <c r="F187" s="1">
        <f>SUM(D187)</f>
        <v>42.5</v>
      </c>
      <c r="G187" s="1">
        <v>39.844</v>
      </c>
      <c r="H187" s="1">
        <v>39.84382</v>
      </c>
      <c r="I187" s="79" t="s">
        <v>180</v>
      </c>
    </row>
    <row r="188" spans="1:9" ht="82.5" customHeight="1">
      <c r="A188" s="96"/>
      <c r="B188" s="102"/>
      <c r="C188" s="39" t="s">
        <v>436</v>
      </c>
      <c r="D188" s="1">
        <v>42.5</v>
      </c>
      <c r="E188" s="2">
        <f t="shared" si="3"/>
        <v>0</v>
      </c>
      <c r="F188" s="1">
        <f>SUM(D188)</f>
        <v>42.5</v>
      </c>
      <c r="G188" s="1">
        <v>40.569</v>
      </c>
      <c r="H188" s="1">
        <v>40.56825</v>
      </c>
      <c r="I188" s="79" t="s">
        <v>180</v>
      </c>
    </row>
    <row r="189" spans="1:9" ht="82.5" customHeight="1">
      <c r="A189" s="96"/>
      <c r="B189" s="102"/>
      <c r="C189" s="39" t="s">
        <v>437</v>
      </c>
      <c r="D189" s="1">
        <v>42.5</v>
      </c>
      <c r="E189" s="2">
        <f t="shared" si="3"/>
        <v>19.376776470588226</v>
      </c>
      <c r="F189" s="1">
        <f>SUM(D189-8.23513)</f>
        <v>34.26487</v>
      </c>
      <c r="G189" s="1">
        <v>30.081</v>
      </c>
      <c r="H189" s="1">
        <v>30.08074</v>
      </c>
      <c r="I189" s="79" t="s">
        <v>180</v>
      </c>
    </row>
    <row r="190" spans="1:9" ht="36.75" customHeight="1">
      <c r="A190" s="152"/>
      <c r="B190" s="136"/>
      <c r="C190" s="39" t="s">
        <v>438</v>
      </c>
      <c r="D190" s="1">
        <v>42.498</v>
      </c>
      <c r="E190" s="2">
        <f t="shared" si="3"/>
        <v>0</v>
      </c>
      <c r="F190" s="1">
        <f>SUM(D190)</f>
        <v>42.498</v>
      </c>
      <c r="G190" s="1">
        <f>35.002+G191</f>
        <v>42.498000000000005</v>
      </c>
      <c r="H190" s="1">
        <v>7.49581</v>
      </c>
      <c r="I190" s="147" t="s">
        <v>175</v>
      </c>
    </row>
    <row r="191" spans="1:9" ht="37.5">
      <c r="A191" s="152"/>
      <c r="B191" s="136"/>
      <c r="C191" s="39" t="s">
        <v>292</v>
      </c>
      <c r="D191" s="1"/>
      <c r="E191" s="2"/>
      <c r="F191" s="1"/>
      <c r="G191" s="1">
        <v>7.496</v>
      </c>
      <c r="H191" s="1">
        <v>7.49581</v>
      </c>
      <c r="I191" s="147"/>
    </row>
    <row r="192" spans="1:9" ht="82.5" customHeight="1">
      <c r="A192" s="96"/>
      <c r="B192" s="102"/>
      <c r="C192" s="39" t="s">
        <v>439</v>
      </c>
      <c r="D192" s="1">
        <v>42.5</v>
      </c>
      <c r="E192" s="2">
        <f t="shared" si="3"/>
        <v>0</v>
      </c>
      <c r="F192" s="1">
        <f>SUM(D192)</f>
        <v>42.5</v>
      </c>
      <c r="G192" s="1">
        <v>40.971</v>
      </c>
      <c r="H192" s="1">
        <v>40.97036</v>
      </c>
      <c r="I192" s="79" t="s">
        <v>180</v>
      </c>
    </row>
    <row r="193" spans="1:9" ht="41.25" customHeight="1">
      <c r="A193" s="152"/>
      <c r="B193" s="136"/>
      <c r="C193" s="39" t="s">
        <v>440</v>
      </c>
      <c r="D193" s="1">
        <v>42.498</v>
      </c>
      <c r="E193" s="2">
        <f t="shared" si="3"/>
        <v>0</v>
      </c>
      <c r="F193" s="1">
        <f>SUM(D193)</f>
        <v>42.498</v>
      </c>
      <c r="G193" s="1">
        <f>35.002+G194</f>
        <v>42.498000000000005</v>
      </c>
      <c r="H193" s="1">
        <v>7.49581</v>
      </c>
      <c r="I193" s="147" t="s">
        <v>175</v>
      </c>
    </row>
    <row r="194" spans="1:9" ht="37.5">
      <c r="A194" s="152"/>
      <c r="B194" s="136"/>
      <c r="C194" s="39" t="s">
        <v>292</v>
      </c>
      <c r="D194" s="1"/>
      <c r="E194" s="2"/>
      <c r="F194" s="1"/>
      <c r="G194" s="1">
        <v>7.496</v>
      </c>
      <c r="H194" s="1">
        <v>7.49581</v>
      </c>
      <c r="I194" s="147"/>
    </row>
    <row r="195" spans="1:9" ht="42" customHeight="1">
      <c r="A195" s="152"/>
      <c r="B195" s="136"/>
      <c r="C195" s="39" t="s">
        <v>441</v>
      </c>
      <c r="D195" s="1">
        <v>42.498</v>
      </c>
      <c r="E195" s="2">
        <f t="shared" si="3"/>
        <v>0</v>
      </c>
      <c r="F195" s="1">
        <f>SUM(D195)</f>
        <v>42.498</v>
      </c>
      <c r="G195" s="1">
        <f>35.002+G196</f>
        <v>42.498000000000005</v>
      </c>
      <c r="H195" s="1">
        <v>7.49581</v>
      </c>
      <c r="I195" s="147" t="s">
        <v>175</v>
      </c>
    </row>
    <row r="196" spans="1:9" ht="37.5">
      <c r="A196" s="152"/>
      <c r="B196" s="136"/>
      <c r="C196" s="39" t="s">
        <v>292</v>
      </c>
      <c r="D196" s="1"/>
      <c r="E196" s="2"/>
      <c r="F196" s="1"/>
      <c r="G196" s="1">
        <v>7.496</v>
      </c>
      <c r="H196" s="1">
        <v>7.49581</v>
      </c>
      <c r="I196" s="147"/>
    </row>
    <row r="197" spans="1:9" ht="84" customHeight="1">
      <c r="A197" s="96"/>
      <c r="B197" s="102"/>
      <c r="C197" s="39" t="s">
        <v>442</v>
      </c>
      <c r="D197" s="1">
        <v>42.5</v>
      </c>
      <c r="E197" s="2">
        <f t="shared" si="3"/>
        <v>0</v>
      </c>
      <c r="F197" s="1">
        <f>SUM(D197)</f>
        <v>42.5</v>
      </c>
      <c r="G197" s="1">
        <v>40.79</v>
      </c>
      <c r="H197" s="1">
        <v>40.7898</v>
      </c>
      <c r="I197" s="79" t="s">
        <v>180</v>
      </c>
    </row>
    <row r="198" spans="1:9" ht="84" customHeight="1">
      <c r="A198" s="96"/>
      <c r="B198" s="102"/>
      <c r="C198" s="39" t="s">
        <v>443</v>
      </c>
      <c r="D198" s="1">
        <v>42.5</v>
      </c>
      <c r="E198" s="2">
        <f t="shared" si="3"/>
        <v>0</v>
      </c>
      <c r="F198" s="1">
        <f>SUM(D198)</f>
        <v>42.5</v>
      </c>
      <c r="G198" s="1">
        <v>41.094</v>
      </c>
      <c r="H198" s="1">
        <v>41.09346</v>
      </c>
      <c r="I198" s="79" t="s">
        <v>180</v>
      </c>
    </row>
    <row r="199" spans="1:9" ht="84" customHeight="1">
      <c r="A199" s="96"/>
      <c r="B199" s="102"/>
      <c r="C199" s="39" t="s">
        <v>444</v>
      </c>
      <c r="D199" s="1">
        <v>42.5</v>
      </c>
      <c r="E199" s="2">
        <f t="shared" si="3"/>
        <v>0</v>
      </c>
      <c r="F199" s="1">
        <f>SUM(D199)</f>
        <v>42.5</v>
      </c>
      <c r="G199" s="1">
        <v>40.638</v>
      </c>
      <c r="H199" s="1">
        <v>40.63717</v>
      </c>
      <c r="I199" s="79" t="s">
        <v>180</v>
      </c>
    </row>
    <row r="200" spans="1:9" ht="84" customHeight="1">
      <c r="A200" s="96"/>
      <c r="B200" s="102"/>
      <c r="C200" s="39" t="s">
        <v>445</v>
      </c>
      <c r="D200" s="1">
        <v>42.5</v>
      </c>
      <c r="E200" s="2">
        <f t="shared" si="3"/>
        <v>1.82858823529412</v>
      </c>
      <c r="F200" s="1">
        <f>SUM(D200-0.77715)</f>
        <v>41.72285</v>
      </c>
      <c r="G200" s="1">
        <v>39.227</v>
      </c>
      <c r="H200" s="1">
        <v>39.2265</v>
      </c>
      <c r="I200" s="79" t="s">
        <v>180</v>
      </c>
    </row>
    <row r="201" spans="1:9" ht="52.5" customHeight="1">
      <c r="A201" s="96"/>
      <c r="B201" s="102"/>
      <c r="C201" s="39" t="s">
        <v>446</v>
      </c>
      <c r="D201" s="1">
        <v>42.5</v>
      </c>
      <c r="E201" s="2">
        <f t="shared" si="3"/>
        <v>72.35214117647058</v>
      </c>
      <c r="F201" s="1">
        <f>SUM(D201-30.74966)</f>
        <v>11.750340000000001</v>
      </c>
      <c r="G201" s="1">
        <v>7.496</v>
      </c>
      <c r="H201" s="1">
        <v>7.49581</v>
      </c>
      <c r="I201" s="79" t="s">
        <v>175</v>
      </c>
    </row>
    <row r="202" spans="1:9" ht="52.5" customHeight="1">
      <c r="A202" s="96"/>
      <c r="B202" s="102"/>
      <c r="C202" s="39" t="s">
        <v>447</v>
      </c>
      <c r="D202" s="1">
        <v>42.5</v>
      </c>
      <c r="E202" s="2">
        <f t="shared" si="3"/>
        <v>70.54969411764705</v>
      </c>
      <c r="F202" s="1">
        <f>SUM(D202-29.98362)</f>
        <v>12.516380000000002</v>
      </c>
      <c r="G202" s="1">
        <v>7.496</v>
      </c>
      <c r="H202" s="1">
        <v>7.49581</v>
      </c>
      <c r="I202" s="79" t="s">
        <v>175</v>
      </c>
    </row>
    <row r="203" spans="1:9" ht="52.5" customHeight="1">
      <c r="A203" s="96"/>
      <c r="B203" s="102"/>
      <c r="C203" s="39" t="s">
        <v>448</v>
      </c>
      <c r="D203" s="1">
        <v>42.5</v>
      </c>
      <c r="E203" s="2">
        <f t="shared" si="3"/>
        <v>69.95672941176471</v>
      </c>
      <c r="F203" s="1">
        <f>SUM(D203-29.73161)</f>
        <v>12.76839</v>
      </c>
      <c r="G203" s="1">
        <v>7.496</v>
      </c>
      <c r="H203" s="1">
        <v>7.49581</v>
      </c>
      <c r="I203" s="79" t="s">
        <v>175</v>
      </c>
    </row>
    <row r="204" spans="1:9" ht="52.5" customHeight="1">
      <c r="A204" s="96"/>
      <c r="B204" s="102"/>
      <c r="C204" s="39" t="s">
        <v>449</v>
      </c>
      <c r="D204" s="1">
        <v>42.5</v>
      </c>
      <c r="E204" s="2">
        <f t="shared" si="3"/>
        <v>70.46014117647059</v>
      </c>
      <c r="F204" s="1">
        <f>SUM(D204-29.94556)</f>
        <v>12.55444</v>
      </c>
      <c r="G204" s="1">
        <v>7.496</v>
      </c>
      <c r="H204" s="1">
        <v>7.49581</v>
      </c>
      <c r="I204" s="79" t="s">
        <v>175</v>
      </c>
    </row>
    <row r="205" spans="1:9" ht="52.5" customHeight="1">
      <c r="A205" s="96"/>
      <c r="B205" s="102"/>
      <c r="C205" s="39" t="s">
        <v>450</v>
      </c>
      <c r="D205" s="1">
        <v>42.5</v>
      </c>
      <c r="E205" s="2">
        <f t="shared" si="3"/>
        <v>76.472</v>
      </c>
      <c r="F205" s="1">
        <f>SUM(D205-32.5006)</f>
        <v>9.999400000000001</v>
      </c>
      <c r="G205" s="1">
        <v>7.496</v>
      </c>
      <c r="H205" s="1">
        <v>7.49581</v>
      </c>
      <c r="I205" s="79" t="s">
        <v>175</v>
      </c>
    </row>
    <row r="206" spans="1:9" ht="81" customHeight="1">
      <c r="A206" s="96"/>
      <c r="B206" s="102"/>
      <c r="C206" s="39" t="s">
        <v>451</v>
      </c>
      <c r="D206" s="1">
        <v>42.5</v>
      </c>
      <c r="E206" s="2">
        <f t="shared" si="3"/>
        <v>0</v>
      </c>
      <c r="F206" s="1">
        <f>SUM(D206)</f>
        <v>42.5</v>
      </c>
      <c r="G206" s="1">
        <v>40.165</v>
      </c>
      <c r="H206" s="1">
        <v>40.16496</v>
      </c>
      <c r="I206" s="79" t="s">
        <v>180</v>
      </c>
    </row>
    <row r="207" spans="1:9" ht="81" customHeight="1">
      <c r="A207" s="96"/>
      <c r="B207" s="102"/>
      <c r="C207" s="39" t="s">
        <v>452</v>
      </c>
      <c r="D207" s="1">
        <v>42.5</v>
      </c>
      <c r="E207" s="2">
        <f t="shared" si="3"/>
        <v>17.637199999999993</v>
      </c>
      <c r="F207" s="1">
        <f>SUM(D207-7.49581)</f>
        <v>35.00419</v>
      </c>
      <c r="G207" s="1">
        <v>32.753</v>
      </c>
      <c r="H207" s="1">
        <v>32.75261</v>
      </c>
      <c r="I207" s="79" t="s">
        <v>180</v>
      </c>
    </row>
    <row r="208" spans="1:9" ht="81" customHeight="1">
      <c r="A208" s="96"/>
      <c r="B208" s="102"/>
      <c r="C208" s="39" t="s">
        <v>453</v>
      </c>
      <c r="D208" s="1">
        <v>42.5</v>
      </c>
      <c r="E208" s="2">
        <f t="shared" si="3"/>
        <v>66.51378823529413</v>
      </c>
      <c r="F208" s="1">
        <f>SUM(D208-28.26836)</f>
        <v>14.231639999999999</v>
      </c>
      <c r="G208" s="1">
        <v>11.47</v>
      </c>
      <c r="H208" s="1">
        <v>11.46986</v>
      </c>
      <c r="I208" s="79" t="s">
        <v>181</v>
      </c>
    </row>
    <row r="209" spans="1:9" ht="81" customHeight="1">
      <c r="A209" s="96"/>
      <c r="B209" s="102"/>
      <c r="C209" s="39" t="s">
        <v>454</v>
      </c>
      <c r="D209" s="1">
        <v>42.5</v>
      </c>
      <c r="E209" s="2">
        <f t="shared" si="3"/>
        <v>17.637199999999993</v>
      </c>
      <c r="F209" s="1">
        <f>SUM(D209-7.49581)</f>
        <v>35.00419</v>
      </c>
      <c r="G209" s="1">
        <v>32.387</v>
      </c>
      <c r="H209" s="1">
        <v>32.38628</v>
      </c>
      <c r="I209" s="79" t="s">
        <v>180</v>
      </c>
    </row>
    <row r="210" spans="1:9" ht="81" customHeight="1">
      <c r="A210" s="96"/>
      <c r="B210" s="102"/>
      <c r="C210" s="39" t="s">
        <v>455</v>
      </c>
      <c r="D210" s="1">
        <v>42.5</v>
      </c>
      <c r="E210" s="2">
        <f t="shared" si="3"/>
        <v>17.637199999999993</v>
      </c>
      <c r="F210" s="1">
        <f>SUM(D210-7.49581)</f>
        <v>35.00419</v>
      </c>
      <c r="G210" s="1">
        <v>31.995</v>
      </c>
      <c r="H210" s="1">
        <v>31.99406</v>
      </c>
      <c r="I210" s="79" t="s">
        <v>180</v>
      </c>
    </row>
    <row r="211" spans="1:9" ht="81" customHeight="1">
      <c r="A211" s="96"/>
      <c r="B211" s="102"/>
      <c r="C211" s="39" t="s">
        <v>456</v>
      </c>
      <c r="D211" s="1">
        <v>42.5</v>
      </c>
      <c r="E211" s="2">
        <f t="shared" si="3"/>
        <v>19.474258823529425</v>
      </c>
      <c r="F211" s="1">
        <f>SUM(D211-8.27656)</f>
        <v>34.22344</v>
      </c>
      <c r="G211" s="1">
        <v>31.807</v>
      </c>
      <c r="H211" s="1">
        <v>31.80631</v>
      </c>
      <c r="I211" s="79" t="s">
        <v>180</v>
      </c>
    </row>
    <row r="212" spans="1:9" ht="81" customHeight="1">
      <c r="A212" s="96"/>
      <c r="B212" s="102"/>
      <c r="C212" s="39" t="s">
        <v>457</v>
      </c>
      <c r="D212" s="1">
        <v>42.5</v>
      </c>
      <c r="E212" s="2">
        <f t="shared" si="3"/>
        <v>17.637199999999993</v>
      </c>
      <c r="F212" s="1">
        <f>SUM(D212-7.49581)</f>
        <v>35.00419</v>
      </c>
      <c r="G212" s="1">
        <v>34.016</v>
      </c>
      <c r="H212" s="1">
        <v>34.01582</v>
      </c>
      <c r="I212" s="79" t="s">
        <v>180</v>
      </c>
    </row>
    <row r="213" spans="1:9" ht="81" customHeight="1">
      <c r="A213" s="96"/>
      <c r="B213" s="102"/>
      <c r="C213" s="39" t="s">
        <v>458</v>
      </c>
      <c r="D213" s="1">
        <v>42.5</v>
      </c>
      <c r="E213" s="2">
        <f t="shared" si="3"/>
        <v>17.637199999999993</v>
      </c>
      <c r="F213" s="1">
        <f>SUM(D213-7.49581)</f>
        <v>35.00419</v>
      </c>
      <c r="G213" s="1">
        <v>33.776</v>
      </c>
      <c r="H213" s="1">
        <v>33.776</v>
      </c>
      <c r="I213" s="79" t="s">
        <v>180</v>
      </c>
    </row>
    <row r="214" spans="1:9" ht="81" customHeight="1">
      <c r="A214" s="96"/>
      <c r="B214" s="102"/>
      <c r="C214" s="39" t="s">
        <v>459</v>
      </c>
      <c r="D214" s="1">
        <v>42.5</v>
      </c>
      <c r="E214" s="2">
        <f t="shared" si="3"/>
        <v>17.637199999999993</v>
      </c>
      <c r="F214" s="1">
        <f>SUM(D214-7.49581)</f>
        <v>35.00419</v>
      </c>
      <c r="G214" s="1">
        <v>32.185</v>
      </c>
      <c r="H214" s="1">
        <v>32.18467</v>
      </c>
      <c r="I214" s="79" t="s">
        <v>180</v>
      </c>
    </row>
    <row r="215" spans="1:9" ht="81" customHeight="1">
      <c r="A215" s="96"/>
      <c r="B215" s="102"/>
      <c r="C215" s="39" t="s">
        <v>460</v>
      </c>
      <c r="D215" s="1">
        <v>42.5</v>
      </c>
      <c r="E215" s="2">
        <f t="shared" si="3"/>
        <v>17.637199999999993</v>
      </c>
      <c r="F215" s="1">
        <f>SUM(D215-7.49581)</f>
        <v>35.00419</v>
      </c>
      <c r="G215" s="1">
        <v>33.233</v>
      </c>
      <c r="H215" s="1">
        <v>33.23249</v>
      </c>
      <c r="I215" s="79" t="s">
        <v>180</v>
      </c>
    </row>
    <row r="216" spans="1:9" ht="33.75" customHeight="1">
      <c r="A216" s="96"/>
      <c r="B216" s="102"/>
      <c r="C216" s="39" t="s">
        <v>461</v>
      </c>
      <c r="D216" s="1">
        <v>42.498</v>
      </c>
      <c r="E216" s="2">
        <f t="shared" si="3"/>
        <v>17.635676973034037</v>
      </c>
      <c r="F216" s="1">
        <f>SUM(D216-7.49581)+0.001</f>
        <v>35.00319</v>
      </c>
      <c r="G216" s="1">
        <v>35.003</v>
      </c>
      <c r="H216" s="1">
        <v>0</v>
      </c>
      <c r="I216" s="46" t="s">
        <v>87</v>
      </c>
    </row>
    <row r="217" spans="1:9" ht="48" customHeight="1">
      <c r="A217" s="96"/>
      <c r="B217" s="102"/>
      <c r="C217" s="39" t="s">
        <v>427</v>
      </c>
      <c r="D217" s="1">
        <v>42.5</v>
      </c>
      <c r="E217" s="2">
        <f t="shared" si="3"/>
        <v>77.5768705882353</v>
      </c>
      <c r="F217" s="1">
        <f>SUM(D217-32.97017)</f>
        <v>9.529829999999997</v>
      </c>
      <c r="G217" s="1">
        <v>7.496</v>
      </c>
      <c r="H217" s="1">
        <v>7.49581</v>
      </c>
      <c r="I217" s="79" t="s">
        <v>174</v>
      </c>
    </row>
    <row r="218" spans="1:9" ht="75">
      <c r="A218" s="96"/>
      <c r="B218" s="102"/>
      <c r="C218" s="39" t="s">
        <v>395</v>
      </c>
      <c r="D218" s="1">
        <v>42.5</v>
      </c>
      <c r="E218" s="2">
        <f t="shared" si="3"/>
        <v>0</v>
      </c>
      <c r="F218" s="1">
        <f>SUM(D218)</f>
        <v>42.5</v>
      </c>
      <c r="G218" s="1">
        <v>38.242</v>
      </c>
      <c r="H218" s="1">
        <v>38.24171</v>
      </c>
      <c r="I218" s="79" t="s">
        <v>180</v>
      </c>
    </row>
    <row r="219" spans="1:9" ht="81" customHeight="1">
      <c r="A219" s="96"/>
      <c r="B219" s="102"/>
      <c r="C219" s="39" t="s">
        <v>462</v>
      </c>
      <c r="D219" s="1">
        <v>42.5</v>
      </c>
      <c r="E219" s="2">
        <f t="shared" si="3"/>
        <v>0</v>
      </c>
      <c r="F219" s="1">
        <f>SUM(D219)</f>
        <v>42.5</v>
      </c>
      <c r="G219" s="1">
        <v>40.638</v>
      </c>
      <c r="H219" s="1">
        <v>40.6371</v>
      </c>
      <c r="I219" s="79" t="s">
        <v>180</v>
      </c>
    </row>
    <row r="220" spans="1:9" ht="56.25">
      <c r="A220" s="152" t="s">
        <v>294</v>
      </c>
      <c r="B220" s="136" t="s">
        <v>291</v>
      </c>
      <c r="C220" s="39" t="s">
        <v>463</v>
      </c>
      <c r="D220" s="1">
        <v>3826.168</v>
      </c>
      <c r="E220" s="2">
        <f>100-(F220/D220)*100</f>
        <v>48.87335109174506</v>
      </c>
      <c r="F220" s="1">
        <f>D220-87-905.23378-877.74274</f>
        <v>1956.19148</v>
      </c>
      <c r="G220" s="1">
        <f>760.32+G221+950-1000-40.079+107.178-670.241</f>
        <v>245.87099999999998</v>
      </c>
      <c r="H220" s="1">
        <v>138.69289</v>
      </c>
      <c r="I220" s="147" t="s">
        <v>247</v>
      </c>
    </row>
    <row r="221" spans="1:9" ht="37.5">
      <c r="A221" s="152"/>
      <c r="B221" s="136"/>
      <c r="C221" s="39" t="s">
        <v>292</v>
      </c>
      <c r="D221" s="1"/>
      <c r="E221" s="2"/>
      <c r="F221" s="1"/>
      <c r="G221" s="1">
        <f>245.871-107.178</f>
        <v>138.693</v>
      </c>
      <c r="H221" s="1">
        <v>138.69289</v>
      </c>
      <c r="I221" s="147"/>
    </row>
    <row r="222" spans="1:9" ht="99.75" customHeight="1">
      <c r="A222" s="152" t="s">
        <v>294</v>
      </c>
      <c r="B222" s="136" t="s">
        <v>291</v>
      </c>
      <c r="C222" s="39" t="s">
        <v>464</v>
      </c>
      <c r="D222" s="1">
        <v>2321.421</v>
      </c>
      <c r="E222" s="2">
        <f>100-(F222/D222)*100</f>
        <v>46.997348175966344</v>
      </c>
      <c r="F222" s="1">
        <f>D222-6.59545-1084.41086</f>
        <v>1230.41469</v>
      </c>
      <c r="G222" s="1">
        <f>1069.467+G223</f>
        <v>1230.4150000000002</v>
      </c>
      <c r="H222" s="1">
        <v>421.85645</v>
      </c>
      <c r="I222" s="79" t="s">
        <v>185</v>
      </c>
    </row>
    <row r="223" spans="1:9" ht="62.25" customHeight="1">
      <c r="A223" s="152"/>
      <c r="B223" s="136"/>
      <c r="C223" s="39" t="s">
        <v>292</v>
      </c>
      <c r="D223" s="1"/>
      <c r="E223" s="2"/>
      <c r="F223" s="1"/>
      <c r="G223" s="1">
        <v>160.948</v>
      </c>
      <c r="H223" s="1">
        <v>160.94716</v>
      </c>
      <c r="I223" s="79" t="s">
        <v>186</v>
      </c>
    </row>
    <row r="224" spans="1:9" ht="85.5" customHeight="1">
      <c r="A224" s="95" t="s">
        <v>294</v>
      </c>
      <c r="B224" s="102" t="s">
        <v>291</v>
      </c>
      <c r="C224" s="39" t="s">
        <v>465</v>
      </c>
      <c r="D224" s="1">
        <v>3068.143</v>
      </c>
      <c r="E224" s="2">
        <f>100-(F224/D224)*100</f>
        <v>0.04034525118288457</v>
      </c>
      <c r="F224" s="1">
        <f>D224-1.23785</f>
        <v>3066.90515</v>
      </c>
      <c r="G224" s="1">
        <f>1155.777+535.015-1500</f>
        <v>190.79199999999992</v>
      </c>
      <c r="H224" s="1">
        <v>0</v>
      </c>
      <c r="I224" s="46" t="s">
        <v>87</v>
      </c>
    </row>
    <row r="225" spans="1:9" ht="88.5" customHeight="1">
      <c r="A225" s="95" t="s">
        <v>294</v>
      </c>
      <c r="B225" s="102" t="s">
        <v>291</v>
      </c>
      <c r="C225" s="39" t="s">
        <v>466</v>
      </c>
      <c r="D225" s="1">
        <v>164.449</v>
      </c>
      <c r="E225" s="2">
        <v>0</v>
      </c>
      <c r="F225" s="1">
        <v>164.449</v>
      </c>
      <c r="G225" s="1">
        <v>164.449</v>
      </c>
      <c r="H225" s="1">
        <v>0</v>
      </c>
      <c r="I225" s="46" t="s">
        <v>87</v>
      </c>
    </row>
    <row r="226" spans="1:9" ht="56.25">
      <c r="A226" s="137" t="s">
        <v>294</v>
      </c>
      <c r="B226" s="136" t="s">
        <v>291</v>
      </c>
      <c r="C226" s="39" t="s">
        <v>467</v>
      </c>
      <c r="D226" s="1">
        <v>560</v>
      </c>
      <c r="E226" s="2">
        <f>100-(F226/D226)*100</f>
        <v>0</v>
      </c>
      <c r="F226" s="1">
        <f>D226</f>
        <v>560</v>
      </c>
      <c r="G226" s="1">
        <f>400+G227-398.269</f>
        <v>26.480000000000018</v>
      </c>
      <c r="H226" s="1">
        <v>26.47884</v>
      </c>
      <c r="I226" s="135" t="s">
        <v>187</v>
      </c>
    </row>
    <row r="227" spans="1:9" ht="37.5">
      <c r="A227" s="137"/>
      <c r="B227" s="136"/>
      <c r="C227" s="39" t="s">
        <v>292</v>
      </c>
      <c r="D227" s="1"/>
      <c r="E227" s="2"/>
      <c r="F227" s="1"/>
      <c r="G227" s="1">
        <v>24.749</v>
      </c>
      <c r="H227" s="1">
        <v>24.74861</v>
      </c>
      <c r="I227" s="135"/>
    </row>
    <row r="228" spans="1:9" ht="42" customHeight="1">
      <c r="A228" s="95" t="s">
        <v>294</v>
      </c>
      <c r="B228" s="102" t="s">
        <v>291</v>
      </c>
      <c r="C228" s="39" t="s">
        <v>468</v>
      </c>
      <c r="D228" s="1">
        <v>2000</v>
      </c>
      <c r="E228" s="2">
        <v>0</v>
      </c>
      <c r="F228" s="1">
        <f>SUM(D228)</f>
        <v>2000</v>
      </c>
      <c r="G228" s="1">
        <v>85</v>
      </c>
      <c r="H228" s="1">
        <v>70.81668</v>
      </c>
      <c r="I228" s="46" t="s">
        <v>221</v>
      </c>
    </row>
    <row r="229" spans="1:9" ht="75">
      <c r="A229" s="137" t="s">
        <v>294</v>
      </c>
      <c r="B229" s="136" t="s">
        <v>291</v>
      </c>
      <c r="C229" s="39" t="s">
        <v>469</v>
      </c>
      <c r="D229" s="1">
        <v>52.655</v>
      </c>
      <c r="E229" s="2">
        <v>0</v>
      </c>
      <c r="F229" s="1">
        <v>52.655</v>
      </c>
      <c r="G229" s="1">
        <f>11.776+G230</f>
        <v>52.655</v>
      </c>
      <c r="H229" s="1">
        <v>49.87848</v>
      </c>
      <c r="I229" s="135" t="s">
        <v>187</v>
      </c>
    </row>
    <row r="230" spans="1:9" ht="37.5">
      <c r="A230" s="137"/>
      <c r="B230" s="136"/>
      <c r="C230" s="39" t="s">
        <v>292</v>
      </c>
      <c r="D230" s="1"/>
      <c r="E230" s="2"/>
      <c r="F230" s="1"/>
      <c r="G230" s="1">
        <v>40.879</v>
      </c>
      <c r="H230" s="1">
        <v>40.879</v>
      </c>
      <c r="I230" s="135"/>
    </row>
    <row r="231" spans="1:9" ht="103.5" customHeight="1">
      <c r="A231" s="137" t="s">
        <v>294</v>
      </c>
      <c r="B231" s="136" t="s">
        <v>291</v>
      </c>
      <c r="C231" s="8" t="s">
        <v>248</v>
      </c>
      <c r="D231" s="1">
        <v>800</v>
      </c>
      <c r="E231" s="2">
        <f>100-(F231/D231)*100</f>
        <v>0</v>
      </c>
      <c r="F231" s="1">
        <f>SUM(D231)</f>
        <v>800</v>
      </c>
      <c r="G231" s="1">
        <f>428.715+G232-283.759</f>
        <v>216.24099999999999</v>
      </c>
      <c r="H231" s="1">
        <v>71.2848</v>
      </c>
      <c r="I231" s="147" t="s">
        <v>249</v>
      </c>
    </row>
    <row r="232" spans="1:9" ht="37.5">
      <c r="A232" s="137"/>
      <c r="B232" s="136"/>
      <c r="C232" s="39" t="s">
        <v>292</v>
      </c>
      <c r="D232" s="1"/>
      <c r="E232" s="2"/>
      <c r="F232" s="1"/>
      <c r="G232" s="1">
        <v>71.285</v>
      </c>
      <c r="H232" s="1">
        <v>71.2848</v>
      </c>
      <c r="I232" s="147"/>
    </row>
    <row r="233" spans="1:9" ht="75">
      <c r="A233" s="96">
        <v>150101</v>
      </c>
      <c r="B233" s="102" t="s">
        <v>291</v>
      </c>
      <c r="C233" s="39" t="s">
        <v>470</v>
      </c>
      <c r="D233" s="1">
        <v>975.5</v>
      </c>
      <c r="E233" s="2">
        <v>0</v>
      </c>
      <c r="F233" s="1">
        <v>975.5</v>
      </c>
      <c r="G233" s="1">
        <v>975.5</v>
      </c>
      <c r="H233" s="1">
        <v>0</v>
      </c>
      <c r="I233" s="46" t="s">
        <v>87</v>
      </c>
    </row>
    <row r="234" spans="1:9" ht="56.25">
      <c r="A234" s="152">
        <v>150101</v>
      </c>
      <c r="B234" s="136" t="s">
        <v>291</v>
      </c>
      <c r="C234" s="39" t="s">
        <v>471</v>
      </c>
      <c r="D234" s="1">
        <v>43.459</v>
      </c>
      <c r="E234" s="2">
        <f>100-(F234/D234)*100</f>
        <v>0</v>
      </c>
      <c r="F234" s="1">
        <f>SUM(D234)</f>
        <v>43.459</v>
      </c>
      <c r="G234" s="1">
        <v>43.459</v>
      </c>
      <c r="H234" s="1">
        <v>5.91765</v>
      </c>
      <c r="I234" s="147" t="s">
        <v>188</v>
      </c>
    </row>
    <row r="235" spans="1:9" ht="37.5">
      <c r="A235" s="152"/>
      <c r="B235" s="136"/>
      <c r="C235" s="39" t="s">
        <v>292</v>
      </c>
      <c r="D235" s="1"/>
      <c r="E235" s="2"/>
      <c r="F235" s="1"/>
      <c r="G235" s="1">
        <v>5.918</v>
      </c>
      <c r="H235" s="1">
        <v>5.91765</v>
      </c>
      <c r="I235" s="147"/>
    </row>
    <row r="236" spans="1:9" ht="56.25">
      <c r="A236" s="96">
        <v>150101</v>
      </c>
      <c r="B236" s="102" t="s">
        <v>291</v>
      </c>
      <c r="C236" s="39" t="s">
        <v>472</v>
      </c>
      <c r="D236" s="1">
        <v>119.099</v>
      </c>
      <c r="E236" s="2">
        <f aca="true" t="shared" si="4" ref="E236:E241">100-(F236/D236)*100</f>
        <v>0</v>
      </c>
      <c r="F236" s="1">
        <f aca="true" t="shared" si="5" ref="F236:F241">SUM(D236)</f>
        <v>119.099</v>
      </c>
      <c r="G236" s="1">
        <v>119.099</v>
      </c>
      <c r="H236" s="1">
        <v>17</v>
      </c>
      <c r="I236" s="81" t="s">
        <v>250</v>
      </c>
    </row>
    <row r="237" spans="1:9" ht="56.25">
      <c r="A237" s="96">
        <v>150101</v>
      </c>
      <c r="B237" s="102" t="s">
        <v>291</v>
      </c>
      <c r="C237" s="39" t="s">
        <v>473</v>
      </c>
      <c r="D237" s="1">
        <v>40.035</v>
      </c>
      <c r="E237" s="2">
        <f t="shared" si="4"/>
        <v>0</v>
      </c>
      <c r="F237" s="1">
        <f t="shared" si="5"/>
        <v>40.035</v>
      </c>
      <c r="G237" s="1">
        <v>40.035</v>
      </c>
      <c r="H237" s="1">
        <v>0</v>
      </c>
      <c r="I237" s="46" t="s">
        <v>87</v>
      </c>
    </row>
    <row r="238" spans="1:9" ht="56.25">
      <c r="A238" s="96">
        <v>150101</v>
      </c>
      <c r="B238" s="102" t="s">
        <v>291</v>
      </c>
      <c r="C238" s="39" t="s">
        <v>474</v>
      </c>
      <c r="D238" s="1">
        <v>33.791</v>
      </c>
      <c r="E238" s="2">
        <f t="shared" si="4"/>
        <v>0</v>
      </c>
      <c r="F238" s="1">
        <f t="shared" si="5"/>
        <v>33.791</v>
      </c>
      <c r="G238" s="1">
        <v>33.791</v>
      </c>
      <c r="H238" s="1">
        <v>0</v>
      </c>
      <c r="I238" s="46" t="s">
        <v>87</v>
      </c>
    </row>
    <row r="239" spans="1:9" ht="56.25">
      <c r="A239" s="96">
        <v>150101</v>
      </c>
      <c r="B239" s="102" t="s">
        <v>291</v>
      </c>
      <c r="C239" s="39" t="s">
        <v>475</v>
      </c>
      <c r="D239" s="1">
        <v>255.769</v>
      </c>
      <c r="E239" s="2">
        <f t="shared" si="4"/>
        <v>0</v>
      </c>
      <c r="F239" s="1">
        <f t="shared" si="5"/>
        <v>255.769</v>
      </c>
      <c r="G239" s="1">
        <v>255.769</v>
      </c>
      <c r="H239" s="1">
        <v>0</v>
      </c>
      <c r="I239" s="46" t="s">
        <v>87</v>
      </c>
    </row>
    <row r="240" spans="1:9" ht="37.5">
      <c r="A240" s="96">
        <v>150101</v>
      </c>
      <c r="B240" s="102" t="s">
        <v>291</v>
      </c>
      <c r="C240" s="39" t="s">
        <v>476</v>
      </c>
      <c r="D240" s="1">
        <v>68.651</v>
      </c>
      <c r="E240" s="2">
        <f t="shared" si="4"/>
        <v>0</v>
      </c>
      <c r="F240" s="1">
        <f t="shared" si="5"/>
        <v>68.651</v>
      </c>
      <c r="G240" s="1">
        <v>68.651</v>
      </c>
      <c r="H240" s="1">
        <v>0</v>
      </c>
      <c r="I240" s="46" t="s">
        <v>87</v>
      </c>
    </row>
    <row r="241" spans="1:9" ht="56.25">
      <c r="A241" s="96">
        <v>150101</v>
      </c>
      <c r="B241" s="102" t="s">
        <v>291</v>
      </c>
      <c r="C241" s="39" t="s">
        <v>477</v>
      </c>
      <c r="D241" s="1">
        <v>658.952</v>
      </c>
      <c r="E241" s="2">
        <f t="shared" si="4"/>
        <v>0</v>
      </c>
      <c r="F241" s="1">
        <f t="shared" si="5"/>
        <v>658.952</v>
      </c>
      <c r="G241" s="1">
        <v>658.952</v>
      </c>
      <c r="H241" s="1">
        <v>0</v>
      </c>
      <c r="I241" s="46" t="s">
        <v>87</v>
      </c>
    </row>
    <row r="242" spans="1:9" ht="59.25" customHeight="1">
      <c r="A242" s="96">
        <v>150101</v>
      </c>
      <c r="B242" s="102" t="s">
        <v>291</v>
      </c>
      <c r="C242" s="39" t="s">
        <v>478</v>
      </c>
      <c r="D242" s="1">
        <v>130.106</v>
      </c>
      <c r="E242" s="2">
        <f>100-(F242/D242)*100</f>
        <v>6.559297803329599</v>
      </c>
      <c r="F242" s="1">
        <f>SUM(D242-8.53404)</f>
        <v>121.57195999999999</v>
      </c>
      <c r="G242" s="1">
        <v>116.253</v>
      </c>
      <c r="H242" s="1">
        <v>116.25283</v>
      </c>
      <c r="I242" s="79" t="s">
        <v>189</v>
      </c>
    </row>
    <row r="243" spans="1:9" ht="75">
      <c r="A243" s="96">
        <v>150101</v>
      </c>
      <c r="B243" s="102" t="s">
        <v>291</v>
      </c>
      <c r="C243" s="39" t="s">
        <v>479</v>
      </c>
      <c r="D243" s="1">
        <v>214.529</v>
      </c>
      <c r="E243" s="2">
        <f>100-(F243/D243)*100</f>
        <v>6.812906413585111</v>
      </c>
      <c r="F243" s="1">
        <f>SUM(D243-14.61566)</f>
        <v>199.91334</v>
      </c>
      <c r="G243" s="1">
        <v>180.954</v>
      </c>
      <c r="H243" s="1">
        <v>180.95336</v>
      </c>
      <c r="I243" s="79" t="s">
        <v>190</v>
      </c>
    </row>
    <row r="244" spans="1:9" ht="56.25" customHeight="1">
      <c r="A244" s="152">
        <v>150101</v>
      </c>
      <c r="B244" s="136" t="s">
        <v>291</v>
      </c>
      <c r="C244" s="39" t="s">
        <v>480</v>
      </c>
      <c r="D244" s="1">
        <v>47.312</v>
      </c>
      <c r="E244" s="2">
        <f>100-(F244/D244)*100</f>
        <v>11.689042948934741</v>
      </c>
      <c r="F244" s="1">
        <f>SUM(D244-5.53032)</f>
        <v>41.781679999999994</v>
      </c>
      <c r="G244" s="1">
        <f>40.59+0.653</f>
        <v>41.243</v>
      </c>
      <c r="H244" s="1">
        <v>40.58958</v>
      </c>
      <c r="I244" s="147" t="s">
        <v>191</v>
      </c>
    </row>
    <row r="245" spans="1:9" ht="37.5">
      <c r="A245" s="152"/>
      <c r="B245" s="136"/>
      <c r="C245" s="39" t="s">
        <v>292</v>
      </c>
      <c r="D245" s="1"/>
      <c r="E245" s="2"/>
      <c r="F245" s="1"/>
      <c r="G245" s="1">
        <v>40.59</v>
      </c>
      <c r="H245" s="1">
        <v>40.58958</v>
      </c>
      <c r="I245" s="147"/>
    </row>
    <row r="246" spans="1:9" ht="56.25" customHeight="1">
      <c r="A246" s="152">
        <v>150101</v>
      </c>
      <c r="B246" s="136" t="s">
        <v>291</v>
      </c>
      <c r="C246" s="39" t="s">
        <v>481</v>
      </c>
      <c r="D246" s="1">
        <v>88.917</v>
      </c>
      <c r="E246" s="2">
        <f>100-(F246/D246)*100</f>
        <v>8.763667240235279</v>
      </c>
      <c r="F246" s="1">
        <f>SUM(D246-7.79239)</f>
        <v>81.12461</v>
      </c>
      <c r="G246" s="1">
        <f>76.841+1.243</f>
        <v>78.08399999999999</v>
      </c>
      <c r="H246" s="1">
        <v>76.84085</v>
      </c>
      <c r="I246" s="147" t="s">
        <v>192</v>
      </c>
    </row>
    <row r="247" spans="1:9" ht="37.5">
      <c r="A247" s="152"/>
      <c r="B247" s="136"/>
      <c r="C247" s="39" t="s">
        <v>292</v>
      </c>
      <c r="D247" s="1"/>
      <c r="E247" s="2"/>
      <c r="F247" s="1"/>
      <c r="G247" s="1">
        <v>76.841</v>
      </c>
      <c r="H247" s="1">
        <v>76.84085</v>
      </c>
      <c r="I247" s="147"/>
    </row>
    <row r="248" spans="1:9" ht="75">
      <c r="A248" s="96">
        <v>150101</v>
      </c>
      <c r="B248" s="102" t="s">
        <v>291</v>
      </c>
      <c r="C248" s="39" t="s">
        <v>482</v>
      </c>
      <c r="D248" s="1">
        <v>167.602</v>
      </c>
      <c r="E248" s="2">
        <f>100-(F248/D248)*100</f>
        <v>0</v>
      </c>
      <c r="F248" s="1">
        <f>SUM(D248)</f>
        <v>167.602</v>
      </c>
      <c r="G248" s="1">
        <v>161.245</v>
      </c>
      <c r="H248" s="1">
        <v>161.24456</v>
      </c>
      <c r="I248" s="79" t="s">
        <v>193</v>
      </c>
    </row>
    <row r="249" spans="1:9" ht="37.5">
      <c r="A249" s="96">
        <v>150101</v>
      </c>
      <c r="B249" s="102" t="s">
        <v>291</v>
      </c>
      <c r="C249" s="39" t="s">
        <v>483</v>
      </c>
      <c r="D249" s="1">
        <v>50.891</v>
      </c>
      <c r="E249" s="2">
        <f>100-(F249/D249)*100</f>
        <v>0</v>
      </c>
      <c r="F249" s="1">
        <f>SUM(D249)</f>
        <v>50.891</v>
      </c>
      <c r="G249" s="1">
        <v>50.891</v>
      </c>
      <c r="H249" s="1">
        <v>0</v>
      </c>
      <c r="I249" s="46" t="s">
        <v>87</v>
      </c>
    </row>
    <row r="250" spans="1:9" ht="56.25">
      <c r="A250" s="152">
        <v>150101</v>
      </c>
      <c r="B250" s="136" t="s">
        <v>291</v>
      </c>
      <c r="C250" s="39" t="s">
        <v>484</v>
      </c>
      <c r="D250" s="1">
        <v>74.116</v>
      </c>
      <c r="E250" s="2">
        <f>100-(F250/D250)*100</f>
        <v>0</v>
      </c>
      <c r="F250" s="1">
        <f>SUM(D250)</f>
        <v>74.116</v>
      </c>
      <c r="G250" s="1">
        <v>74.116</v>
      </c>
      <c r="H250" s="1">
        <v>5.67823</v>
      </c>
      <c r="I250" s="147" t="s">
        <v>188</v>
      </c>
    </row>
    <row r="251" spans="1:9" ht="37.5">
      <c r="A251" s="152"/>
      <c r="B251" s="136"/>
      <c r="C251" s="39" t="s">
        <v>292</v>
      </c>
      <c r="D251" s="1"/>
      <c r="E251" s="2"/>
      <c r="F251" s="1"/>
      <c r="G251" s="1">
        <v>5.679</v>
      </c>
      <c r="H251" s="1">
        <v>5.67823</v>
      </c>
      <c r="I251" s="147"/>
    </row>
    <row r="252" spans="1:9" ht="56.25">
      <c r="A252" s="96">
        <v>150101</v>
      </c>
      <c r="B252" s="102" t="s">
        <v>291</v>
      </c>
      <c r="C252" s="39" t="s">
        <v>485</v>
      </c>
      <c r="D252" s="1">
        <v>488.2</v>
      </c>
      <c r="E252" s="2">
        <f>100-(F252/D252)*100</f>
        <v>0</v>
      </c>
      <c r="F252" s="1">
        <f>SUM(D252)</f>
        <v>488.2</v>
      </c>
      <c r="G252" s="1">
        <v>488.2</v>
      </c>
      <c r="H252" s="1">
        <v>155.3721</v>
      </c>
      <c r="I252" s="81" t="s">
        <v>251</v>
      </c>
    </row>
    <row r="253" spans="1:9" ht="48" customHeight="1">
      <c r="A253" s="152">
        <v>150101</v>
      </c>
      <c r="B253" s="136" t="s">
        <v>291</v>
      </c>
      <c r="C253" s="39" t="s">
        <v>486</v>
      </c>
      <c r="D253" s="1">
        <v>159.508</v>
      </c>
      <c r="E253" s="2">
        <f>100-(F253/D253)*100</f>
        <v>0</v>
      </c>
      <c r="F253" s="1">
        <f>SUM(D253)</f>
        <v>159.508</v>
      </c>
      <c r="G253" s="1">
        <f>156.014+2.37</f>
        <v>158.38400000000001</v>
      </c>
      <c r="H253" s="1">
        <v>156.01356</v>
      </c>
      <c r="I253" s="147" t="s">
        <v>252</v>
      </c>
    </row>
    <row r="254" spans="1:9" ht="37.5">
      <c r="A254" s="152"/>
      <c r="B254" s="136"/>
      <c r="C254" s="39" t="s">
        <v>292</v>
      </c>
      <c r="D254" s="1"/>
      <c r="E254" s="2"/>
      <c r="F254" s="1"/>
      <c r="G254" s="1">
        <v>156.014</v>
      </c>
      <c r="H254" s="1">
        <v>156.01356</v>
      </c>
      <c r="I254" s="147"/>
    </row>
    <row r="255" spans="1:9" ht="64.5" customHeight="1">
      <c r="A255" s="152">
        <v>150101</v>
      </c>
      <c r="B255" s="136" t="s">
        <v>291</v>
      </c>
      <c r="C255" s="39" t="s">
        <v>487</v>
      </c>
      <c r="D255" s="1">
        <v>176.096</v>
      </c>
      <c r="E255" s="2">
        <f>100-(F255/D255)*100</f>
        <v>94.06358463565329</v>
      </c>
      <c r="F255" s="1">
        <f>SUM(D255-165.64221)</f>
        <v>10.453789999999998</v>
      </c>
      <c r="G255" s="1">
        <f>0.852+2.477</f>
        <v>3.3289999999999997</v>
      </c>
      <c r="H255" s="1">
        <v>0.852</v>
      </c>
      <c r="I255" s="147" t="s">
        <v>253</v>
      </c>
    </row>
    <row r="256" spans="1:9" ht="37.5">
      <c r="A256" s="152"/>
      <c r="B256" s="136"/>
      <c r="C256" s="39" t="s">
        <v>292</v>
      </c>
      <c r="D256" s="1"/>
      <c r="E256" s="2"/>
      <c r="F256" s="1"/>
      <c r="G256" s="1">
        <v>0.852</v>
      </c>
      <c r="H256" s="1">
        <v>0.852</v>
      </c>
      <c r="I256" s="147"/>
    </row>
    <row r="257" spans="1:9" ht="56.25">
      <c r="A257" s="96">
        <v>150101</v>
      </c>
      <c r="B257" s="102" t="s">
        <v>291</v>
      </c>
      <c r="C257" s="39" t="s">
        <v>488</v>
      </c>
      <c r="D257" s="1">
        <v>96.1</v>
      </c>
      <c r="E257" s="2">
        <f>100-(F257/D257)*100</f>
        <v>0</v>
      </c>
      <c r="F257" s="1">
        <f>SUM(D257)</f>
        <v>96.1</v>
      </c>
      <c r="G257" s="1">
        <f>96.1</f>
        <v>96.1</v>
      </c>
      <c r="H257" s="1">
        <v>0</v>
      </c>
      <c r="I257" s="46" t="s">
        <v>87</v>
      </c>
    </row>
    <row r="258" spans="1:9" ht="37.5">
      <c r="A258" s="96">
        <v>150101</v>
      </c>
      <c r="B258" s="102" t="s">
        <v>291</v>
      </c>
      <c r="C258" s="39" t="s">
        <v>489</v>
      </c>
      <c r="D258" s="1">
        <v>94.954</v>
      </c>
      <c r="E258" s="2">
        <f>100-(F258/D258)*100</f>
        <v>0</v>
      </c>
      <c r="F258" s="1">
        <f>SUM(D258)</f>
        <v>94.954</v>
      </c>
      <c r="G258" s="1">
        <f>94.954</f>
        <v>94.954</v>
      </c>
      <c r="H258" s="1">
        <v>0</v>
      </c>
      <c r="I258" s="46" t="s">
        <v>87</v>
      </c>
    </row>
    <row r="259" spans="1:9" ht="56.25">
      <c r="A259" s="96">
        <v>150101</v>
      </c>
      <c r="B259" s="102" t="s">
        <v>291</v>
      </c>
      <c r="C259" s="39" t="s">
        <v>490</v>
      </c>
      <c r="D259" s="1">
        <v>118.223</v>
      </c>
      <c r="E259" s="2">
        <f>100-(F259/D259)*100</f>
        <v>0</v>
      </c>
      <c r="F259" s="1">
        <f>SUM(D259)</f>
        <v>118.223</v>
      </c>
      <c r="G259" s="1">
        <v>118.223</v>
      </c>
      <c r="H259" s="1">
        <v>26.74003</v>
      </c>
      <c r="I259" s="81" t="s">
        <v>254</v>
      </c>
    </row>
    <row r="260" spans="1:9" ht="37.5">
      <c r="A260" s="96">
        <v>150101</v>
      </c>
      <c r="B260" s="102" t="s">
        <v>291</v>
      </c>
      <c r="C260" s="39" t="s">
        <v>491</v>
      </c>
      <c r="D260" s="1">
        <v>87.664</v>
      </c>
      <c r="E260" s="2">
        <f>100-(F260/D260)*100</f>
        <v>0</v>
      </c>
      <c r="F260" s="1">
        <f>SUM(D260)</f>
        <v>87.664</v>
      </c>
      <c r="G260" s="1">
        <f>87.664</f>
        <v>87.664</v>
      </c>
      <c r="H260" s="1">
        <v>0</v>
      </c>
      <c r="I260" s="46" t="s">
        <v>87</v>
      </c>
    </row>
    <row r="261" spans="1:9" ht="56.25">
      <c r="A261" s="152">
        <v>150101</v>
      </c>
      <c r="B261" s="136" t="s">
        <v>291</v>
      </c>
      <c r="C261" s="39" t="s">
        <v>492</v>
      </c>
      <c r="D261" s="1">
        <v>394.561</v>
      </c>
      <c r="E261" s="2">
        <f>100-(F261/D261)*100</f>
        <v>2.382229870666393</v>
      </c>
      <c r="F261" s="1">
        <f>SUM(D261-9.39935)</f>
        <v>385.16164999999995</v>
      </c>
      <c r="G261" s="1">
        <v>385.162</v>
      </c>
      <c r="H261" s="1">
        <v>65.261</v>
      </c>
      <c r="I261" s="81" t="s">
        <v>255</v>
      </c>
    </row>
    <row r="262" spans="1:9" ht="43.5" customHeight="1">
      <c r="A262" s="152"/>
      <c r="B262" s="136"/>
      <c r="C262" s="39" t="s">
        <v>292</v>
      </c>
      <c r="D262" s="1"/>
      <c r="E262" s="2"/>
      <c r="F262" s="1"/>
      <c r="G262" s="1">
        <v>1.746</v>
      </c>
      <c r="H262" s="1">
        <v>1.746</v>
      </c>
      <c r="I262" s="79" t="s">
        <v>194</v>
      </c>
    </row>
    <row r="263" spans="1:9" ht="77.25" customHeight="1">
      <c r="A263" s="152">
        <v>150101</v>
      </c>
      <c r="B263" s="136" t="s">
        <v>291</v>
      </c>
      <c r="C263" s="39" t="s">
        <v>493</v>
      </c>
      <c r="D263" s="1">
        <v>469.135</v>
      </c>
      <c r="E263" s="2">
        <f>100-(F263/D263)*100</f>
        <v>0</v>
      </c>
      <c r="F263" s="1">
        <f>SUM(D263)</f>
        <v>469.135</v>
      </c>
      <c r="G263" s="1">
        <v>469.135</v>
      </c>
      <c r="H263" s="1">
        <v>156.90911</v>
      </c>
      <c r="I263" s="81" t="s">
        <v>256</v>
      </c>
    </row>
    <row r="264" spans="1:9" ht="77.25" customHeight="1">
      <c r="A264" s="152"/>
      <c r="B264" s="136"/>
      <c r="C264" s="39" t="s">
        <v>292</v>
      </c>
      <c r="D264" s="1"/>
      <c r="E264" s="2"/>
      <c r="F264" s="1"/>
      <c r="G264" s="1">
        <v>16.39</v>
      </c>
      <c r="H264" s="1">
        <v>16.38915</v>
      </c>
      <c r="I264" s="79" t="s">
        <v>195</v>
      </c>
    </row>
    <row r="265" spans="1:9" ht="37.5">
      <c r="A265" s="152">
        <v>150101</v>
      </c>
      <c r="B265" s="136" t="s">
        <v>291</v>
      </c>
      <c r="C265" s="39" t="s">
        <v>494</v>
      </c>
      <c r="D265" s="1">
        <v>53.803</v>
      </c>
      <c r="E265" s="2">
        <f>100-(F265/D265)*100</f>
        <v>8.473021950448853</v>
      </c>
      <c r="F265" s="1">
        <f>SUM(D265-4.55874)</f>
        <v>49.24426</v>
      </c>
      <c r="G265" s="1">
        <f>49.244</f>
        <v>49.244</v>
      </c>
      <c r="H265" s="1">
        <v>1.746</v>
      </c>
      <c r="I265" s="147" t="s">
        <v>194</v>
      </c>
    </row>
    <row r="266" spans="1:9" ht="37.5">
      <c r="A266" s="152"/>
      <c r="B266" s="136"/>
      <c r="C266" s="39" t="s">
        <v>292</v>
      </c>
      <c r="D266" s="1"/>
      <c r="E266" s="2"/>
      <c r="F266" s="1"/>
      <c r="G266" s="1">
        <v>1.746</v>
      </c>
      <c r="H266" s="1">
        <v>1.746</v>
      </c>
      <c r="I266" s="147"/>
    </row>
    <row r="267" spans="1:9" ht="56.25">
      <c r="A267" s="152">
        <v>150101</v>
      </c>
      <c r="B267" s="136" t="s">
        <v>291</v>
      </c>
      <c r="C267" s="39" t="s">
        <v>495</v>
      </c>
      <c r="D267" s="1">
        <v>194.639</v>
      </c>
      <c r="E267" s="2">
        <f>100-(F267/D267)*100</f>
        <v>0</v>
      </c>
      <c r="F267" s="1">
        <f>SUM(D267)</f>
        <v>194.639</v>
      </c>
      <c r="G267" s="1">
        <v>194.639</v>
      </c>
      <c r="H267" s="1">
        <v>38.97183</v>
      </c>
      <c r="I267" s="81" t="s">
        <v>257</v>
      </c>
    </row>
    <row r="268" spans="1:9" ht="81.75" customHeight="1">
      <c r="A268" s="152"/>
      <c r="B268" s="136"/>
      <c r="C268" s="39" t="s">
        <v>292</v>
      </c>
      <c r="D268" s="1"/>
      <c r="E268" s="2"/>
      <c r="F268" s="1"/>
      <c r="G268" s="1">
        <v>6.226</v>
      </c>
      <c r="H268" s="1">
        <v>6.22583</v>
      </c>
      <c r="I268" s="79" t="s">
        <v>195</v>
      </c>
    </row>
    <row r="269" spans="1:9" ht="37.5">
      <c r="A269" s="96">
        <v>150101</v>
      </c>
      <c r="B269" s="102" t="s">
        <v>291</v>
      </c>
      <c r="C269" s="39" t="s">
        <v>496</v>
      </c>
      <c r="D269" s="1">
        <v>72.089</v>
      </c>
      <c r="E269" s="2">
        <f>100-(F269/D269)*100</f>
        <v>0</v>
      </c>
      <c r="F269" s="1">
        <f>SUM(D269)</f>
        <v>72.089</v>
      </c>
      <c r="G269" s="1">
        <f>72.089</f>
        <v>72.089</v>
      </c>
      <c r="H269" s="1">
        <v>0</v>
      </c>
      <c r="I269" s="46" t="s">
        <v>87</v>
      </c>
    </row>
    <row r="270" spans="1:9" ht="68.25" customHeight="1">
      <c r="A270" s="152">
        <v>150101</v>
      </c>
      <c r="B270" s="136" t="s">
        <v>291</v>
      </c>
      <c r="C270" s="39" t="s">
        <v>497</v>
      </c>
      <c r="D270" s="1">
        <v>140.302</v>
      </c>
      <c r="E270" s="2">
        <f>100-(F270/D270)*100</f>
        <v>3.809567932032337</v>
      </c>
      <c r="F270" s="1">
        <f>SUM(D270-5.3449)</f>
        <v>134.9571</v>
      </c>
      <c r="G270" s="1">
        <v>134.912</v>
      </c>
      <c r="H270" s="1">
        <v>21.892</v>
      </c>
      <c r="I270" s="81" t="s">
        <v>258</v>
      </c>
    </row>
    <row r="271" spans="1:9" ht="93.75">
      <c r="A271" s="152"/>
      <c r="B271" s="136"/>
      <c r="C271" s="39" t="s">
        <v>292</v>
      </c>
      <c r="D271" s="1"/>
      <c r="E271" s="2"/>
      <c r="F271" s="1"/>
      <c r="G271" s="1">
        <v>1.746</v>
      </c>
      <c r="H271" s="1">
        <v>1.746</v>
      </c>
      <c r="I271" s="79" t="s">
        <v>195</v>
      </c>
    </row>
    <row r="272" spans="1:9" ht="37.5">
      <c r="A272" s="96">
        <v>150101</v>
      </c>
      <c r="B272" s="102" t="s">
        <v>291</v>
      </c>
      <c r="C272" s="39" t="s">
        <v>498</v>
      </c>
      <c r="D272" s="1">
        <v>31.35</v>
      </c>
      <c r="E272" s="2">
        <f>100-(F272/D272)*100</f>
        <v>0</v>
      </c>
      <c r="F272" s="1">
        <f>SUM(D272)</f>
        <v>31.35</v>
      </c>
      <c r="G272" s="1">
        <f>31.35</f>
        <v>31.35</v>
      </c>
      <c r="H272" s="1">
        <v>0</v>
      </c>
      <c r="I272" s="46" t="s">
        <v>87</v>
      </c>
    </row>
    <row r="273" spans="1:9" ht="56.25">
      <c r="A273" s="96">
        <v>150101</v>
      </c>
      <c r="B273" s="102" t="s">
        <v>291</v>
      </c>
      <c r="C273" s="9" t="s">
        <v>499</v>
      </c>
      <c r="D273" s="1">
        <v>10</v>
      </c>
      <c r="E273" s="2">
        <f>100-(F273/D273)*100</f>
        <v>0</v>
      </c>
      <c r="F273" s="1">
        <v>10</v>
      </c>
      <c r="G273" s="1">
        <v>10</v>
      </c>
      <c r="H273" s="1">
        <v>0</v>
      </c>
      <c r="I273" s="46" t="s">
        <v>87</v>
      </c>
    </row>
    <row r="274" spans="1:9" ht="60" customHeight="1">
      <c r="A274" s="137" t="s">
        <v>294</v>
      </c>
      <c r="B274" s="136" t="s">
        <v>291</v>
      </c>
      <c r="C274" s="39" t="s">
        <v>500</v>
      </c>
      <c r="D274" s="1">
        <v>3167.064</v>
      </c>
      <c r="E274" s="2">
        <f>100-(F274/D274)*100</f>
        <v>0</v>
      </c>
      <c r="F274" s="1">
        <f>SUM(D274)</f>
        <v>3167.064</v>
      </c>
      <c r="G274" s="1">
        <f>500+G275</f>
        <v>683.802</v>
      </c>
      <c r="H274" s="1">
        <v>536.84926</v>
      </c>
      <c r="I274" s="46" t="s">
        <v>172</v>
      </c>
    </row>
    <row r="275" spans="1:9" ht="37.5">
      <c r="A275" s="137"/>
      <c r="B275" s="136"/>
      <c r="C275" s="39" t="s">
        <v>292</v>
      </c>
      <c r="D275" s="1"/>
      <c r="E275" s="2"/>
      <c r="F275" s="1"/>
      <c r="G275" s="1">
        <v>183.802</v>
      </c>
      <c r="H275" s="1">
        <v>183.8016</v>
      </c>
      <c r="I275" s="79" t="s">
        <v>196</v>
      </c>
    </row>
    <row r="276" spans="1:9" ht="62.25" customHeight="1">
      <c r="A276" s="152">
        <v>150101</v>
      </c>
      <c r="B276" s="136" t="s">
        <v>291</v>
      </c>
      <c r="C276" s="39" t="s">
        <v>501</v>
      </c>
      <c r="D276" s="1">
        <v>911.047</v>
      </c>
      <c r="E276" s="2">
        <f>100-(F276/D276)*100</f>
        <v>0</v>
      </c>
      <c r="F276" s="1">
        <f>SUM(D276)</f>
        <v>911.047</v>
      </c>
      <c r="G276" s="1">
        <v>166.719</v>
      </c>
      <c r="H276" s="1">
        <v>23.16537</v>
      </c>
      <c r="I276" s="147" t="s">
        <v>195</v>
      </c>
    </row>
    <row r="277" spans="1:9" ht="37.5">
      <c r="A277" s="152"/>
      <c r="B277" s="136"/>
      <c r="C277" s="39" t="s">
        <v>292</v>
      </c>
      <c r="D277" s="1"/>
      <c r="E277" s="2"/>
      <c r="F277" s="1"/>
      <c r="G277" s="1">
        <v>23.166</v>
      </c>
      <c r="H277" s="1">
        <v>23.16537</v>
      </c>
      <c r="I277" s="147"/>
    </row>
    <row r="278" spans="1:9" ht="63.75" customHeight="1">
      <c r="A278" s="152">
        <v>150101</v>
      </c>
      <c r="B278" s="136" t="s">
        <v>291</v>
      </c>
      <c r="C278" s="39" t="s">
        <v>502</v>
      </c>
      <c r="D278" s="1">
        <v>520.135</v>
      </c>
      <c r="E278" s="2">
        <f>100-(F278/D278)*100</f>
        <v>0</v>
      </c>
      <c r="F278" s="1">
        <f>SUM(D278)</f>
        <v>520.135</v>
      </c>
      <c r="G278" s="1">
        <f>520.135</f>
        <v>520.135</v>
      </c>
      <c r="H278" s="1">
        <v>20.55176</v>
      </c>
      <c r="I278" s="147" t="s">
        <v>195</v>
      </c>
    </row>
    <row r="279" spans="1:9" ht="37.5">
      <c r="A279" s="152"/>
      <c r="B279" s="136"/>
      <c r="C279" s="39" t="s">
        <v>292</v>
      </c>
      <c r="D279" s="1"/>
      <c r="E279" s="2"/>
      <c r="F279" s="1"/>
      <c r="G279" s="1">
        <v>20.552</v>
      </c>
      <c r="H279" s="1">
        <v>20.55176</v>
      </c>
      <c r="I279" s="147"/>
    </row>
    <row r="280" spans="1:9" ht="59.25" customHeight="1">
      <c r="A280" s="152">
        <v>150101</v>
      </c>
      <c r="B280" s="136" t="s">
        <v>291</v>
      </c>
      <c r="C280" s="39" t="s">
        <v>503</v>
      </c>
      <c r="D280" s="1">
        <v>36</v>
      </c>
      <c r="E280" s="2">
        <f>100-(F280/D280)*100</f>
        <v>0</v>
      </c>
      <c r="F280" s="1">
        <f>SUM(D280)</f>
        <v>36</v>
      </c>
      <c r="G280" s="1">
        <v>36</v>
      </c>
      <c r="H280" s="1">
        <v>7.40641</v>
      </c>
      <c r="I280" s="147" t="s">
        <v>197</v>
      </c>
    </row>
    <row r="281" spans="1:9" ht="40.5" customHeight="1">
      <c r="A281" s="152"/>
      <c r="B281" s="136"/>
      <c r="C281" s="39" t="s">
        <v>292</v>
      </c>
      <c r="D281" s="37"/>
      <c r="E281" s="10"/>
      <c r="F281" s="37"/>
      <c r="G281" s="1">
        <v>7.407</v>
      </c>
      <c r="H281" s="1">
        <v>7.40641</v>
      </c>
      <c r="I281" s="147"/>
    </row>
    <row r="282" spans="1:9" ht="63.75" customHeight="1">
      <c r="A282" s="137" t="s">
        <v>294</v>
      </c>
      <c r="B282" s="136" t="s">
        <v>291</v>
      </c>
      <c r="C282" s="39" t="s">
        <v>504</v>
      </c>
      <c r="D282" s="11">
        <v>89.803</v>
      </c>
      <c r="E282" s="10">
        <f>100-(F282/D282)*100</f>
        <v>0</v>
      </c>
      <c r="F282" s="11">
        <f>SUM(D282)</f>
        <v>89.803</v>
      </c>
      <c r="G282" s="1">
        <v>89.803</v>
      </c>
      <c r="H282" s="1">
        <v>9.82892</v>
      </c>
      <c r="I282" s="147" t="s">
        <v>197</v>
      </c>
    </row>
    <row r="283" spans="1:9" ht="46.5" customHeight="1">
      <c r="A283" s="137"/>
      <c r="B283" s="136"/>
      <c r="C283" s="39" t="s">
        <v>292</v>
      </c>
      <c r="D283" s="37"/>
      <c r="E283" s="10"/>
      <c r="F283" s="37"/>
      <c r="G283" s="1">
        <v>9.829</v>
      </c>
      <c r="H283" s="1">
        <v>9.82892</v>
      </c>
      <c r="I283" s="147"/>
    </row>
    <row r="284" spans="1:9" ht="75">
      <c r="A284" s="95" t="s">
        <v>294</v>
      </c>
      <c r="B284" s="102" t="s">
        <v>291</v>
      </c>
      <c r="C284" s="39" t="s">
        <v>505</v>
      </c>
      <c r="D284" s="1">
        <v>560</v>
      </c>
      <c r="E284" s="2">
        <f>100-(F284/D284)*100</f>
        <v>8.92857142857143</v>
      </c>
      <c r="F284" s="1">
        <f>D284-50</f>
        <v>510</v>
      </c>
      <c r="G284" s="1">
        <v>8.454</v>
      </c>
      <c r="H284" s="1">
        <v>8.45318</v>
      </c>
      <c r="I284" s="79" t="s">
        <v>198</v>
      </c>
    </row>
    <row r="285" spans="1:9" ht="118.5" customHeight="1">
      <c r="A285" s="95" t="s">
        <v>294</v>
      </c>
      <c r="B285" s="102" t="s">
        <v>291</v>
      </c>
      <c r="C285" s="39" t="s">
        <v>506</v>
      </c>
      <c r="D285" s="1">
        <v>1802.026</v>
      </c>
      <c r="E285" s="2">
        <f>100-(F285/D285)*100</f>
        <v>73.00772741347794</v>
      </c>
      <c r="F285" s="1">
        <f>SUM(D285-47.9736-28.99732-1238.64731)</f>
        <v>486.40777</v>
      </c>
      <c r="G285" s="1">
        <v>27</v>
      </c>
      <c r="H285" s="1">
        <v>27</v>
      </c>
      <c r="I285" s="79" t="s">
        <v>199</v>
      </c>
    </row>
    <row r="286" spans="1:9" ht="168.75">
      <c r="A286" s="95" t="s">
        <v>294</v>
      </c>
      <c r="B286" s="102" t="s">
        <v>291</v>
      </c>
      <c r="C286" s="39" t="s">
        <v>259</v>
      </c>
      <c r="D286" s="1">
        <v>1500</v>
      </c>
      <c r="E286" s="2">
        <f>100-(F286/D286)*100</f>
        <v>9.881311999999994</v>
      </c>
      <c r="F286" s="1">
        <f>SUM(D286-148.21968)</f>
        <v>1351.78032</v>
      </c>
      <c r="G286" s="1">
        <f>1351.78-500+220.466</f>
        <v>1072.246</v>
      </c>
      <c r="H286" s="1">
        <v>709.46094</v>
      </c>
      <c r="I286" s="46" t="s">
        <v>260</v>
      </c>
    </row>
    <row r="287" spans="1:9" ht="63.75" customHeight="1">
      <c r="A287" s="137" t="s">
        <v>294</v>
      </c>
      <c r="B287" s="153" t="s">
        <v>291</v>
      </c>
      <c r="C287" s="3" t="s">
        <v>507</v>
      </c>
      <c r="D287" s="12">
        <v>1200</v>
      </c>
      <c r="E287" s="2">
        <f>100-(F287/D287)*100</f>
        <v>3.2348108333333414</v>
      </c>
      <c r="F287" s="12">
        <f>SUM(D287-38.81773)</f>
        <v>1161.18227</v>
      </c>
      <c r="G287" s="12">
        <f>38.025+G288</f>
        <v>85</v>
      </c>
      <c r="H287" s="1">
        <v>57.35</v>
      </c>
      <c r="I287" s="46" t="s">
        <v>140</v>
      </c>
    </row>
    <row r="288" spans="1:9" ht="69" customHeight="1">
      <c r="A288" s="137"/>
      <c r="B288" s="153"/>
      <c r="C288" s="39" t="s">
        <v>292</v>
      </c>
      <c r="D288" s="1"/>
      <c r="E288" s="2"/>
      <c r="F288" s="1"/>
      <c r="G288" s="1">
        <v>46.975</v>
      </c>
      <c r="H288" s="1">
        <v>46.97484</v>
      </c>
      <c r="I288" s="79" t="s">
        <v>200</v>
      </c>
    </row>
    <row r="289" spans="1:9" ht="75">
      <c r="A289" s="95" t="s">
        <v>294</v>
      </c>
      <c r="B289" s="102" t="s">
        <v>291</v>
      </c>
      <c r="C289" s="40" t="s">
        <v>508</v>
      </c>
      <c r="D289" s="12">
        <v>19003</v>
      </c>
      <c r="E289" s="2">
        <f>100-(F289/D289)*100</f>
        <v>0.7204407725096189</v>
      </c>
      <c r="F289" s="12">
        <f>SUM(D289-136.90536)</f>
        <v>18866.09464</v>
      </c>
      <c r="G289" s="12">
        <v>96.397</v>
      </c>
      <c r="H289" s="1">
        <v>96.39666</v>
      </c>
      <c r="I289" s="79" t="s">
        <v>200</v>
      </c>
    </row>
    <row r="290" spans="1:9" ht="56.25">
      <c r="A290" s="95" t="s">
        <v>294</v>
      </c>
      <c r="B290" s="102" t="s">
        <v>291</v>
      </c>
      <c r="C290" s="39" t="s">
        <v>261</v>
      </c>
      <c r="D290" s="36">
        <v>376.904</v>
      </c>
      <c r="E290" s="2">
        <f>100-(F290/D290)*100</f>
        <v>2.8818717763674613</v>
      </c>
      <c r="F290" s="13">
        <f>SUM(D290-10.86189)</f>
        <v>366.04211</v>
      </c>
      <c r="G290" s="36">
        <v>18.385</v>
      </c>
      <c r="H290" s="1">
        <v>0</v>
      </c>
      <c r="I290" s="46" t="s">
        <v>87</v>
      </c>
    </row>
    <row r="291" spans="1:9" ht="45" customHeight="1">
      <c r="A291" s="137" t="s">
        <v>294</v>
      </c>
      <c r="B291" s="136" t="s">
        <v>291</v>
      </c>
      <c r="C291" s="39" t="s">
        <v>509</v>
      </c>
      <c r="D291" s="1">
        <v>6185.308</v>
      </c>
      <c r="E291" s="2">
        <f>100-(F291/D291)*100</f>
        <v>3.1958524943301114</v>
      </c>
      <c r="F291" s="1">
        <f>SUM(D291-197.67332)</f>
        <v>5987.63468</v>
      </c>
      <c r="G291" s="1">
        <f>1500+G292+4357.651-4500-1300</f>
        <v>187.63500000000022</v>
      </c>
      <c r="H291" s="1">
        <v>138.19201</v>
      </c>
      <c r="I291" s="135" t="s">
        <v>262</v>
      </c>
    </row>
    <row r="292" spans="1:9" ht="37.5">
      <c r="A292" s="137"/>
      <c r="B292" s="136"/>
      <c r="C292" s="39" t="s">
        <v>292</v>
      </c>
      <c r="D292" s="1"/>
      <c r="E292" s="2"/>
      <c r="F292" s="1"/>
      <c r="G292" s="1">
        <v>129.984</v>
      </c>
      <c r="H292" s="1">
        <v>129.98368</v>
      </c>
      <c r="I292" s="135"/>
    </row>
    <row r="293" spans="1:9" ht="75" customHeight="1">
      <c r="A293" s="137" t="s">
        <v>294</v>
      </c>
      <c r="B293" s="136" t="s">
        <v>291</v>
      </c>
      <c r="C293" s="40" t="s">
        <v>510</v>
      </c>
      <c r="D293" s="12">
        <v>267.878</v>
      </c>
      <c r="E293" s="2">
        <f>100-(F293/D293)*100</f>
        <v>10.38386877608464</v>
      </c>
      <c r="F293" s="12">
        <f>SUM(D293-27.8161)</f>
        <v>240.06189999999998</v>
      </c>
      <c r="G293" s="12">
        <v>240.062</v>
      </c>
      <c r="H293" s="1">
        <v>58.5474</v>
      </c>
      <c r="I293" s="142" t="s">
        <v>229</v>
      </c>
    </row>
    <row r="294" spans="1:9" ht="37.5">
      <c r="A294" s="137"/>
      <c r="B294" s="136"/>
      <c r="C294" s="39" t="s">
        <v>292</v>
      </c>
      <c r="D294" s="12"/>
      <c r="E294" s="2"/>
      <c r="F294" s="12"/>
      <c r="G294" s="12">
        <v>0.924</v>
      </c>
      <c r="H294" s="1">
        <v>0.924</v>
      </c>
      <c r="I294" s="142"/>
    </row>
    <row r="295" spans="1:9" ht="56.25" customHeight="1">
      <c r="A295" s="137" t="s">
        <v>294</v>
      </c>
      <c r="B295" s="136" t="s">
        <v>291</v>
      </c>
      <c r="C295" s="40" t="s">
        <v>511</v>
      </c>
      <c r="D295" s="12">
        <v>253.469</v>
      </c>
      <c r="E295" s="2">
        <f>100-(F295/D295)*100</f>
        <v>9.805775065195348</v>
      </c>
      <c r="F295" s="12">
        <f>SUM(D295-24.8546)</f>
        <v>228.6144</v>
      </c>
      <c r="G295" s="12">
        <v>228.614</v>
      </c>
      <c r="H295" s="1">
        <v>53.99448</v>
      </c>
      <c r="I295" s="142" t="s">
        <v>201</v>
      </c>
    </row>
    <row r="296" spans="1:9" ht="37.5">
      <c r="A296" s="137"/>
      <c r="B296" s="136"/>
      <c r="C296" s="39" t="s">
        <v>292</v>
      </c>
      <c r="D296" s="12"/>
      <c r="E296" s="2"/>
      <c r="F296" s="12"/>
      <c r="G296" s="12">
        <v>0.924</v>
      </c>
      <c r="H296" s="1">
        <v>0.924</v>
      </c>
      <c r="I296" s="142"/>
    </row>
    <row r="297" spans="1:9" ht="56.25">
      <c r="A297" s="137" t="s">
        <v>294</v>
      </c>
      <c r="B297" s="136" t="s">
        <v>291</v>
      </c>
      <c r="C297" s="40" t="s">
        <v>512</v>
      </c>
      <c r="D297" s="12">
        <v>219.013</v>
      </c>
      <c r="E297" s="2">
        <f>100-(F297/D297)*100</f>
        <v>11.34845876728778</v>
      </c>
      <c r="F297" s="12">
        <f>SUM(D297-24.8546)</f>
        <v>194.1584</v>
      </c>
      <c r="G297" s="12">
        <v>194.158</v>
      </c>
      <c r="H297" s="1">
        <v>0.924</v>
      </c>
      <c r="I297" s="135" t="s">
        <v>15</v>
      </c>
    </row>
    <row r="298" spans="1:9" ht="37.5">
      <c r="A298" s="137"/>
      <c r="B298" s="136"/>
      <c r="C298" s="39" t="s">
        <v>292</v>
      </c>
      <c r="D298" s="12"/>
      <c r="E298" s="2"/>
      <c r="F298" s="12"/>
      <c r="G298" s="12">
        <v>0.924</v>
      </c>
      <c r="H298" s="1">
        <v>0.924</v>
      </c>
      <c r="I298" s="135"/>
    </row>
    <row r="299" spans="1:9" ht="56.25">
      <c r="A299" s="95" t="s">
        <v>294</v>
      </c>
      <c r="B299" s="102" t="s">
        <v>291</v>
      </c>
      <c r="C299" s="39" t="s">
        <v>513</v>
      </c>
      <c r="D299" s="1">
        <v>199.007</v>
      </c>
      <c r="E299" s="2">
        <v>0</v>
      </c>
      <c r="F299" s="1">
        <v>199.007</v>
      </c>
      <c r="G299" s="1">
        <v>24.306</v>
      </c>
      <c r="H299" s="1">
        <v>24.30512</v>
      </c>
      <c r="I299" s="46" t="s">
        <v>175</v>
      </c>
    </row>
    <row r="300" spans="1:9" ht="56.25">
      <c r="A300" s="137" t="s">
        <v>294</v>
      </c>
      <c r="B300" s="136" t="s">
        <v>291</v>
      </c>
      <c r="C300" s="39" t="s">
        <v>514</v>
      </c>
      <c r="D300" s="1">
        <v>147.134</v>
      </c>
      <c r="E300" s="2">
        <v>0</v>
      </c>
      <c r="F300" s="12">
        <v>147.134</v>
      </c>
      <c r="G300" s="1">
        <v>147.134</v>
      </c>
      <c r="H300" s="1">
        <v>24.30512</v>
      </c>
      <c r="I300" s="135" t="s">
        <v>175</v>
      </c>
    </row>
    <row r="301" spans="1:9" ht="37.5">
      <c r="A301" s="137"/>
      <c r="B301" s="136"/>
      <c r="C301" s="39" t="s">
        <v>292</v>
      </c>
      <c r="D301" s="12"/>
      <c r="E301" s="2"/>
      <c r="F301" s="12"/>
      <c r="G301" s="12">
        <v>24.306</v>
      </c>
      <c r="H301" s="1">
        <v>24.30512</v>
      </c>
      <c r="I301" s="135"/>
    </row>
    <row r="302" spans="1:9" ht="75">
      <c r="A302" s="137" t="s">
        <v>294</v>
      </c>
      <c r="B302" s="136" t="s">
        <v>291</v>
      </c>
      <c r="C302" s="3" t="s">
        <v>515</v>
      </c>
      <c r="D302" s="1">
        <v>999.767</v>
      </c>
      <c r="E302" s="2">
        <f>100-(F302/D302)*100</f>
        <v>0</v>
      </c>
      <c r="F302" s="1">
        <f>SUM(D302)</f>
        <v>999.767</v>
      </c>
      <c r="G302" s="1">
        <f>96.89+G303+834.719-900</f>
        <v>99.76700000000005</v>
      </c>
      <c r="H302" s="1">
        <v>96.34739</v>
      </c>
      <c r="I302" s="135" t="s">
        <v>263</v>
      </c>
    </row>
    <row r="303" spans="1:9" ht="37.5">
      <c r="A303" s="137"/>
      <c r="B303" s="136"/>
      <c r="C303" s="39" t="s">
        <v>292</v>
      </c>
      <c r="D303" s="1"/>
      <c r="E303" s="2"/>
      <c r="F303" s="1"/>
      <c r="G303" s="1">
        <v>68.158</v>
      </c>
      <c r="H303" s="1">
        <v>68.15719</v>
      </c>
      <c r="I303" s="135"/>
    </row>
    <row r="304" spans="1:9" ht="56.25">
      <c r="A304" s="137" t="s">
        <v>294</v>
      </c>
      <c r="B304" s="136" t="s">
        <v>291</v>
      </c>
      <c r="C304" s="39" t="s">
        <v>516</v>
      </c>
      <c r="D304" s="12">
        <v>893.279</v>
      </c>
      <c r="E304" s="2">
        <f>100-(F304/D304)*100</f>
        <v>7.976462001233671</v>
      </c>
      <c r="F304" s="12">
        <f>SUM(D304-71.25206)</f>
        <v>822.02694</v>
      </c>
      <c r="G304" s="12">
        <f>45.357+776.67-744.029</f>
        <v>77.99799999999993</v>
      </c>
      <c r="H304" s="1">
        <v>64.5159</v>
      </c>
      <c r="I304" s="135" t="s">
        <v>237</v>
      </c>
    </row>
    <row r="305" spans="1:9" ht="46.5" customHeight="1">
      <c r="A305" s="137"/>
      <c r="B305" s="136"/>
      <c r="C305" s="39" t="s">
        <v>292</v>
      </c>
      <c r="D305" s="1"/>
      <c r="E305" s="2"/>
      <c r="F305" s="1"/>
      <c r="G305" s="1">
        <v>45.357</v>
      </c>
      <c r="H305" s="1">
        <v>45.35694</v>
      </c>
      <c r="I305" s="135"/>
    </row>
    <row r="306" spans="1:9" ht="146.25" customHeight="1">
      <c r="A306" s="137" t="s">
        <v>294</v>
      </c>
      <c r="B306" s="136" t="s">
        <v>291</v>
      </c>
      <c r="C306" s="39" t="s">
        <v>517</v>
      </c>
      <c r="D306" s="1">
        <v>307.928</v>
      </c>
      <c r="E306" s="2">
        <f>100-(F306/D306)*100</f>
        <v>4.504582240004169</v>
      </c>
      <c r="F306" s="1">
        <f>D306-13.87087</f>
        <v>294.05713</v>
      </c>
      <c r="G306" s="1">
        <v>294.057</v>
      </c>
      <c r="H306" s="1">
        <v>245.50941</v>
      </c>
      <c r="I306" s="79" t="s">
        <v>264</v>
      </c>
    </row>
    <row r="307" spans="1:9" ht="75">
      <c r="A307" s="137"/>
      <c r="B307" s="136"/>
      <c r="C307" s="39" t="s">
        <v>292</v>
      </c>
      <c r="D307" s="1"/>
      <c r="E307" s="2"/>
      <c r="F307" s="1"/>
      <c r="G307" s="1">
        <v>161.261</v>
      </c>
      <c r="H307" s="1">
        <v>161.26034</v>
      </c>
      <c r="I307" s="79" t="s">
        <v>202</v>
      </c>
    </row>
    <row r="308" spans="1:9" ht="93.75">
      <c r="A308" s="95" t="s">
        <v>294</v>
      </c>
      <c r="B308" s="102" t="s">
        <v>291</v>
      </c>
      <c r="C308" s="39" t="s">
        <v>518</v>
      </c>
      <c r="D308" s="12">
        <v>999.431</v>
      </c>
      <c r="E308" s="2">
        <f>100-(F308/D308)*100</f>
        <v>0</v>
      </c>
      <c r="F308" s="12">
        <f>SUM(D308)</f>
        <v>999.431</v>
      </c>
      <c r="G308" s="12">
        <v>1.051</v>
      </c>
      <c r="H308" s="1">
        <v>1.05007</v>
      </c>
      <c r="I308" s="46" t="s">
        <v>204</v>
      </c>
    </row>
    <row r="309" spans="1:9" ht="75">
      <c r="A309" s="137" t="s">
        <v>294</v>
      </c>
      <c r="B309" s="136" t="s">
        <v>291</v>
      </c>
      <c r="C309" s="39" t="s">
        <v>519</v>
      </c>
      <c r="D309" s="1">
        <v>4000</v>
      </c>
      <c r="E309" s="2">
        <f>100-(F309/D309)*100</f>
        <v>0</v>
      </c>
      <c r="F309" s="1">
        <f>D309</f>
        <v>4000</v>
      </c>
      <c r="G309" s="1">
        <f>2075.586+G310-1700</f>
        <v>500</v>
      </c>
      <c r="H309" s="1">
        <v>142.19944</v>
      </c>
      <c r="I309" s="46" t="s">
        <v>203</v>
      </c>
    </row>
    <row r="310" spans="1:9" ht="37.5">
      <c r="A310" s="137"/>
      <c r="B310" s="136"/>
      <c r="C310" s="39" t="s">
        <v>292</v>
      </c>
      <c r="D310" s="1"/>
      <c r="E310" s="2"/>
      <c r="F310" s="1"/>
      <c r="G310" s="1">
        <v>124.414</v>
      </c>
      <c r="H310" s="1">
        <v>124.41371</v>
      </c>
      <c r="I310" s="46" t="s">
        <v>204</v>
      </c>
    </row>
    <row r="311" spans="1:9" ht="75">
      <c r="A311" s="96">
        <v>150101</v>
      </c>
      <c r="B311" s="102" t="s">
        <v>291</v>
      </c>
      <c r="C311" s="39" t="s">
        <v>520</v>
      </c>
      <c r="D311" s="1">
        <v>194.696</v>
      </c>
      <c r="E311" s="2">
        <v>0</v>
      </c>
      <c r="F311" s="1">
        <f>SUM(D311-3.9837)</f>
        <v>190.7123</v>
      </c>
      <c r="G311" s="1">
        <v>178.666</v>
      </c>
      <c r="H311" s="1">
        <v>178.66553</v>
      </c>
      <c r="I311" s="46" t="s">
        <v>230</v>
      </c>
    </row>
    <row r="312" spans="1:9" ht="56.25">
      <c r="A312" s="95" t="s">
        <v>294</v>
      </c>
      <c r="B312" s="102" t="s">
        <v>291</v>
      </c>
      <c r="C312" s="39" t="s">
        <v>521</v>
      </c>
      <c r="D312" s="1">
        <v>922.522</v>
      </c>
      <c r="E312" s="2">
        <f>100-(F312/D312)*100</f>
        <v>6.244468966593743</v>
      </c>
      <c r="F312" s="1">
        <f>SUM(D312-57.6066)</f>
        <v>864.9154000000001</v>
      </c>
      <c r="G312" s="1">
        <v>20</v>
      </c>
      <c r="H312" s="1">
        <v>0</v>
      </c>
      <c r="I312" s="46" t="s">
        <v>87</v>
      </c>
    </row>
    <row r="313" spans="1:9" ht="56.25">
      <c r="A313" s="137" t="s">
        <v>294</v>
      </c>
      <c r="B313" s="136" t="s">
        <v>291</v>
      </c>
      <c r="C313" s="39" t="s">
        <v>522</v>
      </c>
      <c r="D313" s="1">
        <v>14805.017</v>
      </c>
      <c r="E313" s="2">
        <f>100-(F313/D313)*100</f>
        <v>3.1047370631185345</v>
      </c>
      <c r="F313" s="1">
        <f>D313-(79.512+136.904+219.26723+23.97362)</f>
        <v>14345.36015</v>
      </c>
      <c r="G313" s="1">
        <f>117.356+G314-30</f>
        <v>87.41999999999999</v>
      </c>
      <c r="H313" s="1">
        <v>0.06394</v>
      </c>
      <c r="I313" s="135" t="s">
        <v>175</v>
      </c>
    </row>
    <row r="314" spans="1:9" ht="37.5">
      <c r="A314" s="137"/>
      <c r="B314" s="136"/>
      <c r="C314" s="39" t="s">
        <v>292</v>
      </c>
      <c r="D314" s="1"/>
      <c r="E314" s="2"/>
      <c r="F314" s="1"/>
      <c r="G314" s="1">
        <v>0.064</v>
      </c>
      <c r="H314" s="1">
        <v>0.06394</v>
      </c>
      <c r="I314" s="135"/>
    </row>
    <row r="315" spans="1:9" ht="112.5">
      <c r="A315" s="137" t="s">
        <v>294</v>
      </c>
      <c r="B315" s="136" t="s">
        <v>291</v>
      </c>
      <c r="C315" s="39" t="s">
        <v>523</v>
      </c>
      <c r="D315" s="1">
        <v>2489.88</v>
      </c>
      <c r="E315" s="2">
        <f>100-(F315/D315)*100</f>
        <v>61.53766326088004</v>
      </c>
      <c r="F315" s="1">
        <f>SUM(D315-98.21146-96.41545-283.54791-696.4574-357.58275)+0.001</f>
        <v>957.6660300000001</v>
      </c>
      <c r="G315" s="1">
        <f>858.08+G316</f>
        <v>957.666</v>
      </c>
      <c r="H315" s="1">
        <v>829.4705</v>
      </c>
      <c r="I315" s="46" t="s">
        <v>265</v>
      </c>
    </row>
    <row r="316" spans="1:9" ht="56.25">
      <c r="A316" s="137"/>
      <c r="B316" s="136"/>
      <c r="C316" s="39" t="s">
        <v>292</v>
      </c>
      <c r="D316" s="1"/>
      <c r="E316" s="2"/>
      <c r="F316" s="1"/>
      <c r="G316" s="1">
        <v>99.586</v>
      </c>
      <c r="H316" s="1">
        <v>99.58519</v>
      </c>
      <c r="I316" s="79" t="s">
        <v>205</v>
      </c>
    </row>
    <row r="317" spans="1:9" ht="56.25">
      <c r="A317" s="95" t="s">
        <v>294</v>
      </c>
      <c r="B317" s="102" t="s">
        <v>291</v>
      </c>
      <c r="C317" s="39" t="s">
        <v>524</v>
      </c>
      <c r="D317" s="1">
        <v>8969.88</v>
      </c>
      <c r="E317" s="2">
        <f>100-(F317/D317)*100</f>
        <v>4.974288730729953</v>
      </c>
      <c r="F317" s="1">
        <f>D317-(60.3528+37.0812+318.25743+30.4963)</f>
        <v>8523.69227</v>
      </c>
      <c r="G317" s="1">
        <v>40</v>
      </c>
      <c r="H317" s="1">
        <v>23.75776</v>
      </c>
      <c r="I317" s="46" t="s">
        <v>206</v>
      </c>
    </row>
    <row r="318" spans="1:9" ht="144.75" customHeight="1">
      <c r="A318" s="137" t="s">
        <v>294</v>
      </c>
      <c r="B318" s="136" t="s">
        <v>291</v>
      </c>
      <c r="C318" s="39" t="s">
        <v>266</v>
      </c>
      <c r="D318" s="1">
        <v>1217.413</v>
      </c>
      <c r="E318" s="2">
        <f>100-(F318/D318)*100</f>
        <v>3.173943435793774</v>
      </c>
      <c r="F318" s="1">
        <f>SUM(D318-38.64)</f>
        <v>1178.773</v>
      </c>
      <c r="G318" s="1">
        <v>1178.773</v>
      </c>
      <c r="H318" s="1">
        <v>477.92464</v>
      </c>
      <c r="I318" s="79" t="s">
        <v>207</v>
      </c>
    </row>
    <row r="319" spans="1:9" ht="51.75" customHeight="1">
      <c r="A319" s="137"/>
      <c r="B319" s="136"/>
      <c r="C319" s="39" t="s">
        <v>292</v>
      </c>
      <c r="D319" s="1"/>
      <c r="E319" s="2"/>
      <c r="F319" s="1"/>
      <c r="G319" s="1">
        <v>132.159</v>
      </c>
      <c r="H319" s="1">
        <v>132.15832</v>
      </c>
      <c r="I319" s="46" t="s">
        <v>208</v>
      </c>
    </row>
    <row r="320" spans="1:9" ht="112.5">
      <c r="A320" s="95" t="s">
        <v>294</v>
      </c>
      <c r="B320" s="102" t="s">
        <v>291</v>
      </c>
      <c r="C320" s="39" t="s">
        <v>525</v>
      </c>
      <c r="D320" s="1">
        <v>10418.873</v>
      </c>
      <c r="E320" s="2">
        <f>100-(F320/D320)*100</f>
        <v>2.8590980041699368</v>
      </c>
      <c r="F320" s="1">
        <f>D320-106.63782-184.00808-7.23989</f>
        <v>10120.98721</v>
      </c>
      <c r="G320" s="1">
        <v>49.9</v>
      </c>
      <c r="H320" s="1">
        <v>0</v>
      </c>
      <c r="I320" s="46" t="s">
        <v>87</v>
      </c>
    </row>
    <row r="321" spans="1:9" ht="93.75">
      <c r="A321" s="95" t="s">
        <v>294</v>
      </c>
      <c r="B321" s="102" t="s">
        <v>291</v>
      </c>
      <c r="C321" s="8" t="s">
        <v>267</v>
      </c>
      <c r="D321" s="1">
        <v>53.341</v>
      </c>
      <c r="E321" s="2">
        <f>100-(F321/D321)*100</f>
        <v>0</v>
      </c>
      <c r="F321" s="1">
        <f>SUM(D321)</f>
        <v>53.341</v>
      </c>
      <c r="G321" s="1">
        <v>53.341</v>
      </c>
      <c r="H321" s="1">
        <v>0</v>
      </c>
      <c r="I321" s="46" t="s">
        <v>87</v>
      </c>
    </row>
    <row r="322" spans="1:9" ht="75">
      <c r="A322" s="95" t="s">
        <v>294</v>
      </c>
      <c r="B322" s="102" t="s">
        <v>291</v>
      </c>
      <c r="C322" s="39" t="s">
        <v>526</v>
      </c>
      <c r="D322" s="1">
        <v>3268.607</v>
      </c>
      <c r="E322" s="2">
        <f>100-(F322/D322)*100</f>
        <v>61.497892221365255</v>
      </c>
      <c r="F322" s="1">
        <f>D322-169.644-100.74664-35.67428-1704.05949</f>
        <v>1258.4825899999996</v>
      </c>
      <c r="G322" s="1">
        <v>30</v>
      </c>
      <c r="H322" s="1">
        <v>0</v>
      </c>
      <c r="I322" s="46" t="s">
        <v>87</v>
      </c>
    </row>
    <row r="323" spans="1:9" ht="63.75" customHeight="1">
      <c r="A323" s="137" t="s">
        <v>294</v>
      </c>
      <c r="B323" s="136" t="s">
        <v>291</v>
      </c>
      <c r="C323" s="39" t="s">
        <v>527</v>
      </c>
      <c r="D323" s="1">
        <v>11704.046</v>
      </c>
      <c r="E323" s="2">
        <f>100-(F323/D323)*100</f>
        <v>1.7240017682774038</v>
      </c>
      <c r="F323" s="1">
        <f>D323-83.80703-106.15176-11.81917</f>
        <v>11502.268039999999</v>
      </c>
      <c r="G323" s="1">
        <f>10+G324</f>
        <v>33.907</v>
      </c>
      <c r="H323" s="1">
        <v>25.61054</v>
      </c>
      <c r="I323" s="147" t="s">
        <v>210</v>
      </c>
    </row>
    <row r="324" spans="1:9" ht="43.5" customHeight="1">
      <c r="A324" s="137"/>
      <c r="B324" s="136"/>
      <c r="C324" s="39" t="s">
        <v>292</v>
      </c>
      <c r="D324" s="1"/>
      <c r="E324" s="2"/>
      <c r="F324" s="1"/>
      <c r="G324" s="1">
        <v>23.907</v>
      </c>
      <c r="H324" s="1">
        <v>23.90654</v>
      </c>
      <c r="I324" s="147"/>
    </row>
    <row r="325" spans="1:9" ht="75">
      <c r="A325" s="95" t="s">
        <v>294</v>
      </c>
      <c r="B325" s="102" t="s">
        <v>291</v>
      </c>
      <c r="C325" s="39" t="s">
        <v>528</v>
      </c>
      <c r="D325" s="1">
        <v>344.158</v>
      </c>
      <c r="E325" s="2">
        <f>100-(F325/D325)*100</f>
        <v>78.11340430848621</v>
      </c>
      <c r="F325" s="1">
        <f>D325-268.29528-0.53825</f>
        <v>75.32447000000002</v>
      </c>
      <c r="G325" s="1">
        <v>46.863</v>
      </c>
      <c r="H325" s="1">
        <v>46.86235</v>
      </c>
      <c r="I325" s="80" t="s">
        <v>109</v>
      </c>
    </row>
    <row r="326" spans="1:9" ht="71.25" customHeight="1">
      <c r="A326" s="95" t="s">
        <v>294</v>
      </c>
      <c r="B326" s="102" t="s">
        <v>291</v>
      </c>
      <c r="C326" s="39" t="s">
        <v>529</v>
      </c>
      <c r="D326" s="1">
        <v>26444.077</v>
      </c>
      <c r="E326" s="2">
        <f>100-(F326/D326)*100</f>
        <v>63.246456248028615</v>
      </c>
      <c r="F326" s="1">
        <f>SUM(D326-2968.98013-13451.95099-271.10955-32.90092)</f>
        <v>9719.135410000003</v>
      </c>
      <c r="G326" s="1">
        <f>57.92+1.755</f>
        <v>59.675000000000004</v>
      </c>
      <c r="H326" s="1">
        <v>59.6745</v>
      </c>
      <c r="I326" s="80" t="s">
        <v>231</v>
      </c>
    </row>
    <row r="327" spans="1:9" ht="49.5" customHeight="1">
      <c r="A327" s="95" t="s">
        <v>294</v>
      </c>
      <c r="B327" s="102" t="s">
        <v>291</v>
      </c>
      <c r="C327" s="40" t="s">
        <v>530</v>
      </c>
      <c r="D327" s="1">
        <v>389.279</v>
      </c>
      <c r="E327" s="2">
        <f>100-(F327/D327)*100</f>
        <v>82.4145330213035</v>
      </c>
      <c r="F327" s="1">
        <f>SUM(D327-60-1.5211-259.30137)</f>
        <v>68.45652999999999</v>
      </c>
      <c r="G327" s="1">
        <f>0.654</f>
        <v>0.654</v>
      </c>
      <c r="H327" s="1">
        <v>0</v>
      </c>
      <c r="I327" s="46" t="s">
        <v>87</v>
      </c>
    </row>
    <row r="328" spans="1:9" ht="84" customHeight="1">
      <c r="A328" s="95" t="s">
        <v>294</v>
      </c>
      <c r="B328" s="102" t="s">
        <v>291</v>
      </c>
      <c r="C328" s="39" t="s">
        <v>531</v>
      </c>
      <c r="D328" s="11">
        <v>200</v>
      </c>
      <c r="E328" s="10">
        <f>100-(F328/D328)*100</f>
        <v>0.24747999999999593</v>
      </c>
      <c r="F328" s="11">
        <f>SUM(D328-0.49496)</f>
        <v>199.50504</v>
      </c>
      <c r="G328" s="1">
        <v>71.42</v>
      </c>
      <c r="H328" s="1">
        <v>71.41966</v>
      </c>
      <c r="I328" s="46" t="s">
        <v>204</v>
      </c>
    </row>
    <row r="329" spans="1:9" ht="45" customHeight="1">
      <c r="A329" s="137" t="s">
        <v>294</v>
      </c>
      <c r="B329" s="136" t="s">
        <v>291</v>
      </c>
      <c r="C329" s="39" t="s">
        <v>532</v>
      </c>
      <c r="D329" s="1">
        <v>500</v>
      </c>
      <c r="E329" s="2">
        <f>100-(F329/D329)*100</f>
        <v>0</v>
      </c>
      <c r="F329" s="1">
        <f>SUM(D329)</f>
        <v>500</v>
      </c>
      <c r="G329" s="1">
        <f>341.31+G330-300</f>
        <v>140.675</v>
      </c>
      <c r="H329" s="1">
        <v>99.36424</v>
      </c>
      <c r="I329" s="135" t="s">
        <v>211</v>
      </c>
    </row>
    <row r="330" spans="1:9" ht="37.5">
      <c r="A330" s="137"/>
      <c r="B330" s="136"/>
      <c r="C330" s="39" t="s">
        <v>292</v>
      </c>
      <c r="D330" s="1"/>
      <c r="E330" s="2"/>
      <c r="F330" s="1"/>
      <c r="G330" s="1">
        <v>99.365</v>
      </c>
      <c r="H330" s="1">
        <v>99.36424</v>
      </c>
      <c r="I330" s="135"/>
    </row>
    <row r="331" spans="1:9" ht="54" customHeight="1">
      <c r="A331" s="137" t="s">
        <v>294</v>
      </c>
      <c r="B331" s="136" t="s">
        <v>291</v>
      </c>
      <c r="C331" s="39" t="s">
        <v>533</v>
      </c>
      <c r="D331" s="1">
        <v>4027.73</v>
      </c>
      <c r="E331" s="2">
        <f>100-(F331/D331)*100</f>
        <v>62.107706822453345</v>
      </c>
      <c r="F331" s="1">
        <f>D331-3.48524-2070.96995-427.07555</f>
        <v>1526.1992599999999</v>
      </c>
      <c r="G331" s="1">
        <v>1526.199</v>
      </c>
      <c r="H331" s="1">
        <v>1033.45368</v>
      </c>
      <c r="I331" s="79" t="s">
        <v>212</v>
      </c>
    </row>
    <row r="332" spans="1:9" ht="56.25">
      <c r="A332" s="137"/>
      <c r="B332" s="136"/>
      <c r="C332" s="39" t="s">
        <v>292</v>
      </c>
      <c r="D332" s="1"/>
      <c r="E332" s="2"/>
      <c r="F332" s="1"/>
      <c r="G332" s="1">
        <v>848.634</v>
      </c>
      <c r="H332" s="1">
        <v>848.63323</v>
      </c>
      <c r="I332" s="79" t="s">
        <v>213</v>
      </c>
    </row>
    <row r="333" spans="1:9" ht="56.25">
      <c r="A333" s="137" t="s">
        <v>294</v>
      </c>
      <c r="B333" s="136" t="s">
        <v>291</v>
      </c>
      <c r="C333" s="39" t="s">
        <v>534</v>
      </c>
      <c r="D333" s="1">
        <v>600</v>
      </c>
      <c r="E333" s="2">
        <f>100-(F333/D333)*100</f>
        <v>0.25792666666666264</v>
      </c>
      <c r="F333" s="1">
        <f>SUM(D333-1.54756)</f>
        <v>598.45244</v>
      </c>
      <c r="G333" s="1">
        <f>500+G334+2.495-450</f>
        <v>131.53100000000006</v>
      </c>
      <c r="H333" s="1">
        <v>121.8012</v>
      </c>
      <c r="I333" s="79" t="s">
        <v>214</v>
      </c>
    </row>
    <row r="334" spans="1:9" ht="37.5">
      <c r="A334" s="137"/>
      <c r="B334" s="136"/>
      <c r="C334" s="39" t="s">
        <v>292</v>
      </c>
      <c r="D334" s="1"/>
      <c r="E334" s="2"/>
      <c r="F334" s="1"/>
      <c r="G334" s="1">
        <f>81.531-2.495</f>
        <v>79.036</v>
      </c>
      <c r="H334" s="1">
        <v>79.0356</v>
      </c>
      <c r="I334" s="80" t="s">
        <v>215</v>
      </c>
    </row>
    <row r="335" spans="1:9" ht="67.5" customHeight="1">
      <c r="A335" s="137" t="s">
        <v>294</v>
      </c>
      <c r="B335" s="136" t="s">
        <v>291</v>
      </c>
      <c r="C335" s="39" t="s">
        <v>535</v>
      </c>
      <c r="D335" s="1">
        <v>1087</v>
      </c>
      <c r="E335" s="2">
        <v>0</v>
      </c>
      <c r="F335" s="1">
        <f>D335</f>
        <v>1087</v>
      </c>
      <c r="G335" s="1">
        <f>239.248+G336-200</f>
        <v>436.23800000000006</v>
      </c>
      <c r="H335" s="1">
        <v>396.98945</v>
      </c>
      <c r="I335" s="147" t="s">
        <v>216</v>
      </c>
    </row>
    <row r="336" spans="1:9" ht="37.5">
      <c r="A336" s="137"/>
      <c r="B336" s="136"/>
      <c r="C336" s="39" t="s">
        <v>292</v>
      </c>
      <c r="D336" s="1"/>
      <c r="E336" s="2"/>
      <c r="F336" s="1"/>
      <c r="G336" s="1">
        <v>396.99</v>
      </c>
      <c r="H336" s="1">
        <v>396.98945</v>
      </c>
      <c r="I336" s="147"/>
    </row>
    <row r="337" spans="1:9" ht="75">
      <c r="A337" s="96">
        <v>150101</v>
      </c>
      <c r="B337" s="102" t="s">
        <v>291</v>
      </c>
      <c r="C337" s="14" t="s">
        <v>536</v>
      </c>
      <c r="D337" s="1">
        <v>183.104</v>
      </c>
      <c r="E337" s="2">
        <f>100-(F337/D337)*100</f>
        <v>35.13850052429221</v>
      </c>
      <c r="F337" s="1">
        <v>118.764</v>
      </c>
      <c r="G337" s="1">
        <f>57.66+13.96</f>
        <v>71.62</v>
      </c>
      <c r="H337" s="1">
        <v>57.6597</v>
      </c>
      <c r="I337" s="79" t="s">
        <v>217</v>
      </c>
    </row>
    <row r="338" spans="1:9" ht="75">
      <c r="A338" s="95" t="s">
        <v>294</v>
      </c>
      <c r="B338" s="102" t="s">
        <v>291</v>
      </c>
      <c r="C338" s="9" t="s">
        <v>537</v>
      </c>
      <c r="D338" s="1">
        <v>1108.84</v>
      </c>
      <c r="E338" s="2">
        <f>100-(F338/D338)*100</f>
        <v>0</v>
      </c>
      <c r="F338" s="1">
        <f>D338</f>
        <v>1108.84</v>
      </c>
      <c r="G338" s="1">
        <f>400-300</f>
        <v>100</v>
      </c>
      <c r="H338" s="1">
        <v>0</v>
      </c>
      <c r="I338" s="46" t="s">
        <v>87</v>
      </c>
    </row>
    <row r="339" spans="1:9" ht="37.5">
      <c r="A339" s="95" t="s">
        <v>294</v>
      </c>
      <c r="B339" s="102" t="s">
        <v>291</v>
      </c>
      <c r="C339" s="3" t="s">
        <v>538</v>
      </c>
      <c r="D339" s="15">
        <v>10600</v>
      </c>
      <c r="E339" s="2">
        <f aca="true" t="shared" si="6" ref="E339:E364">100-(F339/D339)*100</f>
        <v>0</v>
      </c>
      <c r="F339" s="12">
        <f aca="true" t="shared" si="7" ref="F339:F360">SUM(D339)</f>
        <v>10600</v>
      </c>
      <c r="G339" s="1">
        <f>900-600</f>
        <v>300</v>
      </c>
      <c r="H339" s="1">
        <v>297</v>
      </c>
      <c r="I339" s="46" t="s">
        <v>139</v>
      </c>
    </row>
    <row r="340" spans="1:9" ht="37.5">
      <c r="A340" s="95" t="s">
        <v>294</v>
      </c>
      <c r="B340" s="102" t="s">
        <v>291</v>
      </c>
      <c r="C340" s="40" t="s">
        <v>539</v>
      </c>
      <c r="D340" s="1">
        <v>1500</v>
      </c>
      <c r="E340" s="2">
        <f t="shared" si="6"/>
        <v>0</v>
      </c>
      <c r="F340" s="12">
        <f t="shared" si="7"/>
        <v>1500</v>
      </c>
      <c r="G340" s="12">
        <f>1500-1300</f>
        <v>200</v>
      </c>
      <c r="H340" s="1">
        <v>15</v>
      </c>
      <c r="I340" s="46" t="s">
        <v>139</v>
      </c>
    </row>
    <row r="341" spans="1:9" ht="75">
      <c r="A341" s="95" t="s">
        <v>294</v>
      </c>
      <c r="B341" s="102" t="s">
        <v>291</v>
      </c>
      <c r="C341" s="39" t="s">
        <v>540</v>
      </c>
      <c r="D341" s="1">
        <v>79.8828</v>
      </c>
      <c r="E341" s="2">
        <f t="shared" si="6"/>
        <v>0</v>
      </c>
      <c r="F341" s="12">
        <f t="shared" si="7"/>
        <v>79.8828</v>
      </c>
      <c r="G341" s="1">
        <v>79.8828</v>
      </c>
      <c r="H341" s="1">
        <v>0</v>
      </c>
      <c r="I341" s="46" t="s">
        <v>87</v>
      </c>
    </row>
    <row r="342" spans="1:9" ht="56.25">
      <c r="A342" s="95" t="s">
        <v>294</v>
      </c>
      <c r="B342" s="102" t="s">
        <v>291</v>
      </c>
      <c r="C342" s="39" t="s">
        <v>541</v>
      </c>
      <c r="D342" s="1">
        <v>36.0804</v>
      </c>
      <c r="E342" s="2">
        <f t="shared" si="6"/>
        <v>0</v>
      </c>
      <c r="F342" s="12">
        <f t="shared" si="7"/>
        <v>36.0804</v>
      </c>
      <c r="G342" s="1">
        <v>36.0804</v>
      </c>
      <c r="H342" s="1">
        <v>0</v>
      </c>
      <c r="I342" s="46" t="s">
        <v>87</v>
      </c>
    </row>
    <row r="343" spans="1:9" ht="56.25" customHeight="1">
      <c r="A343" s="95" t="s">
        <v>294</v>
      </c>
      <c r="B343" s="102" t="s">
        <v>291</v>
      </c>
      <c r="C343" s="16" t="s">
        <v>542</v>
      </c>
      <c r="D343" s="17">
        <v>1000</v>
      </c>
      <c r="E343" s="2">
        <f t="shared" si="6"/>
        <v>0</v>
      </c>
      <c r="F343" s="12">
        <f t="shared" si="7"/>
        <v>1000</v>
      </c>
      <c r="G343" s="17">
        <v>44.165</v>
      </c>
      <c r="H343" s="1">
        <v>38.07864</v>
      </c>
      <c r="I343" s="46" t="s">
        <v>139</v>
      </c>
    </row>
    <row r="344" spans="1:9" ht="75">
      <c r="A344" s="95" t="s">
        <v>294</v>
      </c>
      <c r="B344" s="102" t="s">
        <v>291</v>
      </c>
      <c r="C344" s="18" t="s">
        <v>543</v>
      </c>
      <c r="D344" s="17">
        <v>276</v>
      </c>
      <c r="E344" s="2">
        <f t="shared" si="6"/>
        <v>0</v>
      </c>
      <c r="F344" s="12">
        <f t="shared" si="7"/>
        <v>276</v>
      </c>
      <c r="G344" s="17">
        <f>276-200-1.755</f>
        <v>74.245</v>
      </c>
      <c r="H344" s="1">
        <v>0</v>
      </c>
      <c r="I344" s="46" t="s">
        <v>87</v>
      </c>
    </row>
    <row r="345" spans="1:9" ht="78" customHeight="1">
      <c r="A345" s="95" t="s">
        <v>294</v>
      </c>
      <c r="B345" s="102" t="s">
        <v>291</v>
      </c>
      <c r="C345" s="19" t="s">
        <v>544</v>
      </c>
      <c r="D345" s="17">
        <v>250</v>
      </c>
      <c r="E345" s="2">
        <f t="shared" si="6"/>
        <v>0</v>
      </c>
      <c r="F345" s="12">
        <f t="shared" si="7"/>
        <v>250</v>
      </c>
      <c r="G345" s="17">
        <v>250</v>
      </c>
      <c r="H345" s="1">
        <v>250</v>
      </c>
      <c r="I345" s="79" t="s">
        <v>209</v>
      </c>
    </row>
    <row r="346" spans="1:9" ht="44.25" customHeight="1">
      <c r="A346" s="95" t="s">
        <v>294</v>
      </c>
      <c r="B346" s="102" t="s">
        <v>291</v>
      </c>
      <c r="C346" s="18" t="s">
        <v>545</v>
      </c>
      <c r="D346" s="17">
        <v>276</v>
      </c>
      <c r="E346" s="2">
        <f t="shared" si="6"/>
        <v>0</v>
      </c>
      <c r="F346" s="12">
        <f t="shared" si="7"/>
        <v>276</v>
      </c>
      <c r="G346" s="17">
        <f>276-190-80</f>
        <v>6</v>
      </c>
      <c r="H346" s="1">
        <v>0</v>
      </c>
      <c r="I346" s="46" t="s">
        <v>87</v>
      </c>
    </row>
    <row r="347" spans="1:9" ht="56.25">
      <c r="A347" s="95" t="s">
        <v>294</v>
      </c>
      <c r="B347" s="102" t="s">
        <v>291</v>
      </c>
      <c r="C347" s="18" t="s">
        <v>546</v>
      </c>
      <c r="D347" s="17">
        <v>276</v>
      </c>
      <c r="E347" s="2">
        <f t="shared" si="6"/>
        <v>0</v>
      </c>
      <c r="F347" s="12">
        <f t="shared" si="7"/>
        <v>276</v>
      </c>
      <c r="G347" s="17">
        <v>276</v>
      </c>
      <c r="H347" s="1">
        <v>0</v>
      </c>
      <c r="I347" s="46" t="s">
        <v>87</v>
      </c>
    </row>
    <row r="348" spans="1:9" ht="75">
      <c r="A348" s="95" t="s">
        <v>294</v>
      </c>
      <c r="B348" s="102" t="s">
        <v>291</v>
      </c>
      <c r="C348" s="20" t="s">
        <v>547</v>
      </c>
      <c r="D348" s="21">
        <v>117.95159</v>
      </c>
      <c r="E348" s="2">
        <f t="shared" si="6"/>
        <v>0</v>
      </c>
      <c r="F348" s="12">
        <f t="shared" si="7"/>
        <v>117.95159</v>
      </c>
      <c r="G348" s="21">
        <f>117.95159-13.96</f>
        <v>103.99159</v>
      </c>
      <c r="H348" s="1">
        <v>0</v>
      </c>
      <c r="I348" s="46" t="s">
        <v>87</v>
      </c>
    </row>
    <row r="349" spans="1:9" ht="56.25">
      <c r="A349" s="95" t="s">
        <v>294</v>
      </c>
      <c r="B349" s="102" t="s">
        <v>291</v>
      </c>
      <c r="C349" s="20" t="s">
        <v>548</v>
      </c>
      <c r="D349" s="17">
        <v>336</v>
      </c>
      <c r="E349" s="2">
        <f t="shared" si="6"/>
        <v>0</v>
      </c>
      <c r="F349" s="12">
        <f t="shared" si="7"/>
        <v>336</v>
      </c>
      <c r="G349" s="17">
        <v>336</v>
      </c>
      <c r="H349" s="1">
        <v>332.97955</v>
      </c>
      <c r="I349" s="79" t="s">
        <v>219</v>
      </c>
    </row>
    <row r="350" spans="1:9" ht="56.25">
      <c r="A350" s="95" t="s">
        <v>294</v>
      </c>
      <c r="B350" s="102" t="s">
        <v>291</v>
      </c>
      <c r="C350" s="20" t="s">
        <v>549</v>
      </c>
      <c r="D350" s="17">
        <v>240</v>
      </c>
      <c r="E350" s="2">
        <f t="shared" si="6"/>
        <v>0</v>
      </c>
      <c r="F350" s="12">
        <f t="shared" si="7"/>
        <v>240</v>
      </c>
      <c r="G350" s="17">
        <f>240-25.62</f>
        <v>214.38</v>
      </c>
      <c r="H350" s="1">
        <v>125.57385</v>
      </c>
      <c r="I350" s="79" t="s">
        <v>220</v>
      </c>
    </row>
    <row r="351" spans="1:9" ht="48" customHeight="1">
      <c r="A351" s="95" t="s">
        <v>294</v>
      </c>
      <c r="B351" s="102" t="s">
        <v>291</v>
      </c>
      <c r="C351" s="20" t="s">
        <v>550</v>
      </c>
      <c r="D351" s="21">
        <v>75.358</v>
      </c>
      <c r="E351" s="2">
        <f t="shared" si="6"/>
        <v>0</v>
      </c>
      <c r="F351" s="12">
        <f t="shared" si="7"/>
        <v>75.358</v>
      </c>
      <c r="G351" s="21">
        <v>75.358</v>
      </c>
      <c r="H351" s="1">
        <v>33.70602</v>
      </c>
      <c r="I351" s="79" t="s">
        <v>220</v>
      </c>
    </row>
    <row r="352" spans="1:9" ht="45" customHeight="1">
      <c r="A352" s="95" t="s">
        <v>294</v>
      </c>
      <c r="B352" s="102" t="s">
        <v>291</v>
      </c>
      <c r="C352" s="20" t="s">
        <v>268</v>
      </c>
      <c r="D352" s="21">
        <v>144</v>
      </c>
      <c r="E352" s="2">
        <f t="shared" si="6"/>
        <v>0</v>
      </c>
      <c r="F352" s="12">
        <f t="shared" si="7"/>
        <v>144</v>
      </c>
      <c r="G352" s="21">
        <v>144</v>
      </c>
      <c r="H352" s="1">
        <v>26.208</v>
      </c>
      <c r="I352" s="79" t="s">
        <v>220</v>
      </c>
    </row>
    <row r="353" spans="1:9" ht="56.25">
      <c r="A353" s="95" t="s">
        <v>294</v>
      </c>
      <c r="B353" s="102" t="s">
        <v>291</v>
      </c>
      <c r="C353" s="16" t="s">
        <v>551</v>
      </c>
      <c r="D353" s="22">
        <v>75.492</v>
      </c>
      <c r="E353" s="2">
        <f t="shared" si="6"/>
        <v>0</v>
      </c>
      <c r="F353" s="12">
        <f t="shared" si="7"/>
        <v>75.492</v>
      </c>
      <c r="G353" s="22">
        <v>75.492</v>
      </c>
      <c r="H353" s="1">
        <v>0</v>
      </c>
      <c r="I353" s="46" t="s">
        <v>87</v>
      </c>
    </row>
    <row r="354" spans="1:9" ht="56.25">
      <c r="A354" s="95" t="s">
        <v>294</v>
      </c>
      <c r="B354" s="102" t="s">
        <v>291</v>
      </c>
      <c r="C354" s="20" t="s">
        <v>552</v>
      </c>
      <c r="D354" s="21">
        <v>288</v>
      </c>
      <c r="E354" s="2">
        <f t="shared" si="6"/>
        <v>0</v>
      </c>
      <c r="F354" s="12">
        <f t="shared" si="7"/>
        <v>288</v>
      </c>
      <c r="G354" s="21">
        <v>288</v>
      </c>
      <c r="H354" s="1">
        <v>0</v>
      </c>
      <c r="I354" s="46" t="s">
        <v>87</v>
      </c>
    </row>
    <row r="355" spans="1:9" ht="75">
      <c r="A355" s="95" t="s">
        <v>294</v>
      </c>
      <c r="B355" s="102" t="s">
        <v>291</v>
      </c>
      <c r="C355" s="16" t="s">
        <v>553</v>
      </c>
      <c r="D355" s="17">
        <v>108.613</v>
      </c>
      <c r="E355" s="2">
        <f t="shared" si="6"/>
        <v>0</v>
      </c>
      <c r="F355" s="12">
        <f t="shared" si="7"/>
        <v>108.613</v>
      </c>
      <c r="G355" s="17">
        <f>108.613-78.613</f>
        <v>30</v>
      </c>
      <c r="H355" s="1">
        <v>0</v>
      </c>
      <c r="I355" s="46" t="s">
        <v>87</v>
      </c>
    </row>
    <row r="356" spans="1:9" ht="56.25">
      <c r="A356" s="95" t="s">
        <v>294</v>
      </c>
      <c r="B356" s="102" t="s">
        <v>291</v>
      </c>
      <c r="C356" s="16" t="s">
        <v>554</v>
      </c>
      <c r="D356" s="17">
        <v>198.316</v>
      </c>
      <c r="E356" s="2">
        <f t="shared" si="6"/>
        <v>0</v>
      </c>
      <c r="F356" s="12">
        <f t="shared" si="7"/>
        <v>198.316</v>
      </c>
      <c r="G356" s="17">
        <f>198.316-168.316</f>
        <v>30</v>
      </c>
      <c r="H356" s="1">
        <v>0</v>
      </c>
      <c r="I356" s="46" t="s">
        <v>87</v>
      </c>
    </row>
    <row r="357" spans="1:9" ht="93.75">
      <c r="A357" s="95" t="s">
        <v>294</v>
      </c>
      <c r="B357" s="102" t="s">
        <v>291</v>
      </c>
      <c r="C357" s="16" t="s">
        <v>555</v>
      </c>
      <c r="D357" s="17">
        <v>191.5932</v>
      </c>
      <c r="E357" s="2">
        <f t="shared" si="6"/>
        <v>0</v>
      </c>
      <c r="F357" s="12">
        <f t="shared" si="7"/>
        <v>191.5932</v>
      </c>
      <c r="G357" s="17">
        <f>191.5932-161.593</f>
        <v>30.000200000000007</v>
      </c>
      <c r="H357" s="1">
        <v>0</v>
      </c>
      <c r="I357" s="46" t="s">
        <v>87</v>
      </c>
    </row>
    <row r="358" spans="1:9" ht="75">
      <c r="A358" s="95" t="s">
        <v>294</v>
      </c>
      <c r="B358" s="102" t="s">
        <v>291</v>
      </c>
      <c r="C358" s="16" t="s">
        <v>556</v>
      </c>
      <c r="D358" s="17">
        <v>193.084</v>
      </c>
      <c r="E358" s="2">
        <f t="shared" si="6"/>
        <v>0</v>
      </c>
      <c r="F358" s="12">
        <f t="shared" si="7"/>
        <v>193.084</v>
      </c>
      <c r="G358" s="17">
        <f>193.084-80.079-83.005</f>
        <v>30.000000000000014</v>
      </c>
      <c r="H358" s="1">
        <v>0</v>
      </c>
      <c r="I358" s="46" t="s">
        <v>87</v>
      </c>
    </row>
    <row r="359" spans="1:9" ht="60.75" customHeight="1">
      <c r="A359" s="95" t="s">
        <v>294</v>
      </c>
      <c r="B359" s="102" t="s">
        <v>291</v>
      </c>
      <c r="C359" s="16" t="s">
        <v>557</v>
      </c>
      <c r="D359" s="17">
        <v>275.876</v>
      </c>
      <c r="E359" s="2">
        <f t="shared" si="6"/>
        <v>0</v>
      </c>
      <c r="F359" s="12">
        <f t="shared" si="7"/>
        <v>275.876</v>
      </c>
      <c r="G359" s="17">
        <f>275.876-204.921-40.955</f>
        <v>29.999999999999986</v>
      </c>
      <c r="H359" s="1">
        <v>0</v>
      </c>
      <c r="I359" s="46" t="s">
        <v>87</v>
      </c>
    </row>
    <row r="360" spans="1:9" ht="63" customHeight="1">
      <c r="A360" s="95" t="s">
        <v>294</v>
      </c>
      <c r="B360" s="102" t="s">
        <v>291</v>
      </c>
      <c r="C360" s="16" t="s">
        <v>138</v>
      </c>
      <c r="D360" s="17">
        <v>215.23</v>
      </c>
      <c r="E360" s="2">
        <f t="shared" si="6"/>
        <v>0</v>
      </c>
      <c r="F360" s="12">
        <f t="shared" si="7"/>
        <v>215.23</v>
      </c>
      <c r="G360" s="17">
        <f>215.23-185.23</f>
        <v>30</v>
      </c>
      <c r="H360" s="1">
        <v>0</v>
      </c>
      <c r="I360" s="46" t="s">
        <v>87</v>
      </c>
    </row>
    <row r="361" spans="1:9" ht="57.75" customHeight="1">
      <c r="A361" s="95" t="s">
        <v>294</v>
      </c>
      <c r="B361" s="102" t="s">
        <v>291</v>
      </c>
      <c r="C361" s="39" t="s">
        <v>558</v>
      </c>
      <c r="D361" s="1">
        <v>200</v>
      </c>
      <c r="E361" s="2">
        <f t="shared" si="6"/>
        <v>0</v>
      </c>
      <c r="F361" s="12">
        <f>SUM(D361)</f>
        <v>200</v>
      </c>
      <c r="G361" s="1">
        <f>200-170</f>
        <v>30</v>
      </c>
      <c r="H361" s="1">
        <v>0</v>
      </c>
      <c r="I361" s="46" t="s">
        <v>87</v>
      </c>
    </row>
    <row r="362" spans="1:9" ht="65.25" customHeight="1">
      <c r="A362" s="95" t="s">
        <v>294</v>
      </c>
      <c r="B362" s="102" t="s">
        <v>291</v>
      </c>
      <c r="C362" s="39" t="s">
        <v>559</v>
      </c>
      <c r="D362" s="1">
        <v>19.433</v>
      </c>
      <c r="E362" s="2">
        <f t="shared" si="6"/>
        <v>0</v>
      </c>
      <c r="F362" s="12">
        <f>SUM(D362)</f>
        <v>19.433</v>
      </c>
      <c r="G362" s="1">
        <v>19.433</v>
      </c>
      <c r="H362" s="1">
        <v>0</v>
      </c>
      <c r="I362" s="46" t="s">
        <v>87</v>
      </c>
    </row>
    <row r="363" spans="1:9" ht="99.75" customHeight="1">
      <c r="A363" s="95" t="s">
        <v>294</v>
      </c>
      <c r="B363" s="102" t="s">
        <v>291</v>
      </c>
      <c r="C363" s="39" t="s">
        <v>218</v>
      </c>
      <c r="D363" s="1">
        <v>2166.383</v>
      </c>
      <c r="E363" s="2">
        <f t="shared" si="6"/>
        <v>0</v>
      </c>
      <c r="F363" s="12">
        <f>SUM(D363)</f>
        <v>2166.383</v>
      </c>
      <c r="G363" s="1">
        <v>2166.383</v>
      </c>
      <c r="H363" s="1">
        <v>0</v>
      </c>
      <c r="I363" s="46" t="s">
        <v>87</v>
      </c>
    </row>
    <row r="364" spans="1:9" ht="49.5" customHeight="1">
      <c r="A364" s="95" t="s">
        <v>294</v>
      </c>
      <c r="B364" s="102" t="s">
        <v>291</v>
      </c>
      <c r="C364" s="39" t="s">
        <v>560</v>
      </c>
      <c r="D364" s="1">
        <v>50</v>
      </c>
      <c r="E364" s="2">
        <f t="shared" si="6"/>
        <v>0</v>
      </c>
      <c r="F364" s="12">
        <f>SUM(D364)</f>
        <v>50</v>
      </c>
      <c r="G364" s="1">
        <v>50</v>
      </c>
      <c r="H364" s="1">
        <v>49.92367</v>
      </c>
      <c r="I364" s="79" t="s">
        <v>269</v>
      </c>
    </row>
    <row r="365" spans="1:9" ht="43.5" customHeight="1">
      <c r="A365" s="95" t="s">
        <v>294</v>
      </c>
      <c r="B365" s="102" t="s">
        <v>291</v>
      </c>
      <c r="C365" s="39" t="s">
        <v>561</v>
      </c>
      <c r="D365" s="1">
        <v>150</v>
      </c>
      <c r="E365" s="2">
        <f>100-(F365/D365)*100</f>
        <v>0</v>
      </c>
      <c r="F365" s="12">
        <f>SUM(D365)</f>
        <v>150</v>
      </c>
      <c r="G365" s="1">
        <v>150</v>
      </c>
      <c r="H365" s="1">
        <v>0</v>
      </c>
      <c r="I365" s="46" t="s">
        <v>87</v>
      </c>
    </row>
    <row r="366" spans="1:9" ht="37.5" customHeight="1">
      <c r="A366" s="137" t="s">
        <v>606</v>
      </c>
      <c r="B366" s="136" t="s">
        <v>562</v>
      </c>
      <c r="C366" s="39" t="s">
        <v>562</v>
      </c>
      <c r="D366" s="1"/>
      <c r="E366" s="2"/>
      <c r="F366" s="1"/>
      <c r="G366" s="1">
        <f>1717.63+800+513.671-513.671</f>
        <v>2517.63</v>
      </c>
      <c r="H366" s="1">
        <v>187.691</v>
      </c>
      <c r="I366" s="135" t="s">
        <v>14</v>
      </c>
    </row>
    <row r="367" spans="1:9" ht="37.5">
      <c r="A367" s="137"/>
      <c r="B367" s="136"/>
      <c r="C367" s="39" t="s">
        <v>292</v>
      </c>
      <c r="D367" s="1"/>
      <c r="E367" s="2"/>
      <c r="F367" s="1"/>
      <c r="G367" s="1">
        <v>187.691</v>
      </c>
      <c r="H367" s="1">
        <v>187.691</v>
      </c>
      <c r="I367" s="135"/>
    </row>
    <row r="368" spans="1:9" ht="37.5" customHeight="1">
      <c r="A368" s="137" t="s">
        <v>607</v>
      </c>
      <c r="B368" s="136" t="s">
        <v>563</v>
      </c>
      <c r="C368" s="40" t="s">
        <v>135</v>
      </c>
      <c r="D368" s="1"/>
      <c r="E368" s="2"/>
      <c r="F368" s="1"/>
      <c r="G368" s="1">
        <f>SUM(G369:G372)</f>
        <v>10218.900000000001</v>
      </c>
      <c r="H368" s="1">
        <f>SUM(H369:H372)</f>
        <v>393.51965</v>
      </c>
      <c r="I368" s="46"/>
    </row>
    <row r="369" spans="1:9" ht="131.25">
      <c r="A369" s="137"/>
      <c r="B369" s="136"/>
      <c r="C369" s="9" t="s">
        <v>565</v>
      </c>
      <c r="D369" s="1"/>
      <c r="E369" s="2"/>
      <c r="F369" s="1"/>
      <c r="G369" s="1">
        <f>1140.86+3500+5</f>
        <v>4645.86</v>
      </c>
      <c r="H369" s="1">
        <v>112.8</v>
      </c>
      <c r="I369" s="78" t="s">
        <v>129</v>
      </c>
    </row>
    <row r="370" spans="1:9" ht="153" customHeight="1">
      <c r="A370" s="137"/>
      <c r="B370" s="136"/>
      <c r="C370" s="9" t="s">
        <v>566</v>
      </c>
      <c r="D370" s="1"/>
      <c r="E370" s="2"/>
      <c r="F370" s="1"/>
      <c r="G370" s="1">
        <v>4449.34</v>
      </c>
      <c r="H370" s="1">
        <v>0</v>
      </c>
      <c r="I370" s="46" t="s">
        <v>87</v>
      </c>
    </row>
    <row r="371" spans="1:9" ht="58.5" customHeight="1">
      <c r="A371" s="137"/>
      <c r="B371" s="136"/>
      <c r="C371" s="9" t="s">
        <v>567</v>
      </c>
      <c r="D371" s="1"/>
      <c r="E371" s="2"/>
      <c r="F371" s="1"/>
      <c r="G371" s="1">
        <f>285+41.2</f>
        <v>326.2</v>
      </c>
      <c r="H371" s="1">
        <v>280.71965</v>
      </c>
      <c r="I371" s="78" t="s">
        <v>130</v>
      </c>
    </row>
    <row r="372" spans="1:9" ht="39" customHeight="1">
      <c r="A372" s="137"/>
      <c r="B372" s="136"/>
      <c r="C372" s="9" t="s">
        <v>568</v>
      </c>
      <c r="D372" s="1"/>
      <c r="E372" s="2"/>
      <c r="F372" s="1"/>
      <c r="G372" s="1">
        <v>797.5</v>
      </c>
      <c r="H372" s="1">
        <v>0</v>
      </c>
      <c r="I372" s="46" t="s">
        <v>87</v>
      </c>
    </row>
    <row r="373" spans="1:9" ht="56.25" customHeight="1">
      <c r="A373" s="137" t="s">
        <v>607</v>
      </c>
      <c r="B373" s="136" t="s">
        <v>563</v>
      </c>
      <c r="C373" s="40" t="s">
        <v>569</v>
      </c>
      <c r="D373" s="1"/>
      <c r="E373" s="2"/>
      <c r="F373" s="1"/>
      <c r="G373" s="1">
        <f>SUM(G375:G379)</f>
        <v>4149.053</v>
      </c>
      <c r="H373" s="1">
        <f>SUM(H375:H379)</f>
        <v>4054.5529199999996</v>
      </c>
      <c r="I373" s="139"/>
    </row>
    <row r="374" spans="1:9" ht="18.75" customHeight="1">
      <c r="A374" s="137"/>
      <c r="B374" s="136"/>
      <c r="C374" s="39" t="s">
        <v>564</v>
      </c>
      <c r="D374" s="6"/>
      <c r="E374" s="7"/>
      <c r="F374" s="6"/>
      <c r="G374" s="6"/>
      <c r="H374" s="1"/>
      <c r="I374" s="140"/>
    </row>
    <row r="375" spans="1:9" ht="75.75" customHeight="1">
      <c r="A375" s="137"/>
      <c r="B375" s="136"/>
      <c r="C375" s="39" t="s">
        <v>570</v>
      </c>
      <c r="D375" s="6"/>
      <c r="E375" s="7"/>
      <c r="F375" s="6"/>
      <c r="G375" s="1">
        <v>225.373</v>
      </c>
      <c r="H375" s="1">
        <v>225.373</v>
      </c>
      <c r="I375" s="78" t="s">
        <v>11</v>
      </c>
    </row>
    <row r="376" spans="1:9" ht="131.25">
      <c r="A376" s="137"/>
      <c r="B376" s="136"/>
      <c r="C376" s="39" t="s">
        <v>571</v>
      </c>
      <c r="D376" s="6"/>
      <c r="E376" s="7"/>
      <c r="F376" s="6"/>
      <c r="G376" s="1">
        <v>1458</v>
      </c>
      <c r="H376" s="1">
        <v>1458</v>
      </c>
      <c r="I376" s="78" t="s">
        <v>10</v>
      </c>
    </row>
    <row r="377" spans="1:9" ht="79.5" customHeight="1">
      <c r="A377" s="137"/>
      <c r="B377" s="136"/>
      <c r="C377" s="39" t="s">
        <v>572</v>
      </c>
      <c r="D377" s="6"/>
      <c r="E377" s="7"/>
      <c r="F377" s="6"/>
      <c r="G377" s="1">
        <v>174.5</v>
      </c>
      <c r="H377" s="1">
        <v>80</v>
      </c>
      <c r="I377" s="78" t="s">
        <v>16</v>
      </c>
    </row>
    <row r="378" spans="1:9" ht="153.75" customHeight="1">
      <c r="A378" s="137" t="s">
        <v>607</v>
      </c>
      <c r="B378" s="136" t="s">
        <v>563</v>
      </c>
      <c r="C378" s="39" t="s">
        <v>573</v>
      </c>
      <c r="D378" s="6"/>
      <c r="E378" s="7"/>
      <c r="F378" s="6"/>
      <c r="G378" s="1">
        <v>1222.58</v>
      </c>
      <c r="H378" s="1">
        <v>1222.57992</v>
      </c>
      <c r="I378" s="78" t="s">
        <v>10</v>
      </c>
    </row>
    <row r="379" spans="1:9" ht="45.75" customHeight="1">
      <c r="A379" s="137"/>
      <c r="B379" s="136"/>
      <c r="C379" s="39" t="s">
        <v>574</v>
      </c>
      <c r="D379" s="6"/>
      <c r="E379" s="7"/>
      <c r="F379" s="6"/>
      <c r="G379" s="1">
        <f>1890.6-822</f>
        <v>1068.6</v>
      </c>
      <c r="H379" s="1">
        <v>1068.6</v>
      </c>
      <c r="I379" s="78" t="s">
        <v>10</v>
      </c>
    </row>
    <row r="380" spans="1:9" s="85" customFormat="1" ht="88.5" customHeight="1">
      <c r="A380" s="93" t="s">
        <v>608</v>
      </c>
      <c r="B380" s="101" t="s">
        <v>575</v>
      </c>
      <c r="C380" s="25"/>
      <c r="D380" s="26">
        <f>SUM(D381+D384+D387+D382+D383)</f>
        <v>3361.593</v>
      </c>
      <c r="E380" s="26"/>
      <c r="F380" s="26">
        <f>SUM(F381+F384+F387+F382+F383)</f>
        <v>3361.593</v>
      </c>
      <c r="G380" s="26">
        <f>SUM(G381+G384+G387+G382+G383)</f>
        <v>6843.488</v>
      </c>
      <c r="H380" s="26">
        <f>SUM(H381+H384+H387+H382+H383)</f>
        <v>2541.49049</v>
      </c>
      <c r="I380" s="86"/>
    </row>
    <row r="381" spans="1:9" ht="99" customHeight="1">
      <c r="A381" s="97" t="s">
        <v>294</v>
      </c>
      <c r="B381" s="102" t="s">
        <v>291</v>
      </c>
      <c r="C381" s="39" t="s">
        <v>576</v>
      </c>
      <c r="D381" s="1">
        <v>2355.141</v>
      </c>
      <c r="E381" s="2">
        <f>100-(F381/D381)*100</f>
        <v>0</v>
      </c>
      <c r="F381" s="1">
        <f>SUM(D381)</f>
        <v>2355.141</v>
      </c>
      <c r="G381" s="1">
        <f>1355.142+999.999</f>
        <v>2355.141</v>
      </c>
      <c r="H381" s="1">
        <v>689.58</v>
      </c>
      <c r="I381" s="46" t="s">
        <v>137</v>
      </c>
    </row>
    <row r="382" spans="1:9" ht="77.25" customHeight="1">
      <c r="A382" s="97" t="s">
        <v>294</v>
      </c>
      <c r="B382" s="102" t="s">
        <v>291</v>
      </c>
      <c r="C382" s="39" t="s">
        <v>577</v>
      </c>
      <c r="D382" s="1">
        <v>600</v>
      </c>
      <c r="E382" s="2">
        <f>100-(F382/D382)*100</f>
        <v>0</v>
      </c>
      <c r="F382" s="1">
        <f>SUM(D382)</f>
        <v>600</v>
      </c>
      <c r="G382" s="1">
        <v>600</v>
      </c>
      <c r="H382" s="1">
        <v>180.37926</v>
      </c>
      <c r="I382" s="46" t="s">
        <v>270</v>
      </c>
    </row>
    <row r="383" spans="1:9" ht="112.5" customHeight="1">
      <c r="A383" s="97" t="s">
        <v>294</v>
      </c>
      <c r="B383" s="102" t="s">
        <v>291</v>
      </c>
      <c r="C383" s="39" t="s">
        <v>578</v>
      </c>
      <c r="D383" s="1">
        <v>406.452</v>
      </c>
      <c r="E383" s="2">
        <f>100-(F383/D383)*100</f>
        <v>0</v>
      </c>
      <c r="F383" s="1">
        <f>SUM(D383)</f>
        <v>406.452</v>
      </c>
      <c r="G383" s="1">
        <v>406.452</v>
      </c>
      <c r="H383" s="1">
        <v>136.86032</v>
      </c>
      <c r="I383" s="46" t="s">
        <v>271</v>
      </c>
    </row>
    <row r="384" spans="1:9" ht="56.25" customHeight="1">
      <c r="A384" s="138">
        <v>180409</v>
      </c>
      <c r="B384" s="136" t="s">
        <v>563</v>
      </c>
      <c r="C384" s="40" t="s">
        <v>136</v>
      </c>
      <c r="D384" s="1"/>
      <c r="E384" s="2"/>
      <c r="F384" s="1"/>
      <c r="G384" s="1">
        <f>SUM(G385:G386)</f>
        <v>1534.672</v>
      </c>
      <c r="H384" s="1">
        <f>SUM(H385:H386)</f>
        <v>1534.67091</v>
      </c>
      <c r="I384" s="46"/>
    </row>
    <row r="385" spans="1:9" ht="96" customHeight="1">
      <c r="A385" s="138"/>
      <c r="B385" s="136"/>
      <c r="C385" s="39" t="s">
        <v>579</v>
      </c>
      <c r="D385" s="37"/>
      <c r="E385" s="37"/>
      <c r="F385" s="37"/>
      <c r="G385" s="1">
        <v>66</v>
      </c>
      <c r="H385" s="1">
        <v>66</v>
      </c>
      <c r="I385" s="46" t="s">
        <v>12</v>
      </c>
    </row>
    <row r="386" spans="1:9" ht="162.75" customHeight="1">
      <c r="A386" s="98">
        <v>180409</v>
      </c>
      <c r="B386" s="103" t="s">
        <v>563</v>
      </c>
      <c r="C386" s="39" t="s">
        <v>580</v>
      </c>
      <c r="D386" s="37"/>
      <c r="E386" s="37"/>
      <c r="F386" s="37"/>
      <c r="G386" s="1">
        <f>1573.041-104.369</f>
        <v>1468.672</v>
      </c>
      <c r="H386" s="1">
        <v>1468.67091</v>
      </c>
      <c r="I386" s="46" t="s">
        <v>13</v>
      </c>
    </row>
    <row r="387" spans="1:9" ht="37.5" customHeight="1">
      <c r="A387" s="138">
        <v>180409</v>
      </c>
      <c r="B387" s="136" t="s">
        <v>563</v>
      </c>
      <c r="C387" s="40" t="s">
        <v>135</v>
      </c>
      <c r="D387" s="1"/>
      <c r="E387" s="2"/>
      <c r="F387" s="1"/>
      <c r="G387" s="1">
        <f>SUM(G388:G389)</f>
        <v>1947.223</v>
      </c>
      <c r="H387" s="1">
        <f>SUM(H388:H389)</f>
        <v>0</v>
      </c>
      <c r="I387" s="46"/>
    </row>
    <row r="388" spans="1:9" ht="93.75">
      <c r="A388" s="138"/>
      <c r="B388" s="136"/>
      <c r="C388" s="39" t="s">
        <v>581</v>
      </c>
      <c r="D388" s="37"/>
      <c r="E388" s="37"/>
      <c r="F388" s="37"/>
      <c r="G388" s="1">
        <v>1474.48</v>
      </c>
      <c r="H388" s="1">
        <v>0</v>
      </c>
      <c r="I388" s="46" t="s">
        <v>87</v>
      </c>
    </row>
    <row r="389" spans="1:9" ht="56.25">
      <c r="A389" s="138"/>
      <c r="B389" s="136"/>
      <c r="C389" s="39" t="s">
        <v>582</v>
      </c>
      <c r="D389" s="37"/>
      <c r="E389" s="37"/>
      <c r="F389" s="37"/>
      <c r="G389" s="1">
        <f>368.374+104.369</f>
        <v>472.74300000000005</v>
      </c>
      <c r="H389" s="1">
        <v>0</v>
      </c>
      <c r="I389" s="46" t="s">
        <v>87</v>
      </c>
    </row>
    <row r="390" spans="1:9" s="85" customFormat="1" ht="75.75" customHeight="1">
      <c r="A390" s="94">
        <v>73</v>
      </c>
      <c r="B390" s="101" t="s">
        <v>583</v>
      </c>
      <c r="C390" s="25"/>
      <c r="D390" s="26">
        <f>SUM(D391:D400)</f>
        <v>70041.467</v>
      </c>
      <c r="E390" s="26"/>
      <c r="F390" s="26">
        <f>SUM(F391:F400)</f>
        <v>58235.84586</v>
      </c>
      <c r="G390" s="26">
        <f>SUM(G391+G396+G398+G393+G394+G400)</f>
        <v>1933.9160000000008</v>
      </c>
      <c r="H390" s="26">
        <f>SUM(H391+H396+H398+H393+H394+H400)</f>
        <v>617.6372699999998</v>
      </c>
      <c r="I390" s="86"/>
    </row>
    <row r="391" spans="1:9" ht="41.25" customHeight="1">
      <c r="A391" s="137" t="s">
        <v>294</v>
      </c>
      <c r="B391" s="136" t="s">
        <v>291</v>
      </c>
      <c r="C391" s="39" t="s">
        <v>584</v>
      </c>
      <c r="D391" s="1">
        <v>13415.939</v>
      </c>
      <c r="E391" s="2">
        <f>100-(F391/D391)*100</f>
        <v>47.375634981643856</v>
      </c>
      <c r="F391" s="1">
        <f>SUM(D391-(2.65228+224.04934+1231.39282+3025.28968+831.30335+1041.19882))</f>
        <v>7060.05271</v>
      </c>
      <c r="G391" s="1">
        <f>2856.847+G392+4000-3000-3000</f>
        <v>1060.0529999999999</v>
      </c>
      <c r="H391" s="1">
        <v>305.95144</v>
      </c>
      <c r="I391" s="135" t="s">
        <v>232</v>
      </c>
    </row>
    <row r="392" spans="1:9" ht="37.5">
      <c r="A392" s="137"/>
      <c r="B392" s="136"/>
      <c r="C392" s="39" t="s">
        <v>292</v>
      </c>
      <c r="D392" s="1"/>
      <c r="E392" s="2"/>
      <c r="F392" s="1"/>
      <c r="G392" s="1">
        <v>203.206</v>
      </c>
      <c r="H392" s="1">
        <v>203.20584</v>
      </c>
      <c r="I392" s="135"/>
    </row>
    <row r="393" spans="1:9" ht="56.25">
      <c r="A393" s="95" t="s">
        <v>294</v>
      </c>
      <c r="B393" s="102" t="s">
        <v>291</v>
      </c>
      <c r="C393" s="39" t="s">
        <v>585</v>
      </c>
      <c r="D393" s="1">
        <v>200</v>
      </c>
      <c r="E393" s="2">
        <f>100-(F393/D393)*100</f>
        <v>0</v>
      </c>
      <c r="F393" s="1">
        <v>200</v>
      </c>
      <c r="G393" s="1">
        <v>200</v>
      </c>
      <c r="H393" s="1">
        <v>48.90735</v>
      </c>
      <c r="I393" s="46" t="s">
        <v>227</v>
      </c>
    </row>
    <row r="394" spans="1:9" ht="56.25">
      <c r="A394" s="137" t="s">
        <v>294</v>
      </c>
      <c r="B394" s="136" t="s">
        <v>291</v>
      </c>
      <c r="C394" s="39" t="s">
        <v>586</v>
      </c>
      <c r="D394" s="1">
        <v>172.787</v>
      </c>
      <c r="E394" s="2">
        <f>100-(F394/D394)*100</f>
        <v>0</v>
      </c>
      <c r="F394" s="1">
        <f>SUM(D394)</f>
        <v>172.787</v>
      </c>
      <c r="G394" s="1">
        <f>126.735+G395+22.787</f>
        <v>172.787</v>
      </c>
      <c r="H394" s="1">
        <v>25.1773</v>
      </c>
      <c r="I394" s="135" t="s">
        <v>233</v>
      </c>
    </row>
    <row r="395" spans="1:9" ht="37.5">
      <c r="A395" s="137"/>
      <c r="B395" s="136"/>
      <c r="C395" s="39" t="s">
        <v>292</v>
      </c>
      <c r="D395" s="1"/>
      <c r="E395" s="2"/>
      <c r="F395" s="1"/>
      <c r="G395" s="1">
        <v>23.265</v>
      </c>
      <c r="H395" s="1">
        <v>23.2643</v>
      </c>
      <c r="I395" s="135"/>
    </row>
    <row r="396" spans="1:9" ht="37.5">
      <c r="A396" s="137" t="s">
        <v>294</v>
      </c>
      <c r="B396" s="136" t="s">
        <v>291</v>
      </c>
      <c r="C396" s="39" t="s">
        <v>587</v>
      </c>
      <c r="D396" s="1">
        <v>168.762</v>
      </c>
      <c r="E396" s="23">
        <f>100-(F396/D396)*100</f>
        <v>25.26089404012751</v>
      </c>
      <c r="F396" s="1">
        <f>SUM(D396-34.48159-8.1492)</f>
        <v>126.13121000000001</v>
      </c>
      <c r="G396" s="1">
        <f>94.137+G397+31.598</f>
        <v>126.131</v>
      </c>
      <c r="H396" s="1">
        <v>0.396</v>
      </c>
      <c r="I396" s="135" t="s">
        <v>196</v>
      </c>
    </row>
    <row r="397" spans="1:9" ht="37.5">
      <c r="A397" s="137"/>
      <c r="B397" s="136"/>
      <c r="C397" s="39" t="s">
        <v>292</v>
      </c>
      <c r="D397" s="1"/>
      <c r="E397" s="2"/>
      <c r="F397" s="1"/>
      <c r="G397" s="1">
        <v>0.396</v>
      </c>
      <c r="H397" s="1">
        <v>0.396</v>
      </c>
      <c r="I397" s="135"/>
    </row>
    <row r="398" spans="1:9" ht="37.5" customHeight="1">
      <c r="A398" s="137" t="s">
        <v>609</v>
      </c>
      <c r="B398" s="136" t="s">
        <v>588</v>
      </c>
      <c r="C398" s="39" t="s">
        <v>589</v>
      </c>
      <c r="D398" s="1">
        <v>14110.057</v>
      </c>
      <c r="E398" s="2">
        <f>100-(F398/D398)*100</f>
        <v>33.60659478554906</v>
      </c>
      <c r="F398" s="1">
        <f>SUM(D398)-(56.35656+570.604+1000+338.9424+271.5277+862.47196+1642.00706)</f>
        <v>9368.14732</v>
      </c>
      <c r="G398" s="1">
        <f>2839.234+G399+5868.147+480.751+6.607-9000</f>
        <v>368.14700000000084</v>
      </c>
      <c r="H398" s="1">
        <v>230.4078</v>
      </c>
      <c r="I398" s="135" t="s">
        <v>277</v>
      </c>
    </row>
    <row r="399" spans="1:9" ht="37.5">
      <c r="A399" s="137"/>
      <c r="B399" s="136"/>
      <c r="C399" s="39" t="s">
        <v>292</v>
      </c>
      <c r="D399" s="1"/>
      <c r="E399" s="2"/>
      <c r="F399" s="1"/>
      <c r="G399" s="1">
        <f>180.015-6.607</f>
        <v>173.408</v>
      </c>
      <c r="H399" s="1">
        <v>173.4078</v>
      </c>
      <c r="I399" s="135"/>
    </row>
    <row r="400" spans="1:9" ht="75">
      <c r="A400" s="95" t="s">
        <v>294</v>
      </c>
      <c r="B400" s="102" t="s">
        <v>291</v>
      </c>
      <c r="C400" s="3" t="s">
        <v>590</v>
      </c>
      <c r="D400" s="1">
        <v>41973.922</v>
      </c>
      <c r="E400" s="2">
        <f>100-(F400/D400)*100</f>
        <v>1.5847801403928798</v>
      </c>
      <c r="F400" s="1">
        <f>SUM(D400-249.768-46.62-7.44519-351.32938-10.03181)</f>
        <v>41308.72762</v>
      </c>
      <c r="G400" s="1">
        <v>6.798</v>
      </c>
      <c r="H400" s="1">
        <v>6.79738</v>
      </c>
      <c r="I400" s="46" t="s">
        <v>234</v>
      </c>
    </row>
    <row r="401" spans="1:9" s="85" customFormat="1" ht="112.5">
      <c r="A401" s="94">
        <v>92</v>
      </c>
      <c r="B401" s="101" t="s">
        <v>591</v>
      </c>
      <c r="C401" s="25"/>
      <c r="D401" s="26">
        <f>SUM(D402:D414)</f>
        <v>16735.186999999998</v>
      </c>
      <c r="E401" s="77"/>
      <c r="F401" s="26">
        <f>SUM(F402:F414)</f>
        <v>15899.51227</v>
      </c>
      <c r="G401" s="26">
        <f>SUM(G402:G414)-G403-G408-G410-G413</f>
        <v>1109.1410000000003</v>
      </c>
      <c r="H401" s="26">
        <f>SUM(H402:H414)-H403-H408-H410-H413</f>
        <v>372.7952500000002</v>
      </c>
      <c r="I401" s="86"/>
    </row>
    <row r="402" spans="1:9" ht="37.5">
      <c r="A402" s="137" t="s">
        <v>294</v>
      </c>
      <c r="B402" s="136" t="s">
        <v>291</v>
      </c>
      <c r="C402" s="39" t="s">
        <v>134</v>
      </c>
      <c r="D402" s="1">
        <v>10000</v>
      </c>
      <c r="E402" s="2">
        <f>100-(F402/D402)*100</f>
        <v>0.00850270000000819</v>
      </c>
      <c r="F402" s="1">
        <f>SUM(D402-0.85027)</f>
        <v>9999.14973</v>
      </c>
      <c r="G402" s="1">
        <f>2500+G403-2487.625</f>
        <v>128.4000000000001</v>
      </c>
      <c r="H402" s="1">
        <v>116.02412</v>
      </c>
      <c r="I402" s="135" t="s">
        <v>234</v>
      </c>
    </row>
    <row r="403" spans="1:9" ht="37.5">
      <c r="A403" s="137"/>
      <c r="B403" s="136"/>
      <c r="C403" s="39" t="s">
        <v>292</v>
      </c>
      <c r="D403" s="1"/>
      <c r="E403" s="2"/>
      <c r="F403" s="1"/>
      <c r="G403" s="1">
        <v>116.025</v>
      </c>
      <c r="H403" s="1">
        <v>116.02412</v>
      </c>
      <c r="I403" s="135"/>
    </row>
    <row r="404" spans="1:9" ht="93.75">
      <c r="A404" s="95" t="s">
        <v>294</v>
      </c>
      <c r="B404" s="102" t="s">
        <v>291</v>
      </c>
      <c r="C404" s="39" t="s">
        <v>592</v>
      </c>
      <c r="D404" s="1">
        <v>980</v>
      </c>
      <c r="E404" s="2">
        <f>100-(F404/D404)*100</f>
        <v>0</v>
      </c>
      <c r="F404" s="1">
        <f>SUM(D404)</f>
        <v>980</v>
      </c>
      <c r="G404" s="1">
        <f>980-900</f>
        <v>80</v>
      </c>
      <c r="H404" s="1">
        <v>0</v>
      </c>
      <c r="I404" s="46" t="s">
        <v>87</v>
      </c>
    </row>
    <row r="405" spans="1:9" ht="56.25">
      <c r="A405" s="95" t="s">
        <v>294</v>
      </c>
      <c r="B405" s="102" t="s">
        <v>291</v>
      </c>
      <c r="C405" s="39" t="s">
        <v>593</v>
      </c>
      <c r="D405" s="1">
        <v>900</v>
      </c>
      <c r="E405" s="2">
        <f>100-(F405/D405)*100</f>
        <v>0</v>
      </c>
      <c r="F405" s="1">
        <f>SUM(D405)</f>
        <v>900</v>
      </c>
      <c r="G405" s="1">
        <f>900-800</f>
        <v>100</v>
      </c>
      <c r="H405" s="1">
        <v>27.62325</v>
      </c>
      <c r="I405" s="46" t="s">
        <v>227</v>
      </c>
    </row>
    <row r="406" spans="1:9" ht="66.75" customHeight="1">
      <c r="A406" s="95" t="s">
        <v>294</v>
      </c>
      <c r="B406" s="102" t="s">
        <v>291</v>
      </c>
      <c r="C406" s="39" t="s">
        <v>594</v>
      </c>
      <c r="D406" s="1">
        <v>1000</v>
      </c>
      <c r="E406" s="2">
        <f>100-(F406/D406)*100</f>
        <v>0</v>
      </c>
      <c r="F406" s="1">
        <f>SUM(D406)</f>
        <v>1000</v>
      </c>
      <c r="G406" s="1">
        <f>607.625-500</f>
        <v>107.625</v>
      </c>
      <c r="H406" s="1">
        <v>0</v>
      </c>
      <c r="I406" s="46" t="s">
        <v>87</v>
      </c>
    </row>
    <row r="407" spans="1:9" ht="75">
      <c r="A407" s="137" t="s">
        <v>294</v>
      </c>
      <c r="B407" s="136" t="s">
        <v>291</v>
      </c>
      <c r="C407" s="39" t="s">
        <v>595</v>
      </c>
      <c r="D407" s="1">
        <v>2000</v>
      </c>
      <c r="E407" s="2">
        <f>100-(F407/D407)*100</f>
        <v>0</v>
      </c>
      <c r="F407" s="1">
        <f>SUM(D407)</f>
        <v>2000</v>
      </c>
      <c r="G407" s="1">
        <f>148.731+G408</f>
        <v>237.378</v>
      </c>
      <c r="H407" s="1">
        <v>88.64686</v>
      </c>
      <c r="I407" s="135" t="s">
        <v>234</v>
      </c>
    </row>
    <row r="408" spans="1:9" ht="37.5">
      <c r="A408" s="137"/>
      <c r="B408" s="136"/>
      <c r="C408" s="39" t="s">
        <v>292</v>
      </c>
      <c r="D408" s="1"/>
      <c r="E408" s="2"/>
      <c r="F408" s="1"/>
      <c r="G408" s="1">
        <v>88.647</v>
      </c>
      <c r="H408" s="1">
        <v>88.64686</v>
      </c>
      <c r="I408" s="135"/>
    </row>
    <row r="409" spans="1:9" ht="56.25">
      <c r="A409" s="137" t="s">
        <v>294</v>
      </c>
      <c r="B409" s="136" t="s">
        <v>291</v>
      </c>
      <c r="C409" s="39" t="s">
        <v>596</v>
      </c>
      <c r="D409" s="1">
        <v>70</v>
      </c>
      <c r="E409" s="2">
        <f>100-(F409/D409)*100</f>
        <v>0</v>
      </c>
      <c r="F409" s="1">
        <f>SUM(D409)</f>
        <v>70</v>
      </c>
      <c r="G409" s="1">
        <f>58.468+G410</f>
        <v>70</v>
      </c>
      <c r="H409" s="1">
        <v>11.53129</v>
      </c>
      <c r="I409" s="135" t="s">
        <v>234</v>
      </c>
    </row>
    <row r="410" spans="1:9" ht="37.5">
      <c r="A410" s="137"/>
      <c r="B410" s="136"/>
      <c r="C410" s="39" t="s">
        <v>292</v>
      </c>
      <c r="D410" s="24"/>
      <c r="E410" s="2"/>
      <c r="F410" s="1"/>
      <c r="G410" s="1">
        <v>11.532</v>
      </c>
      <c r="H410" s="1">
        <v>11.53129</v>
      </c>
      <c r="I410" s="135"/>
    </row>
    <row r="411" spans="1:9" ht="59.25" customHeight="1">
      <c r="A411" s="95" t="s">
        <v>294</v>
      </c>
      <c r="B411" s="102" t="s">
        <v>291</v>
      </c>
      <c r="C411" s="39" t="s">
        <v>597</v>
      </c>
      <c r="D411" s="24">
        <v>609.237</v>
      </c>
      <c r="E411" s="2">
        <f>100-(F411/D411)*100</f>
        <v>41.923474772543365</v>
      </c>
      <c r="F411" s="1">
        <f>D411-0.68238-254.73094</f>
        <v>353.82367999999997</v>
      </c>
      <c r="G411" s="1">
        <v>353.824</v>
      </c>
      <c r="H411" s="1">
        <v>97.05576</v>
      </c>
      <c r="I411" s="46" t="s">
        <v>280</v>
      </c>
    </row>
    <row r="412" spans="1:9" ht="56.25">
      <c r="A412" s="137" t="s">
        <v>294</v>
      </c>
      <c r="B412" s="136" t="s">
        <v>291</v>
      </c>
      <c r="C412" s="39" t="s">
        <v>598</v>
      </c>
      <c r="D412" s="24">
        <f>1000-124.05</f>
        <v>875.95</v>
      </c>
      <c r="E412" s="2">
        <f>100-(F412/D412)*100</f>
        <v>66.14659969176323</v>
      </c>
      <c r="F412" s="1">
        <f>SUM(D412-471.7584-107.65274)</f>
        <v>296.53886000000006</v>
      </c>
      <c r="G412" s="1">
        <f>275.815+G413-275.815</f>
        <v>20.72399999999999</v>
      </c>
      <c r="H412" s="1">
        <v>20.724</v>
      </c>
      <c r="I412" s="135" t="s">
        <v>235</v>
      </c>
    </row>
    <row r="413" spans="1:9" ht="37.5" customHeight="1">
      <c r="A413" s="137"/>
      <c r="B413" s="136"/>
      <c r="C413" s="39" t="s">
        <v>292</v>
      </c>
      <c r="D413" s="24"/>
      <c r="E413" s="2"/>
      <c r="F413" s="1"/>
      <c r="G413" s="1">
        <v>20.724</v>
      </c>
      <c r="H413" s="1">
        <v>20.724</v>
      </c>
      <c r="I413" s="135"/>
    </row>
    <row r="414" spans="1:9" ht="93.75">
      <c r="A414" s="95" t="s">
        <v>294</v>
      </c>
      <c r="B414" s="102" t="s">
        <v>291</v>
      </c>
      <c r="C414" s="39" t="s">
        <v>599</v>
      </c>
      <c r="D414" s="24">
        <v>300</v>
      </c>
      <c r="E414" s="2">
        <v>0</v>
      </c>
      <c r="F414" s="1">
        <f>SUM(D414)</f>
        <v>300</v>
      </c>
      <c r="G414" s="1">
        <f>11.19+288.81-288.81</f>
        <v>11.189999999999998</v>
      </c>
      <c r="H414" s="1">
        <v>11.18997</v>
      </c>
      <c r="I414" s="46" t="s">
        <v>236</v>
      </c>
    </row>
    <row r="415" spans="1:9" s="85" customFormat="1" ht="93.75">
      <c r="A415" s="94">
        <v>93</v>
      </c>
      <c r="B415" s="101" t="s">
        <v>600</v>
      </c>
      <c r="C415" s="25"/>
      <c r="D415" s="26">
        <f>SUM(D416:D417)</f>
        <v>4507.244</v>
      </c>
      <c r="E415" s="26"/>
      <c r="F415" s="26">
        <f>SUM(F416:F417)</f>
        <v>4292.92752</v>
      </c>
      <c r="G415" s="26">
        <f>SUM(G416:G417)</f>
        <v>28.730999999999938</v>
      </c>
      <c r="H415" s="26">
        <f>SUM(H416:H417)</f>
        <v>20.99843</v>
      </c>
      <c r="I415" s="86"/>
    </row>
    <row r="416" spans="1:9" ht="60.75" customHeight="1">
      <c r="A416" s="95" t="s">
        <v>294</v>
      </c>
      <c r="B416" s="102" t="s">
        <v>291</v>
      </c>
      <c r="C416" s="39" t="s">
        <v>601</v>
      </c>
      <c r="D416" s="24">
        <v>3463.549</v>
      </c>
      <c r="E416" s="2">
        <f>100-(F416/D416)*100</f>
        <v>5.711381014098549</v>
      </c>
      <c r="F416" s="1">
        <f>D416-195.12536-2.69112</f>
        <v>3265.73252</v>
      </c>
      <c r="G416" s="36">
        <v>1.536</v>
      </c>
      <c r="H416" s="1">
        <v>1.53524</v>
      </c>
      <c r="I416" s="46" t="s">
        <v>169</v>
      </c>
    </row>
    <row r="417" spans="1:9" ht="44.25" customHeight="1">
      <c r="A417" s="137" t="s">
        <v>294</v>
      </c>
      <c r="B417" s="136" t="s">
        <v>291</v>
      </c>
      <c r="C417" s="39" t="s">
        <v>602</v>
      </c>
      <c r="D417" s="24">
        <v>1043.695</v>
      </c>
      <c r="E417" s="2">
        <f>100-(F417/D417)*100</f>
        <v>1.5809216294032353</v>
      </c>
      <c r="F417" s="1">
        <f>D417-16.5</f>
        <v>1027.195</v>
      </c>
      <c r="G417" s="13">
        <f>200+G418+807.731-1000</f>
        <v>27.194999999999936</v>
      </c>
      <c r="H417" s="1">
        <v>19.46319</v>
      </c>
      <c r="I417" s="46" t="s">
        <v>168</v>
      </c>
    </row>
    <row r="418" spans="1:9" ht="75">
      <c r="A418" s="137"/>
      <c r="B418" s="136"/>
      <c r="C418" s="39" t="s">
        <v>292</v>
      </c>
      <c r="D418" s="24"/>
      <c r="E418" s="2"/>
      <c r="F418" s="1"/>
      <c r="G418" s="13">
        <v>19.464</v>
      </c>
      <c r="H418" s="1">
        <v>19.46319</v>
      </c>
      <c r="I418" s="46" t="s">
        <v>167</v>
      </c>
    </row>
    <row r="419" spans="1:9" s="85" customFormat="1" ht="93.75">
      <c r="A419" s="99" t="s">
        <v>610</v>
      </c>
      <c r="B419" s="101" t="s">
        <v>603</v>
      </c>
      <c r="C419" s="25"/>
      <c r="D419" s="26">
        <f>SUM(D420)</f>
        <v>1145.573</v>
      </c>
      <c r="E419" s="77"/>
      <c r="F419" s="26">
        <f>SUM(F420)</f>
        <v>162.20816000000013</v>
      </c>
      <c r="G419" s="26">
        <f>SUM(G420)</f>
        <v>3.758</v>
      </c>
      <c r="H419" s="26">
        <f>SUM(H420)</f>
        <v>3.758</v>
      </c>
      <c r="I419" s="86"/>
    </row>
    <row r="420" spans="1:9" ht="63" customHeight="1">
      <c r="A420" s="137" t="s">
        <v>294</v>
      </c>
      <c r="B420" s="136" t="s">
        <v>291</v>
      </c>
      <c r="C420" s="39" t="s">
        <v>604</v>
      </c>
      <c r="D420" s="1">
        <v>1145.573</v>
      </c>
      <c r="E420" s="2">
        <f>100-(F420/D420)*100</f>
        <v>85.84043443761331</v>
      </c>
      <c r="F420" s="1">
        <f>SUM(D420-983.36484)</f>
        <v>162.20816000000013</v>
      </c>
      <c r="G420" s="1">
        <f>3+0.758</f>
        <v>3.758</v>
      </c>
      <c r="H420" s="1">
        <v>3.758</v>
      </c>
      <c r="I420" s="41" t="s">
        <v>133</v>
      </c>
    </row>
    <row r="421" spans="1:9" ht="51" customHeight="1" thickBot="1">
      <c r="A421" s="150"/>
      <c r="B421" s="151"/>
      <c r="C421" s="34" t="s">
        <v>292</v>
      </c>
      <c r="D421" s="48"/>
      <c r="E421" s="49"/>
      <c r="F421" s="50"/>
      <c r="G421" s="51">
        <v>3</v>
      </c>
      <c r="H421" s="50">
        <v>3</v>
      </c>
      <c r="I421" s="52" t="s">
        <v>132</v>
      </c>
    </row>
  </sheetData>
  <sheetProtection/>
  <mergeCells count="295">
    <mergeCell ref="I300:I301"/>
    <mergeCell ref="I297:I298"/>
    <mergeCell ref="I313:I314"/>
    <mergeCell ref="I250:I251"/>
    <mergeCell ref="I253:I254"/>
    <mergeCell ref="I255:I256"/>
    <mergeCell ref="I323:I324"/>
    <mergeCell ref="I265:I266"/>
    <mergeCell ref="I276:I277"/>
    <mergeCell ref="I278:I279"/>
    <mergeCell ref="I280:I281"/>
    <mergeCell ref="I282:I283"/>
    <mergeCell ref="I295:I296"/>
    <mergeCell ref="I231:I232"/>
    <mergeCell ref="I234:I235"/>
    <mergeCell ref="I244:I245"/>
    <mergeCell ref="I246:I247"/>
    <mergeCell ref="I195:I196"/>
    <mergeCell ref="I220:I221"/>
    <mergeCell ref="I226:I227"/>
    <mergeCell ref="I229:I230"/>
    <mergeCell ref="I176:I177"/>
    <mergeCell ref="I178:I179"/>
    <mergeCell ref="I190:I191"/>
    <mergeCell ref="I193:I194"/>
    <mergeCell ref="I155:I156"/>
    <mergeCell ref="I157:I158"/>
    <mergeCell ref="I164:I165"/>
    <mergeCell ref="I168:I169"/>
    <mergeCell ref="A4:I4"/>
    <mergeCell ref="A6:I6"/>
    <mergeCell ref="B7:C7"/>
    <mergeCell ref="C8:C9"/>
    <mergeCell ref="D8:D9"/>
    <mergeCell ref="E8:E9"/>
    <mergeCell ref="F8:F9"/>
    <mergeCell ref="G8:G9"/>
    <mergeCell ref="H8:H9"/>
    <mergeCell ref="I8:I9"/>
    <mergeCell ref="A19:A20"/>
    <mergeCell ref="A21:A22"/>
    <mergeCell ref="I16:I17"/>
    <mergeCell ref="I19:I20"/>
    <mergeCell ref="I21:I22"/>
    <mergeCell ref="A13:A14"/>
    <mergeCell ref="B13:B14"/>
    <mergeCell ref="B30:B31"/>
    <mergeCell ref="A23:A24"/>
    <mergeCell ref="A25:A26"/>
    <mergeCell ref="A28:A29"/>
    <mergeCell ref="B23:B24"/>
    <mergeCell ref="B25:B26"/>
    <mergeCell ref="B28:B29"/>
    <mergeCell ref="A16:A17"/>
    <mergeCell ref="A30:A31"/>
    <mergeCell ref="A35:A36"/>
    <mergeCell ref="A37:A38"/>
    <mergeCell ref="I366:I367"/>
    <mergeCell ref="I59:I60"/>
    <mergeCell ref="I140:I141"/>
    <mergeCell ref="I142:I143"/>
    <mergeCell ref="I148:I149"/>
    <mergeCell ref="I151:I152"/>
    <mergeCell ref="I153:I154"/>
    <mergeCell ref="I42:I43"/>
    <mergeCell ref="I45:I46"/>
    <mergeCell ref="A39:A40"/>
    <mergeCell ref="A42:A43"/>
    <mergeCell ref="A45:A46"/>
    <mergeCell ref="B39:B40"/>
    <mergeCell ref="B16:B17"/>
    <mergeCell ref="B19:B20"/>
    <mergeCell ref="B21:B22"/>
    <mergeCell ref="I35:I36"/>
    <mergeCell ref="I23:I24"/>
    <mergeCell ref="I25:I26"/>
    <mergeCell ref="B42:B43"/>
    <mergeCell ref="B45:B46"/>
    <mergeCell ref="B35:B36"/>
    <mergeCell ref="B37:B38"/>
    <mergeCell ref="I28:I29"/>
    <mergeCell ref="I30:I31"/>
    <mergeCell ref="I37:I38"/>
    <mergeCell ref="I39:I40"/>
    <mergeCell ref="A47:A48"/>
    <mergeCell ref="A51:A52"/>
    <mergeCell ref="A53:A54"/>
    <mergeCell ref="B47:B48"/>
    <mergeCell ref="B51:B52"/>
    <mergeCell ref="B53:B54"/>
    <mergeCell ref="A59:A60"/>
    <mergeCell ref="A63:A64"/>
    <mergeCell ref="A66:A67"/>
    <mergeCell ref="B59:B60"/>
    <mergeCell ref="B63:B64"/>
    <mergeCell ref="B66:B67"/>
    <mergeCell ref="A69:A70"/>
    <mergeCell ref="A71:A72"/>
    <mergeCell ref="A73:A74"/>
    <mergeCell ref="B69:B70"/>
    <mergeCell ref="A82:A83"/>
    <mergeCell ref="A84:A86"/>
    <mergeCell ref="A90:A91"/>
    <mergeCell ref="B82:B83"/>
    <mergeCell ref="A97:A98"/>
    <mergeCell ref="A104:A105"/>
    <mergeCell ref="A115:A116"/>
    <mergeCell ref="B97:B98"/>
    <mergeCell ref="A117:A118"/>
    <mergeCell ref="A122:A123"/>
    <mergeCell ref="A132:A133"/>
    <mergeCell ref="B117:B118"/>
    <mergeCell ref="A136:A137"/>
    <mergeCell ref="A140:A141"/>
    <mergeCell ref="A142:A143"/>
    <mergeCell ref="B136:B137"/>
    <mergeCell ref="A148:A149"/>
    <mergeCell ref="A151:A152"/>
    <mergeCell ref="A153:A154"/>
    <mergeCell ref="B148:B149"/>
    <mergeCell ref="A155:A156"/>
    <mergeCell ref="A157:A158"/>
    <mergeCell ref="A164:A165"/>
    <mergeCell ref="B155:B156"/>
    <mergeCell ref="B157:B158"/>
    <mergeCell ref="B164:B165"/>
    <mergeCell ref="A168:A169"/>
    <mergeCell ref="A176:A177"/>
    <mergeCell ref="A178:A179"/>
    <mergeCell ref="B168:B169"/>
    <mergeCell ref="B176:B177"/>
    <mergeCell ref="B178:B179"/>
    <mergeCell ref="A181:A183"/>
    <mergeCell ref="A190:A191"/>
    <mergeCell ref="A193:A194"/>
    <mergeCell ref="A195:A196"/>
    <mergeCell ref="A220:A221"/>
    <mergeCell ref="A222:A223"/>
    <mergeCell ref="A226:A227"/>
    <mergeCell ref="B222:B223"/>
    <mergeCell ref="B220:B221"/>
    <mergeCell ref="A229:A230"/>
    <mergeCell ref="A231:A232"/>
    <mergeCell ref="A234:A235"/>
    <mergeCell ref="B231:B232"/>
    <mergeCell ref="B234:B235"/>
    <mergeCell ref="A244:A245"/>
    <mergeCell ref="A246:A247"/>
    <mergeCell ref="A250:A251"/>
    <mergeCell ref="B246:B247"/>
    <mergeCell ref="B250:B251"/>
    <mergeCell ref="B244:B245"/>
    <mergeCell ref="A253:A254"/>
    <mergeCell ref="A255:A256"/>
    <mergeCell ref="A261:A262"/>
    <mergeCell ref="B255:B256"/>
    <mergeCell ref="B261:B262"/>
    <mergeCell ref="B253:B254"/>
    <mergeCell ref="A263:A264"/>
    <mergeCell ref="A265:A266"/>
    <mergeCell ref="A267:A268"/>
    <mergeCell ref="B265:B266"/>
    <mergeCell ref="B267:B268"/>
    <mergeCell ref="B263:B264"/>
    <mergeCell ref="A270:A271"/>
    <mergeCell ref="A274:A275"/>
    <mergeCell ref="A276:A277"/>
    <mergeCell ref="B274:B275"/>
    <mergeCell ref="B276:B277"/>
    <mergeCell ref="B270:B271"/>
    <mergeCell ref="A278:A279"/>
    <mergeCell ref="A280:A281"/>
    <mergeCell ref="A282:A283"/>
    <mergeCell ref="B280:B281"/>
    <mergeCell ref="B278:B279"/>
    <mergeCell ref="B282:B283"/>
    <mergeCell ref="A287:A288"/>
    <mergeCell ref="A291:A292"/>
    <mergeCell ref="A293:A294"/>
    <mergeCell ref="B291:B292"/>
    <mergeCell ref="B293:B294"/>
    <mergeCell ref="B287:B288"/>
    <mergeCell ref="A315:A316"/>
    <mergeCell ref="B313:B314"/>
    <mergeCell ref="A302:A303"/>
    <mergeCell ref="A304:A305"/>
    <mergeCell ref="A306:A307"/>
    <mergeCell ref="B304:B305"/>
    <mergeCell ref="B315:B316"/>
    <mergeCell ref="B302:B303"/>
    <mergeCell ref="B329:B330"/>
    <mergeCell ref="A295:A296"/>
    <mergeCell ref="A297:A298"/>
    <mergeCell ref="A300:A301"/>
    <mergeCell ref="B297:B298"/>
    <mergeCell ref="B300:B301"/>
    <mergeCell ref="B295:B296"/>
    <mergeCell ref="A309:A310"/>
    <mergeCell ref="A313:A314"/>
    <mergeCell ref="B394:B395"/>
    <mergeCell ref="B396:B397"/>
    <mergeCell ref="B318:B319"/>
    <mergeCell ref="B306:B307"/>
    <mergeCell ref="B309:B310"/>
    <mergeCell ref="A398:A399"/>
    <mergeCell ref="B398:B399"/>
    <mergeCell ref="B412:B413"/>
    <mergeCell ref="B417:B418"/>
    <mergeCell ref="B402:B403"/>
    <mergeCell ref="B407:B408"/>
    <mergeCell ref="A366:A367"/>
    <mergeCell ref="A417:A418"/>
    <mergeCell ref="A420:A421"/>
    <mergeCell ref="B420:B421"/>
    <mergeCell ref="A402:A403"/>
    <mergeCell ref="A407:A408"/>
    <mergeCell ref="A409:A410"/>
    <mergeCell ref="B409:B410"/>
    <mergeCell ref="A394:A395"/>
    <mergeCell ref="A396:A397"/>
    <mergeCell ref="B84:B86"/>
    <mergeCell ref="B90:B91"/>
    <mergeCell ref="B226:B227"/>
    <mergeCell ref="B229:B230"/>
    <mergeCell ref="B190:B191"/>
    <mergeCell ref="B193:B194"/>
    <mergeCell ref="B181:B183"/>
    <mergeCell ref="B195:B196"/>
    <mergeCell ref="B122:B123"/>
    <mergeCell ref="B132:B133"/>
    <mergeCell ref="B104:B105"/>
    <mergeCell ref="B115:B116"/>
    <mergeCell ref="A391:A392"/>
    <mergeCell ref="B378:B379"/>
    <mergeCell ref="B387:B389"/>
    <mergeCell ref="B391:B392"/>
    <mergeCell ref="I138:I139"/>
    <mergeCell ref="I13:I14"/>
    <mergeCell ref="A378:A379"/>
    <mergeCell ref="A387:A389"/>
    <mergeCell ref="B71:B72"/>
    <mergeCell ref="B73:B74"/>
    <mergeCell ref="B151:B152"/>
    <mergeCell ref="B153:B154"/>
    <mergeCell ref="B140:B141"/>
    <mergeCell ref="B142:B143"/>
    <mergeCell ref="I117:I118"/>
    <mergeCell ref="I122:I123"/>
    <mergeCell ref="I132:I133"/>
    <mergeCell ref="I136:I137"/>
    <mergeCell ref="I90:I91"/>
    <mergeCell ref="I97:I98"/>
    <mergeCell ref="I104:I105"/>
    <mergeCell ref="I115:I116"/>
    <mergeCell ref="I302:I303"/>
    <mergeCell ref="I391:I392"/>
    <mergeCell ref="I398:I399"/>
    <mergeCell ref="I396:I397"/>
    <mergeCell ref="I394:I395"/>
    <mergeCell ref="I329:I330"/>
    <mergeCell ref="I335:I336"/>
    <mergeCell ref="I47:I48"/>
    <mergeCell ref="I53:I54"/>
    <mergeCell ref="I291:I292"/>
    <mergeCell ref="I293:I294"/>
    <mergeCell ref="I181:I183"/>
    <mergeCell ref="I84:I86"/>
    <mergeCell ref="I66:I67"/>
    <mergeCell ref="I69:I70"/>
    <mergeCell ref="I71:I72"/>
    <mergeCell ref="I73:I74"/>
    <mergeCell ref="A412:A413"/>
    <mergeCell ref="A373:A377"/>
    <mergeCell ref="B373:B377"/>
    <mergeCell ref="A331:A332"/>
    <mergeCell ref="A333:A334"/>
    <mergeCell ref="A335:A336"/>
    <mergeCell ref="B333:B334"/>
    <mergeCell ref="B335:B336"/>
    <mergeCell ref="B366:B367"/>
    <mergeCell ref="B331:B332"/>
    <mergeCell ref="I304:I305"/>
    <mergeCell ref="B368:B372"/>
    <mergeCell ref="A368:A372"/>
    <mergeCell ref="B384:B385"/>
    <mergeCell ref="A384:A385"/>
    <mergeCell ref="I373:I374"/>
    <mergeCell ref="A318:A319"/>
    <mergeCell ref="A323:A324"/>
    <mergeCell ref="A329:A330"/>
    <mergeCell ref="B323:B324"/>
    <mergeCell ref="I402:I403"/>
    <mergeCell ref="I407:I408"/>
    <mergeCell ref="I409:I410"/>
    <mergeCell ref="I412:I413"/>
  </mergeCells>
  <printOptions/>
  <pageMargins left="0.5118110236220472" right="0.31496062992125984" top="0.9448818897637796" bottom="0.15748031496062992" header="0.31496062992125984" footer="0.31496062992125984"/>
  <pageSetup firstPageNumber="54" useFirstPageNumber="1" horizontalDpi="600" verticalDpi="600" orientation="landscape" paperSize="9" scale="5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H124"/>
  <sheetViews>
    <sheetView tabSelected="1" view="pageBreakPreview" zoomScale="60" zoomScaleNormal="60" zoomScalePageLayoutView="0" workbookViewId="0" topLeftCell="A1">
      <selection activeCell="A1" sqref="A1"/>
    </sheetView>
  </sheetViews>
  <sheetFormatPr defaultColWidth="9.140625" defaultRowHeight="15"/>
  <cols>
    <col min="1" max="1" width="17.8515625" style="84" customWidth="1"/>
    <col min="2" max="2" width="39.00390625" style="84" customWidth="1"/>
    <col min="3" max="3" width="18.421875" style="84" customWidth="1"/>
    <col min="4" max="4" width="18.7109375" style="84" customWidth="1"/>
    <col min="5" max="5" width="19.7109375" style="119" customWidth="1"/>
    <col min="6" max="6" width="80.57421875" style="120" customWidth="1"/>
    <col min="7" max="7" width="9.140625" style="84" customWidth="1"/>
    <col min="8" max="8" width="14.421875" style="84" bestFit="1" customWidth="1"/>
    <col min="9" max="16384" width="9.140625" style="84" customWidth="1"/>
  </cols>
  <sheetData>
    <row r="1" spans="1:6" ht="18.75">
      <c r="A1" s="104"/>
      <c r="B1" s="104"/>
      <c r="C1" s="104"/>
      <c r="D1" s="105"/>
      <c r="E1" s="105"/>
      <c r="F1" s="106" t="s">
        <v>17</v>
      </c>
    </row>
    <row r="2" spans="1:6" ht="18.75">
      <c r="A2" s="130" t="s">
        <v>306</v>
      </c>
      <c r="B2" s="130"/>
      <c r="C2" s="130"/>
      <c r="D2" s="130"/>
      <c r="E2" s="130"/>
      <c r="F2" s="130"/>
    </row>
    <row r="3" spans="1:6" ht="19.5" thickBot="1">
      <c r="A3" s="104"/>
      <c r="B3" s="104"/>
      <c r="C3" s="107"/>
      <c r="D3" s="105"/>
      <c r="E3" s="105"/>
      <c r="F3" s="106" t="s">
        <v>299</v>
      </c>
    </row>
    <row r="4" spans="1:6" ht="112.5">
      <c r="A4" s="69" t="s">
        <v>282</v>
      </c>
      <c r="B4" s="70" t="s">
        <v>283</v>
      </c>
      <c r="C4" s="158" t="s">
        <v>284</v>
      </c>
      <c r="D4" s="131" t="s">
        <v>297</v>
      </c>
      <c r="E4" s="158" t="s">
        <v>298</v>
      </c>
      <c r="F4" s="162" t="s">
        <v>9</v>
      </c>
    </row>
    <row r="5" spans="1:6" ht="123.75" customHeight="1" thickBot="1">
      <c r="A5" s="71" t="s">
        <v>288</v>
      </c>
      <c r="B5" s="45" t="s">
        <v>289</v>
      </c>
      <c r="C5" s="159"/>
      <c r="D5" s="132"/>
      <c r="E5" s="159"/>
      <c r="F5" s="139"/>
    </row>
    <row r="6" spans="1:6" ht="19.5" thickBot="1">
      <c r="A6" s="72">
        <v>1</v>
      </c>
      <c r="B6" s="73">
        <v>2</v>
      </c>
      <c r="C6" s="73">
        <v>3</v>
      </c>
      <c r="D6" s="108">
        <v>4</v>
      </c>
      <c r="E6" s="108">
        <v>5</v>
      </c>
      <c r="F6" s="75">
        <v>6</v>
      </c>
    </row>
    <row r="7" spans="1:6" s="85" customFormat="1" ht="18.75">
      <c r="A7" s="53"/>
      <c r="B7" s="56" t="s">
        <v>307</v>
      </c>
      <c r="C7" s="54"/>
      <c r="D7" s="55">
        <f>SUM(D8+D13+D30+D44+D52+D54+D64+D66+D76+D84+D86+D88+D92+D96+D98+D100+D103+D107+D109+D113+D116+D118+D78)</f>
        <v>146327.293</v>
      </c>
      <c r="E7" s="55">
        <f>SUM(E8+E13+E30+E44+E52+E54+E64+E66+E76+E84+E86+E88+E92+E96+E98+E100+E103+E107+E109+E113+E116+E118+E78)</f>
        <v>63484.17365999999</v>
      </c>
      <c r="F7" s="109"/>
    </row>
    <row r="8" spans="1:6" s="85" customFormat="1" ht="37.5">
      <c r="A8" s="82" t="s">
        <v>290</v>
      </c>
      <c r="B8" s="25" t="s">
        <v>300</v>
      </c>
      <c r="C8" s="25"/>
      <c r="D8" s="26">
        <f>SUM(D9+D11)</f>
        <v>827.942</v>
      </c>
      <c r="E8" s="26">
        <f>SUM(E9+E11)</f>
        <v>425.33587</v>
      </c>
      <c r="F8" s="116"/>
    </row>
    <row r="9" spans="1:6" ht="111" customHeight="1">
      <c r="A9" s="127" t="s">
        <v>301</v>
      </c>
      <c r="B9" s="39" t="s">
        <v>302</v>
      </c>
      <c r="C9" s="128" t="s">
        <v>303</v>
      </c>
      <c r="D9" s="1">
        <f>253.199+41.588+154.058+4.615+333.058</f>
        <v>786.518</v>
      </c>
      <c r="E9" s="24">
        <v>383.91187</v>
      </c>
      <c r="F9" s="41" t="s">
        <v>148</v>
      </c>
    </row>
    <row r="10" spans="1:6" ht="77.25" customHeight="1">
      <c r="A10" s="127"/>
      <c r="B10" s="3" t="s">
        <v>292</v>
      </c>
      <c r="C10" s="128"/>
      <c r="D10" s="1">
        <v>183.199</v>
      </c>
      <c r="E10" s="24">
        <f>41.895+141.3037</f>
        <v>183.1987</v>
      </c>
      <c r="F10" s="41" t="s">
        <v>83</v>
      </c>
    </row>
    <row r="11" spans="1:6" ht="37.5" customHeight="1">
      <c r="A11" s="127" t="s">
        <v>304</v>
      </c>
      <c r="B11" s="39" t="s">
        <v>305</v>
      </c>
      <c r="C11" s="128" t="s">
        <v>303</v>
      </c>
      <c r="D11" s="1">
        <f>SUM(D12)</f>
        <v>41.424</v>
      </c>
      <c r="E11" s="24">
        <v>41.424</v>
      </c>
      <c r="F11" s="165" t="s">
        <v>154</v>
      </c>
    </row>
    <row r="12" spans="1:6" ht="37.5" customHeight="1">
      <c r="A12" s="127"/>
      <c r="B12" s="3" t="s">
        <v>292</v>
      </c>
      <c r="C12" s="128"/>
      <c r="D12" s="1">
        <v>41.424</v>
      </c>
      <c r="E12" s="24">
        <v>41.424</v>
      </c>
      <c r="F12" s="165"/>
    </row>
    <row r="13" spans="1:6" s="85" customFormat="1" ht="56.25">
      <c r="A13" s="32">
        <v>10</v>
      </c>
      <c r="B13" s="25" t="s">
        <v>293</v>
      </c>
      <c r="C13" s="25"/>
      <c r="D13" s="26">
        <f>SUM(D14+D15+D17+D19+D21+D24+D27+D23+D29+D26)</f>
        <v>12610.515999999998</v>
      </c>
      <c r="E13" s="26">
        <f>SUM(E14+E15+E17+E19+E21+E24+E27+E23+E29+E26)</f>
        <v>5870.90752</v>
      </c>
      <c r="F13" s="116"/>
    </row>
    <row r="14" spans="1:6" ht="39.75" customHeight="1">
      <c r="A14" s="43" t="s">
        <v>301</v>
      </c>
      <c r="B14" s="39" t="s">
        <v>302</v>
      </c>
      <c r="C14" s="36" t="s">
        <v>303</v>
      </c>
      <c r="D14" s="1">
        <v>14</v>
      </c>
      <c r="E14" s="24">
        <v>12.12</v>
      </c>
      <c r="F14" s="46" t="s">
        <v>122</v>
      </c>
    </row>
    <row r="15" spans="1:6" ht="203.25" customHeight="1">
      <c r="A15" s="127" t="s">
        <v>611</v>
      </c>
      <c r="B15" s="3" t="s">
        <v>612</v>
      </c>
      <c r="C15" s="128" t="s">
        <v>303</v>
      </c>
      <c r="D15" s="1">
        <f>2735.35-298.673+2020+9</f>
        <v>4465.677</v>
      </c>
      <c r="E15" s="24">
        <v>1611.63644</v>
      </c>
      <c r="F15" s="41" t="s">
        <v>155</v>
      </c>
    </row>
    <row r="16" spans="1:6" ht="130.5" customHeight="1">
      <c r="A16" s="127"/>
      <c r="B16" s="3" t="s">
        <v>292</v>
      </c>
      <c r="C16" s="128"/>
      <c r="D16" s="1">
        <v>666.304</v>
      </c>
      <c r="E16" s="24">
        <f>326.37105+338.93074</f>
        <v>665.30179</v>
      </c>
      <c r="F16" s="41" t="s">
        <v>156</v>
      </c>
    </row>
    <row r="17" spans="1:6" ht="369.75" customHeight="1">
      <c r="A17" s="127" t="s">
        <v>613</v>
      </c>
      <c r="B17" s="39" t="s">
        <v>614</v>
      </c>
      <c r="C17" s="128" t="s">
        <v>303</v>
      </c>
      <c r="D17" s="1">
        <v>7410.781</v>
      </c>
      <c r="E17" s="24">
        <v>3668.27755</v>
      </c>
      <c r="F17" s="46" t="s">
        <v>281</v>
      </c>
    </row>
    <row r="18" spans="1:6" ht="150" customHeight="1">
      <c r="A18" s="127"/>
      <c r="B18" s="3" t="s">
        <v>292</v>
      </c>
      <c r="C18" s="128"/>
      <c r="D18" s="1">
        <v>1137.942</v>
      </c>
      <c r="E18" s="24">
        <f>630.70173+23.6856+482.08763</f>
        <v>1136.47496</v>
      </c>
      <c r="F18" s="41" t="s">
        <v>110</v>
      </c>
    </row>
    <row r="19" spans="1:6" ht="27.75" customHeight="1">
      <c r="A19" s="129" t="s">
        <v>615</v>
      </c>
      <c r="B19" s="39" t="s">
        <v>616</v>
      </c>
      <c r="C19" s="128" t="s">
        <v>303</v>
      </c>
      <c r="D19" s="1">
        <v>49.3</v>
      </c>
      <c r="E19" s="24">
        <v>44.7989</v>
      </c>
      <c r="F19" s="46" t="s">
        <v>111</v>
      </c>
    </row>
    <row r="20" spans="1:6" ht="39.75" customHeight="1">
      <c r="A20" s="129"/>
      <c r="B20" s="3" t="s">
        <v>292</v>
      </c>
      <c r="C20" s="128"/>
      <c r="D20" s="1">
        <v>14.8</v>
      </c>
      <c r="E20" s="24">
        <v>14.7989</v>
      </c>
      <c r="F20" s="46" t="s">
        <v>112</v>
      </c>
    </row>
    <row r="21" spans="1:6" ht="78.75" customHeight="1">
      <c r="A21" s="127" t="s">
        <v>617</v>
      </c>
      <c r="B21" s="39" t="s">
        <v>618</v>
      </c>
      <c r="C21" s="128" t="s">
        <v>303</v>
      </c>
      <c r="D21" s="1">
        <f>225.578+11</f>
        <v>236.578</v>
      </c>
      <c r="E21" s="24">
        <v>130.57617</v>
      </c>
      <c r="F21" s="41" t="s">
        <v>113</v>
      </c>
    </row>
    <row r="22" spans="1:6" ht="42.75" customHeight="1">
      <c r="A22" s="127"/>
      <c r="B22" s="3" t="s">
        <v>292</v>
      </c>
      <c r="C22" s="128"/>
      <c r="D22" s="1">
        <f>33.649-24.05</f>
        <v>9.599</v>
      </c>
      <c r="E22" s="24">
        <v>9.599</v>
      </c>
      <c r="F22" s="46" t="s">
        <v>114</v>
      </c>
    </row>
    <row r="23" spans="1:6" ht="37.5">
      <c r="A23" s="43" t="s">
        <v>619</v>
      </c>
      <c r="B23" s="39" t="s">
        <v>620</v>
      </c>
      <c r="C23" s="36" t="s">
        <v>303</v>
      </c>
      <c r="D23" s="1">
        <v>49</v>
      </c>
      <c r="E23" s="24">
        <v>41.84</v>
      </c>
      <c r="F23" s="46" t="s">
        <v>117</v>
      </c>
    </row>
    <row r="24" spans="1:6" ht="56.25">
      <c r="A24" s="127" t="s">
        <v>621</v>
      </c>
      <c r="B24" s="39" t="s">
        <v>622</v>
      </c>
      <c r="C24" s="128" t="s">
        <v>303</v>
      </c>
      <c r="D24" s="1">
        <v>94.43</v>
      </c>
      <c r="E24" s="24">
        <v>91.91</v>
      </c>
      <c r="F24" s="46" t="s">
        <v>118</v>
      </c>
    </row>
    <row r="25" spans="1:6" ht="37.5">
      <c r="A25" s="127"/>
      <c r="B25" s="3" t="s">
        <v>292</v>
      </c>
      <c r="C25" s="128"/>
      <c r="D25" s="1">
        <v>17.43</v>
      </c>
      <c r="E25" s="24">
        <v>17.43</v>
      </c>
      <c r="F25" s="46" t="s">
        <v>119</v>
      </c>
    </row>
    <row r="26" spans="1:6" ht="56.25">
      <c r="A26" s="43" t="s">
        <v>623</v>
      </c>
      <c r="B26" s="3" t="s">
        <v>624</v>
      </c>
      <c r="C26" s="36" t="s">
        <v>303</v>
      </c>
      <c r="D26" s="1">
        <v>10</v>
      </c>
      <c r="E26" s="24">
        <v>9.99846</v>
      </c>
      <c r="F26" s="46" t="s">
        <v>120</v>
      </c>
    </row>
    <row r="27" spans="1:6" ht="61.5" customHeight="1">
      <c r="A27" s="129" t="s">
        <v>625</v>
      </c>
      <c r="B27" s="39" t="s">
        <v>626</v>
      </c>
      <c r="C27" s="128" t="s">
        <v>303</v>
      </c>
      <c r="D27" s="1">
        <v>232.25</v>
      </c>
      <c r="E27" s="24">
        <v>211.25</v>
      </c>
      <c r="F27" s="117" t="s">
        <v>115</v>
      </c>
    </row>
    <row r="28" spans="1:6" ht="37.5">
      <c r="A28" s="129"/>
      <c r="B28" s="3" t="s">
        <v>292</v>
      </c>
      <c r="C28" s="128"/>
      <c r="D28" s="1">
        <f>39.5-35.5</f>
        <v>4</v>
      </c>
      <c r="E28" s="24">
        <v>4</v>
      </c>
      <c r="F28" s="117" t="s">
        <v>121</v>
      </c>
    </row>
    <row r="29" spans="1:6" ht="42.75" customHeight="1">
      <c r="A29" s="44" t="s">
        <v>627</v>
      </c>
      <c r="B29" s="39" t="s">
        <v>628</v>
      </c>
      <c r="C29" s="36" t="s">
        <v>303</v>
      </c>
      <c r="D29" s="1">
        <v>48.5</v>
      </c>
      <c r="E29" s="24">
        <v>48.5</v>
      </c>
      <c r="F29" s="117" t="s">
        <v>116</v>
      </c>
    </row>
    <row r="30" spans="1:6" s="85" customFormat="1" ht="56.25">
      <c r="A30" s="32">
        <v>14</v>
      </c>
      <c r="B30" s="25" t="s">
        <v>629</v>
      </c>
      <c r="C30" s="27"/>
      <c r="D30" s="26">
        <f>SUM(D31+D32+D34+D36+D38+D40+D42+D43)</f>
        <v>18443.461</v>
      </c>
      <c r="E30" s="26">
        <f>SUM(E31+E32+E34+E36+E38+E40+E42+E43)</f>
        <v>10228.135639999999</v>
      </c>
      <c r="F30" s="116"/>
    </row>
    <row r="31" spans="1:6" ht="37.5">
      <c r="A31" s="43" t="s">
        <v>301</v>
      </c>
      <c r="B31" s="39" t="s">
        <v>302</v>
      </c>
      <c r="C31" s="36" t="s">
        <v>303</v>
      </c>
      <c r="D31" s="1">
        <v>7</v>
      </c>
      <c r="E31" s="24">
        <v>6.88</v>
      </c>
      <c r="F31" s="46" t="s">
        <v>100</v>
      </c>
    </row>
    <row r="32" spans="1:6" ht="230.25" customHeight="1">
      <c r="A32" s="127" t="s">
        <v>630</v>
      </c>
      <c r="B32" s="3" t="s">
        <v>631</v>
      </c>
      <c r="C32" s="128" t="s">
        <v>303</v>
      </c>
      <c r="D32" s="1">
        <v>8563.268</v>
      </c>
      <c r="E32" s="24">
        <v>2887.55908</v>
      </c>
      <c r="F32" s="110" t="s">
        <v>3</v>
      </c>
    </row>
    <row r="33" spans="1:6" ht="37.5">
      <c r="A33" s="127"/>
      <c r="B33" s="3" t="s">
        <v>292</v>
      </c>
      <c r="C33" s="128"/>
      <c r="D33" s="1">
        <f>1728.09-157.545-158.116</f>
        <v>1412.4289999999999</v>
      </c>
      <c r="E33" s="24">
        <f>1126.87804+284.19277</f>
        <v>1411.0708100000002</v>
      </c>
      <c r="F33" s="46" t="s">
        <v>0</v>
      </c>
    </row>
    <row r="34" spans="1:6" ht="111" customHeight="1">
      <c r="A34" s="127" t="s">
        <v>632</v>
      </c>
      <c r="B34" s="39" t="s">
        <v>633</v>
      </c>
      <c r="C34" s="128" t="s">
        <v>303</v>
      </c>
      <c r="D34" s="1">
        <v>4272.771</v>
      </c>
      <c r="E34" s="24">
        <v>3451.49863</v>
      </c>
      <c r="F34" s="110" t="s">
        <v>2</v>
      </c>
    </row>
    <row r="35" spans="1:6" ht="37.5">
      <c r="A35" s="127"/>
      <c r="B35" s="3" t="s">
        <v>292</v>
      </c>
      <c r="C35" s="128"/>
      <c r="D35" s="1">
        <f>605.02-33.25</f>
        <v>571.77</v>
      </c>
      <c r="E35" s="24">
        <v>571.77</v>
      </c>
      <c r="F35" s="46" t="s">
        <v>0</v>
      </c>
    </row>
    <row r="36" spans="1:6" ht="75">
      <c r="A36" s="127" t="s">
        <v>634</v>
      </c>
      <c r="B36" s="39" t="s">
        <v>635</v>
      </c>
      <c r="C36" s="128" t="s">
        <v>303</v>
      </c>
      <c r="D36" s="1">
        <v>634.616</v>
      </c>
      <c r="E36" s="24">
        <v>626.26752</v>
      </c>
      <c r="F36" s="147" t="s">
        <v>1</v>
      </c>
    </row>
    <row r="37" spans="1:6" ht="37.5">
      <c r="A37" s="127"/>
      <c r="B37" s="3" t="s">
        <v>292</v>
      </c>
      <c r="C37" s="128"/>
      <c r="D37" s="1">
        <f>664.268-28-10</f>
        <v>626.268</v>
      </c>
      <c r="E37" s="24">
        <f>619.15+7.11752</f>
        <v>626.26752</v>
      </c>
      <c r="F37" s="147"/>
    </row>
    <row r="38" spans="1:6" ht="60" customHeight="1">
      <c r="A38" s="127" t="s">
        <v>636</v>
      </c>
      <c r="B38" s="3" t="s">
        <v>637</v>
      </c>
      <c r="C38" s="128" t="s">
        <v>303</v>
      </c>
      <c r="D38" s="1">
        <v>48.4</v>
      </c>
      <c r="E38" s="24">
        <v>25</v>
      </c>
      <c r="F38" s="110" t="s">
        <v>131</v>
      </c>
    </row>
    <row r="39" spans="1:6" ht="37.5">
      <c r="A39" s="127"/>
      <c r="B39" s="3" t="s">
        <v>292</v>
      </c>
      <c r="C39" s="128"/>
      <c r="D39" s="1">
        <v>6</v>
      </c>
      <c r="E39" s="24">
        <v>6</v>
      </c>
      <c r="F39" s="46" t="s">
        <v>4</v>
      </c>
    </row>
    <row r="40" spans="1:6" ht="168.75">
      <c r="A40" s="127" t="s">
        <v>638</v>
      </c>
      <c r="B40" s="3" t="s">
        <v>639</v>
      </c>
      <c r="C40" s="128" t="s">
        <v>303</v>
      </c>
      <c r="D40" s="1">
        <v>4850.606</v>
      </c>
      <c r="E40" s="24">
        <v>3166.35541</v>
      </c>
      <c r="F40" s="110" t="s">
        <v>5</v>
      </c>
    </row>
    <row r="41" spans="1:6" ht="37.5">
      <c r="A41" s="127"/>
      <c r="B41" s="3" t="s">
        <v>292</v>
      </c>
      <c r="C41" s="128"/>
      <c r="D41" s="1">
        <f>832.578-773.077</f>
        <v>59.500999999999976</v>
      </c>
      <c r="E41" s="24">
        <v>59.5</v>
      </c>
      <c r="F41" s="46" t="s">
        <v>4</v>
      </c>
    </row>
    <row r="42" spans="1:6" ht="37.5">
      <c r="A42" s="43" t="s">
        <v>640</v>
      </c>
      <c r="B42" s="3" t="s">
        <v>641</v>
      </c>
      <c r="C42" s="36" t="s">
        <v>303</v>
      </c>
      <c r="D42" s="1">
        <v>11.6</v>
      </c>
      <c r="E42" s="24">
        <v>11.185</v>
      </c>
      <c r="F42" s="46" t="s">
        <v>88</v>
      </c>
    </row>
    <row r="43" spans="1:6" ht="116.25" customHeight="1">
      <c r="A43" s="43" t="s">
        <v>642</v>
      </c>
      <c r="B43" s="3" t="s">
        <v>643</v>
      </c>
      <c r="C43" s="36" t="s">
        <v>303</v>
      </c>
      <c r="D43" s="1">
        <v>55.2</v>
      </c>
      <c r="E43" s="24">
        <v>53.39</v>
      </c>
      <c r="F43" s="46" t="s">
        <v>101</v>
      </c>
    </row>
    <row r="44" spans="1:6" s="85" customFormat="1" ht="56.25">
      <c r="A44" s="32">
        <v>15</v>
      </c>
      <c r="B44" s="25" t="s">
        <v>336</v>
      </c>
      <c r="C44" s="27"/>
      <c r="D44" s="26">
        <f>SUM(D45+D49+D47+D51)</f>
        <v>2156.6749999999997</v>
      </c>
      <c r="E44" s="26">
        <f>SUM(E45+E49+E47+E51)</f>
        <v>891.32568</v>
      </c>
      <c r="F44" s="116"/>
    </row>
    <row r="45" spans="1:6" ht="131.25">
      <c r="A45" s="127" t="s">
        <v>301</v>
      </c>
      <c r="B45" s="3" t="s">
        <v>302</v>
      </c>
      <c r="C45" s="128" t="s">
        <v>303</v>
      </c>
      <c r="D45" s="1">
        <v>909.035</v>
      </c>
      <c r="E45" s="24">
        <v>401.92637</v>
      </c>
      <c r="F45" s="41" t="s">
        <v>272</v>
      </c>
    </row>
    <row r="46" spans="1:6" ht="37.5">
      <c r="A46" s="127"/>
      <c r="B46" s="3" t="s">
        <v>292</v>
      </c>
      <c r="C46" s="128"/>
      <c r="D46" s="1">
        <v>23.9</v>
      </c>
      <c r="E46" s="24">
        <v>23.9</v>
      </c>
      <c r="F46" s="42" t="s">
        <v>84</v>
      </c>
    </row>
    <row r="47" spans="1:6" ht="299.25">
      <c r="A47" s="43" t="s">
        <v>644</v>
      </c>
      <c r="B47" s="30" t="s">
        <v>20</v>
      </c>
      <c r="C47" s="36" t="s">
        <v>303</v>
      </c>
      <c r="D47" s="1">
        <v>29.807</v>
      </c>
      <c r="E47" s="24">
        <v>29.80607</v>
      </c>
      <c r="F47" s="133" t="s">
        <v>85</v>
      </c>
    </row>
    <row r="48" spans="1:6" ht="337.5" customHeight="1">
      <c r="A48" s="43"/>
      <c r="B48" s="31" t="s">
        <v>21</v>
      </c>
      <c r="C48" s="36"/>
      <c r="D48" s="1">
        <v>29.807</v>
      </c>
      <c r="E48" s="24">
        <v>29.80607</v>
      </c>
      <c r="F48" s="134"/>
    </row>
    <row r="49" spans="1:6" ht="76.5" customHeight="1">
      <c r="A49" s="127" t="s">
        <v>22</v>
      </c>
      <c r="B49" s="28" t="s">
        <v>23</v>
      </c>
      <c r="C49" s="128" t="s">
        <v>303</v>
      </c>
      <c r="D49" s="1">
        <v>1179.733</v>
      </c>
      <c r="E49" s="24">
        <v>421.60493</v>
      </c>
      <c r="F49" s="41" t="s">
        <v>157</v>
      </c>
    </row>
    <row r="50" spans="1:6" ht="148.5" customHeight="1">
      <c r="A50" s="127"/>
      <c r="B50" s="3" t="s">
        <v>292</v>
      </c>
      <c r="C50" s="128"/>
      <c r="D50" s="1">
        <v>51.06</v>
      </c>
      <c r="E50" s="24">
        <f>29.255+21.8047</f>
        <v>51.0597</v>
      </c>
      <c r="F50" s="41" t="s">
        <v>158</v>
      </c>
    </row>
    <row r="51" spans="1:6" ht="56.25">
      <c r="A51" s="43" t="s">
        <v>24</v>
      </c>
      <c r="B51" s="3" t="s">
        <v>25</v>
      </c>
      <c r="C51" s="36" t="s">
        <v>303</v>
      </c>
      <c r="D51" s="1">
        <f>30+8.1</f>
        <v>38.1</v>
      </c>
      <c r="E51" s="24">
        <v>37.98831</v>
      </c>
      <c r="F51" s="42" t="s">
        <v>86</v>
      </c>
    </row>
    <row r="52" spans="1:6" s="85" customFormat="1" ht="93.75">
      <c r="A52" s="32">
        <v>23</v>
      </c>
      <c r="B52" s="25" t="s">
        <v>26</v>
      </c>
      <c r="C52" s="27"/>
      <c r="D52" s="26">
        <f>SUM(D53)</f>
        <v>7</v>
      </c>
      <c r="E52" s="26">
        <f>SUM(E53)</f>
        <v>0</v>
      </c>
      <c r="F52" s="116"/>
    </row>
    <row r="53" spans="1:6" ht="37.5">
      <c r="A53" s="43" t="s">
        <v>301</v>
      </c>
      <c r="B53" s="3" t="s">
        <v>302</v>
      </c>
      <c r="C53" s="36" t="s">
        <v>303</v>
      </c>
      <c r="D53" s="1">
        <v>7</v>
      </c>
      <c r="E53" s="24">
        <v>0</v>
      </c>
      <c r="F53" s="41" t="s">
        <v>87</v>
      </c>
    </row>
    <row r="54" spans="1:6" s="85" customFormat="1" ht="56.25">
      <c r="A54" s="32">
        <v>24</v>
      </c>
      <c r="B54" s="25" t="s">
        <v>339</v>
      </c>
      <c r="C54" s="27"/>
      <c r="D54" s="26">
        <f>SUM(D55+D57+D59+D60+D62)</f>
        <v>3063.7749999999996</v>
      </c>
      <c r="E54" s="26">
        <f>SUM(E55+E57+E59+E60+E62)</f>
        <v>720.43526</v>
      </c>
      <c r="F54" s="116"/>
    </row>
    <row r="55" spans="1:6" ht="30" customHeight="1">
      <c r="A55" s="127" t="s">
        <v>27</v>
      </c>
      <c r="B55" s="3" t="s">
        <v>28</v>
      </c>
      <c r="C55" s="128" t="s">
        <v>303</v>
      </c>
      <c r="D55" s="1">
        <v>1.321</v>
      </c>
      <c r="E55" s="24">
        <v>1.3209</v>
      </c>
      <c r="F55" s="165" t="s">
        <v>95</v>
      </c>
    </row>
    <row r="56" spans="1:6" ht="37.5">
      <c r="A56" s="127"/>
      <c r="B56" s="3" t="s">
        <v>292</v>
      </c>
      <c r="C56" s="128"/>
      <c r="D56" s="1">
        <v>1.321</v>
      </c>
      <c r="E56" s="24">
        <v>1.3209</v>
      </c>
      <c r="F56" s="165"/>
    </row>
    <row r="57" spans="1:6" ht="63.75" customHeight="1">
      <c r="A57" s="127" t="s">
        <v>29</v>
      </c>
      <c r="B57" s="3" t="s">
        <v>30</v>
      </c>
      <c r="C57" s="128" t="s">
        <v>303</v>
      </c>
      <c r="D57" s="1">
        <v>269.062</v>
      </c>
      <c r="E57" s="24">
        <v>220.11822</v>
      </c>
      <c r="F57" s="41" t="s">
        <v>163</v>
      </c>
    </row>
    <row r="58" spans="1:6" ht="96.75" customHeight="1">
      <c r="A58" s="127"/>
      <c r="B58" s="3" t="s">
        <v>292</v>
      </c>
      <c r="C58" s="128"/>
      <c r="D58" s="1">
        <f>207.061-16.442</f>
        <v>190.619</v>
      </c>
      <c r="E58" s="24">
        <f>187.87262+2.7456</f>
        <v>190.61822</v>
      </c>
      <c r="F58" s="41" t="s">
        <v>164</v>
      </c>
    </row>
    <row r="59" spans="1:6" ht="63.75" customHeight="1">
      <c r="A59" s="43" t="s">
        <v>31</v>
      </c>
      <c r="B59" s="3" t="s">
        <v>32</v>
      </c>
      <c r="C59" s="36" t="s">
        <v>303</v>
      </c>
      <c r="D59" s="1">
        <f>1292.908-62.486</f>
        <v>1230.4219999999998</v>
      </c>
      <c r="E59" s="24">
        <v>346.525</v>
      </c>
      <c r="F59" s="41" t="s">
        <v>96</v>
      </c>
    </row>
    <row r="60" spans="1:6" ht="37.5">
      <c r="A60" s="127" t="s">
        <v>33</v>
      </c>
      <c r="B60" s="39" t="s">
        <v>34</v>
      </c>
      <c r="C60" s="128" t="s">
        <v>303</v>
      </c>
      <c r="D60" s="1">
        <v>1513.254</v>
      </c>
      <c r="E60" s="24">
        <v>102.75514</v>
      </c>
      <c r="F60" s="41" t="s">
        <v>165</v>
      </c>
    </row>
    <row r="61" spans="1:6" ht="37.5">
      <c r="A61" s="127"/>
      <c r="B61" s="3" t="s">
        <v>292</v>
      </c>
      <c r="C61" s="128"/>
      <c r="D61" s="1">
        <v>89.756</v>
      </c>
      <c r="E61" s="24">
        <v>89.75514</v>
      </c>
      <c r="F61" s="41" t="s">
        <v>97</v>
      </c>
    </row>
    <row r="62" spans="1:6" ht="37.5">
      <c r="A62" s="127" t="s">
        <v>35</v>
      </c>
      <c r="B62" s="39" t="s">
        <v>36</v>
      </c>
      <c r="C62" s="128" t="s">
        <v>303</v>
      </c>
      <c r="D62" s="1">
        <f>81.716-32</f>
        <v>49.715999999999994</v>
      </c>
      <c r="E62" s="24">
        <v>49.716</v>
      </c>
      <c r="F62" s="165" t="s">
        <v>166</v>
      </c>
    </row>
    <row r="63" spans="1:6" ht="37.5">
      <c r="A63" s="127"/>
      <c r="B63" s="3" t="s">
        <v>292</v>
      </c>
      <c r="C63" s="128"/>
      <c r="D63" s="1">
        <f>81.716-32</f>
        <v>49.715999999999994</v>
      </c>
      <c r="E63" s="24">
        <v>49.716</v>
      </c>
      <c r="F63" s="165"/>
    </row>
    <row r="64" spans="1:6" s="85" customFormat="1" ht="75">
      <c r="A64" s="32">
        <v>32</v>
      </c>
      <c r="B64" s="25" t="s">
        <v>37</v>
      </c>
      <c r="C64" s="25"/>
      <c r="D64" s="26">
        <f>SUM(D65)</f>
        <v>99.95</v>
      </c>
      <c r="E64" s="26">
        <f>SUM(E65)</f>
        <v>99.95</v>
      </c>
      <c r="F64" s="116"/>
    </row>
    <row r="65" spans="1:6" ht="56.25">
      <c r="A65" s="43" t="s">
        <v>301</v>
      </c>
      <c r="B65" s="3" t="s">
        <v>302</v>
      </c>
      <c r="C65" s="36" t="s">
        <v>303</v>
      </c>
      <c r="D65" s="1">
        <f>14+85.95</f>
        <v>99.95</v>
      </c>
      <c r="E65" s="24">
        <v>99.95</v>
      </c>
      <c r="F65" s="41" t="s">
        <v>94</v>
      </c>
    </row>
    <row r="66" spans="1:8" s="85" customFormat="1" ht="56.25">
      <c r="A66" s="32">
        <v>40</v>
      </c>
      <c r="B66" s="25" t="s">
        <v>38</v>
      </c>
      <c r="C66" s="27"/>
      <c r="D66" s="26">
        <f>SUM(D67+D68+D70+D72+D74)</f>
        <v>100209.329</v>
      </c>
      <c r="E66" s="26">
        <f>SUM(E67+E68+E70+E72+E74)</f>
        <v>37139.21929</v>
      </c>
      <c r="F66" s="116"/>
      <c r="H66" s="122">
        <f>SUM(E66+'таб. 3.1'!H68)</f>
        <v>56431.18461000001</v>
      </c>
    </row>
    <row r="67" spans="1:6" ht="37.5">
      <c r="A67" s="43" t="s">
        <v>301</v>
      </c>
      <c r="B67" s="3" t="s">
        <v>302</v>
      </c>
      <c r="C67" s="36" t="s">
        <v>303</v>
      </c>
      <c r="D67" s="1">
        <v>35</v>
      </c>
      <c r="E67" s="24">
        <v>34.51896</v>
      </c>
      <c r="F67" s="41" t="s">
        <v>123</v>
      </c>
    </row>
    <row r="68" spans="1:6" ht="225">
      <c r="A68" s="127" t="s">
        <v>39</v>
      </c>
      <c r="B68" s="3" t="s">
        <v>40</v>
      </c>
      <c r="C68" s="128" t="s">
        <v>303</v>
      </c>
      <c r="D68" s="1">
        <v>91657.184</v>
      </c>
      <c r="E68" s="24">
        <v>33797.8292</v>
      </c>
      <c r="F68" s="41" t="s">
        <v>124</v>
      </c>
    </row>
    <row r="69" spans="1:6" ht="135" customHeight="1">
      <c r="A69" s="127"/>
      <c r="B69" s="3" t="s">
        <v>292</v>
      </c>
      <c r="C69" s="128"/>
      <c r="D69" s="1">
        <v>11859.219</v>
      </c>
      <c r="E69" s="24">
        <f>205+11651.83946</f>
        <v>11856.83946</v>
      </c>
      <c r="F69" s="46" t="s">
        <v>273</v>
      </c>
    </row>
    <row r="70" spans="1:6" ht="56.25">
      <c r="A70" s="127" t="s">
        <v>41</v>
      </c>
      <c r="B70" s="3" t="s">
        <v>42</v>
      </c>
      <c r="C70" s="128" t="s">
        <v>303</v>
      </c>
      <c r="D70" s="1">
        <f>780.803+1000.043</f>
        <v>1780.846</v>
      </c>
      <c r="E70" s="24">
        <v>436.25446</v>
      </c>
      <c r="F70" s="41" t="s">
        <v>159</v>
      </c>
    </row>
    <row r="71" spans="1:6" ht="35.25" customHeight="1">
      <c r="A71" s="127"/>
      <c r="B71" s="3" t="s">
        <v>292</v>
      </c>
      <c r="C71" s="128"/>
      <c r="D71" s="1">
        <v>91.403</v>
      </c>
      <c r="E71" s="24">
        <v>91.40222</v>
      </c>
      <c r="F71" s="46" t="s">
        <v>222</v>
      </c>
    </row>
    <row r="72" spans="1:6" ht="93.75">
      <c r="A72" s="127" t="s">
        <v>43</v>
      </c>
      <c r="B72" s="39" t="s">
        <v>44</v>
      </c>
      <c r="C72" s="128" t="s">
        <v>303</v>
      </c>
      <c r="D72" s="1">
        <v>3894.79</v>
      </c>
      <c r="E72" s="24">
        <v>1818.99223</v>
      </c>
      <c r="F72" s="41" t="s">
        <v>126</v>
      </c>
    </row>
    <row r="73" spans="1:6" ht="37.5">
      <c r="A73" s="127"/>
      <c r="B73" s="3" t="s">
        <v>292</v>
      </c>
      <c r="C73" s="128"/>
      <c r="D73" s="1">
        <v>345.553</v>
      </c>
      <c r="E73" s="24">
        <f>184.2824+161.27047</f>
        <v>345.55287</v>
      </c>
      <c r="F73" s="41" t="s">
        <v>125</v>
      </c>
    </row>
    <row r="74" spans="1:6" ht="93.75">
      <c r="A74" s="127" t="s">
        <v>45</v>
      </c>
      <c r="B74" s="3" t="s">
        <v>46</v>
      </c>
      <c r="C74" s="128" t="s">
        <v>303</v>
      </c>
      <c r="D74" s="1">
        <f>1287.772+1422.029+131.708</f>
        <v>2841.509</v>
      </c>
      <c r="E74" s="24">
        <v>1051.62444</v>
      </c>
      <c r="F74" s="41" t="s">
        <v>127</v>
      </c>
    </row>
    <row r="75" spans="1:6" ht="56.25">
      <c r="A75" s="127"/>
      <c r="B75" s="3" t="s">
        <v>292</v>
      </c>
      <c r="C75" s="128"/>
      <c r="D75" s="1">
        <v>636.716</v>
      </c>
      <c r="E75" s="24">
        <v>636.71598</v>
      </c>
      <c r="F75" s="46" t="s">
        <v>274</v>
      </c>
    </row>
    <row r="76" spans="1:6" s="85" customFormat="1" ht="56.25">
      <c r="A76" s="32">
        <v>45</v>
      </c>
      <c r="B76" s="25" t="s">
        <v>47</v>
      </c>
      <c r="C76" s="27" t="s">
        <v>48</v>
      </c>
      <c r="D76" s="26">
        <f>SUM(D77)</f>
        <v>28</v>
      </c>
      <c r="E76" s="26">
        <f>SUM(E77)</f>
        <v>27.98544</v>
      </c>
      <c r="F76" s="116"/>
    </row>
    <row r="77" spans="1:6" ht="37.5">
      <c r="A77" s="43" t="s">
        <v>301</v>
      </c>
      <c r="B77" s="3" t="s">
        <v>302</v>
      </c>
      <c r="C77" s="36" t="s">
        <v>303</v>
      </c>
      <c r="D77" s="1">
        <f>61.915-33.915</f>
        <v>28</v>
      </c>
      <c r="E77" s="24">
        <v>27.98544</v>
      </c>
      <c r="F77" s="41" t="s">
        <v>91</v>
      </c>
    </row>
    <row r="78" spans="1:6" s="85" customFormat="1" ht="56.25">
      <c r="A78" s="32">
        <v>48</v>
      </c>
      <c r="B78" s="25" t="s">
        <v>49</v>
      </c>
      <c r="C78" s="27" t="s">
        <v>48</v>
      </c>
      <c r="D78" s="26">
        <f>SUM(D79+D80+D82)</f>
        <v>812.7189999999999</v>
      </c>
      <c r="E78" s="26">
        <f>SUM(E79+E80+E82)</f>
        <v>629.15718</v>
      </c>
      <c r="F78" s="116"/>
    </row>
    <row r="79" spans="1:6" ht="37.5">
      <c r="A79" s="43" t="s">
        <v>301</v>
      </c>
      <c r="B79" s="3" t="s">
        <v>302</v>
      </c>
      <c r="C79" s="36" t="s">
        <v>303</v>
      </c>
      <c r="D79" s="1">
        <v>14</v>
      </c>
      <c r="E79" s="24">
        <v>13.99896</v>
      </c>
      <c r="F79" s="41" t="s">
        <v>88</v>
      </c>
    </row>
    <row r="80" spans="1:6" ht="61.5" customHeight="1">
      <c r="A80" s="127" t="s">
        <v>50</v>
      </c>
      <c r="B80" s="3" t="s">
        <v>51</v>
      </c>
      <c r="C80" s="128" t="s">
        <v>303</v>
      </c>
      <c r="D80" s="1">
        <f>1550.464-852.232</f>
        <v>698.232</v>
      </c>
      <c r="E80" s="24">
        <v>590.67123</v>
      </c>
      <c r="F80" s="135" t="s">
        <v>89</v>
      </c>
    </row>
    <row r="81" spans="1:6" ht="37.5">
      <c r="A81" s="127"/>
      <c r="B81" s="3" t="s">
        <v>292</v>
      </c>
      <c r="C81" s="128"/>
      <c r="D81" s="1">
        <v>590.672</v>
      </c>
      <c r="E81" s="24">
        <v>590.67123</v>
      </c>
      <c r="F81" s="135"/>
    </row>
    <row r="82" spans="1:6" ht="28.5" customHeight="1">
      <c r="A82" s="127" t="s">
        <v>45</v>
      </c>
      <c r="B82" s="39" t="s">
        <v>46</v>
      </c>
      <c r="C82" s="128" t="s">
        <v>303</v>
      </c>
      <c r="D82" s="1">
        <v>100.487</v>
      </c>
      <c r="E82" s="24">
        <v>24.48699</v>
      </c>
      <c r="F82" s="135" t="s">
        <v>90</v>
      </c>
    </row>
    <row r="83" spans="1:6" ht="37.5">
      <c r="A83" s="127"/>
      <c r="B83" s="3" t="s">
        <v>292</v>
      </c>
      <c r="C83" s="128"/>
      <c r="D83" s="1">
        <v>24.487</v>
      </c>
      <c r="E83" s="24">
        <v>24.48699</v>
      </c>
      <c r="F83" s="135"/>
    </row>
    <row r="84" spans="1:6" s="85" customFormat="1" ht="56.25">
      <c r="A84" s="32">
        <v>56</v>
      </c>
      <c r="B84" s="25" t="s">
        <v>52</v>
      </c>
      <c r="C84" s="25" t="s">
        <v>48</v>
      </c>
      <c r="D84" s="26">
        <f>SUM(D85)</f>
        <v>21</v>
      </c>
      <c r="E84" s="26">
        <f>SUM(E85)</f>
        <v>20.9997</v>
      </c>
      <c r="F84" s="116"/>
    </row>
    <row r="85" spans="1:6" ht="37.5">
      <c r="A85" s="43" t="s">
        <v>301</v>
      </c>
      <c r="B85" s="3" t="s">
        <v>302</v>
      </c>
      <c r="C85" s="36" t="s">
        <v>303</v>
      </c>
      <c r="D85" s="1">
        <f>41.72+98.6-20.72-98.6</f>
        <v>21</v>
      </c>
      <c r="E85" s="24">
        <v>20.9997</v>
      </c>
      <c r="F85" s="41" t="s">
        <v>92</v>
      </c>
    </row>
    <row r="86" spans="1:6" s="85" customFormat="1" ht="56.25">
      <c r="A86" s="32">
        <v>60</v>
      </c>
      <c r="B86" s="25" t="s">
        <v>53</v>
      </c>
      <c r="C86" s="25" t="s">
        <v>48</v>
      </c>
      <c r="D86" s="26">
        <f>SUM(D87)</f>
        <v>21</v>
      </c>
      <c r="E86" s="26">
        <f>SUM(E87)</f>
        <v>21</v>
      </c>
      <c r="F86" s="116"/>
    </row>
    <row r="87" spans="1:6" ht="37.5">
      <c r="A87" s="43" t="s">
        <v>301</v>
      </c>
      <c r="B87" s="3" t="s">
        <v>302</v>
      </c>
      <c r="C87" s="36" t="s">
        <v>303</v>
      </c>
      <c r="D87" s="1">
        <v>21</v>
      </c>
      <c r="E87" s="24">
        <v>21</v>
      </c>
      <c r="F87" s="41" t="s">
        <v>93</v>
      </c>
    </row>
    <row r="88" spans="1:6" s="85" customFormat="1" ht="75">
      <c r="A88" s="82" t="s">
        <v>608</v>
      </c>
      <c r="B88" s="25" t="s">
        <v>54</v>
      </c>
      <c r="C88" s="25"/>
      <c r="D88" s="26">
        <f>SUM(D89+D90)</f>
        <v>1141.999</v>
      </c>
      <c r="E88" s="26">
        <f>SUM(E89+E90)</f>
        <v>726.98954</v>
      </c>
      <c r="F88" s="116"/>
    </row>
    <row r="89" spans="1:6" ht="37.5">
      <c r="A89" s="43" t="s">
        <v>301</v>
      </c>
      <c r="B89" s="3" t="s">
        <v>302</v>
      </c>
      <c r="C89" s="36" t="s">
        <v>303</v>
      </c>
      <c r="D89" s="1">
        <v>7</v>
      </c>
      <c r="E89" s="24">
        <v>0</v>
      </c>
      <c r="F89" s="41" t="s">
        <v>87</v>
      </c>
    </row>
    <row r="90" spans="1:6" ht="78" customHeight="1">
      <c r="A90" s="127" t="s">
        <v>55</v>
      </c>
      <c r="B90" s="3" t="s">
        <v>56</v>
      </c>
      <c r="C90" s="128" t="s">
        <v>303</v>
      </c>
      <c r="D90" s="1">
        <f>1734.999-600</f>
        <v>1134.999</v>
      </c>
      <c r="E90" s="24">
        <v>726.98954</v>
      </c>
      <c r="F90" s="41" t="s">
        <v>98</v>
      </c>
    </row>
    <row r="91" spans="1:6" ht="190.5" customHeight="1">
      <c r="A91" s="127"/>
      <c r="B91" s="3" t="s">
        <v>292</v>
      </c>
      <c r="C91" s="128"/>
      <c r="D91" s="1">
        <v>480.946</v>
      </c>
      <c r="E91" s="24">
        <v>480.94516</v>
      </c>
      <c r="F91" s="41" t="s">
        <v>160</v>
      </c>
    </row>
    <row r="92" spans="1:6" s="85" customFormat="1" ht="93.75">
      <c r="A92" s="32">
        <v>67</v>
      </c>
      <c r="B92" s="25" t="s">
        <v>57</v>
      </c>
      <c r="C92" s="27"/>
      <c r="D92" s="26">
        <f>SUM(D93:D95)</f>
        <v>6354.408</v>
      </c>
      <c r="E92" s="26">
        <f>SUM(E93:E95)</f>
        <v>6338.6553</v>
      </c>
      <c r="F92" s="116"/>
    </row>
    <row r="93" spans="1:6" ht="37.5">
      <c r="A93" s="43" t="s">
        <v>301</v>
      </c>
      <c r="B93" s="3" t="s">
        <v>302</v>
      </c>
      <c r="C93" s="36" t="s">
        <v>303</v>
      </c>
      <c r="D93" s="1">
        <v>7</v>
      </c>
      <c r="E93" s="24">
        <v>7</v>
      </c>
      <c r="F93" s="41" t="s">
        <v>151</v>
      </c>
    </row>
    <row r="94" spans="1:6" ht="117.75" customHeight="1">
      <c r="A94" s="43" t="s">
        <v>58</v>
      </c>
      <c r="B94" s="39" t="s">
        <v>59</v>
      </c>
      <c r="C94" s="36" t="s">
        <v>303</v>
      </c>
      <c r="D94" s="1">
        <v>6121.139</v>
      </c>
      <c r="E94" s="24">
        <v>6106.0121</v>
      </c>
      <c r="F94" s="41" t="s">
        <v>162</v>
      </c>
    </row>
    <row r="95" spans="1:6" ht="37.5">
      <c r="A95" s="43" t="s">
        <v>60</v>
      </c>
      <c r="B95" s="39" t="s">
        <v>61</v>
      </c>
      <c r="C95" s="36" t="s">
        <v>303</v>
      </c>
      <c r="D95" s="1">
        <v>226.269</v>
      </c>
      <c r="E95" s="24">
        <v>225.6432</v>
      </c>
      <c r="F95" s="46" t="s">
        <v>99</v>
      </c>
    </row>
    <row r="96" spans="1:6" s="85" customFormat="1" ht="56.25">
      <c r="A96" s="82">
        <v>73</v>
      </c>
      <c r="B96" s="25" t="s">
        <v>583</v>
      </c>
      <c r="C96" s="27"/>
      <c r="D96" s="26">
        <f>SUM(D97:D97)</f>
        <v>35</v>
      </c>
      <c r="E96" s="26">
        <f>SUM(E97:E97)</f>
        <v>34.9986</v>
      </c>
      <c r="F96" s="116"/>
    </row>
    <row r="97" spans="1:6" ht="37.5">
      <c r="A97" s="43" t="s">
        <v>301</v>
      </c>
      <c r="B97" s="3" t="s">
        <v>302</v>
      </c>
      <c r="C97" s="36" t="s">
        <v>303</v>
      </c>
      <c r="D97" s="1">
        <v>35</v>
      </c>
      <c r="E97" s="24">
        <v>34.9986</v>
      </c>
      <c r="F97" s="41" t="s">
        <v>146</v>
      </c>
    </row>
    <row r="98" spans="1:6" s="85" customFormat="1" ht="56.25">
      <c r="A98" s="82" t="s">
        <v>62</v>
      </c>
      <c r="B98" s="25" t="s">
        <v>63</v>
      </c>
      <c r="C98" s="27"/>
      <c r="D98" s="26">
        <f>SUM(D99)</f>
        <v>70</v>
      </c>
      <c r="E98" s="26">
        <f>SUM(E99)</f>
        <v>70</v>
      </c>
      <c r="F98" s="116"/>
    </row>
    <row r="99" spans="1:6" ht="52.5" customHeight="1">
      <c r="A99" s="43" t="s">
        <v>301</v>
      </c>
      <c r="B99" s="3" t="s">
        <v>302</v>
      </c>
      <c r="C99" s="36" t="s">
        <v>303</v>
      </c>
      <c r="D99" s="1">
        <v>70</v>
      </c>
      <c r="E99" s="24">
        <v>70</v>
      </c>
      <c r="F99" s="42" t="s">
        <v>149</v>
      </c>
    </row>
    <row r="100" spans="1:6" s="85" customFormat="1" ht="56.25">
      <c r="A100" s="82" t="s">
        <v>64</v>
      </c>
      <c r="B100" s="25" t="s">
        <v>65</v>
      </c>
      <c r="C100" s="25"/>
      <c r="D100" s="26">
        <f>SUM(D101)</f>
        <v>51.032</v>
      </c>
      <c r="E100" s="26">
        <f>SUM(E101)</f>
        <v>26.7317</v>
      </c>
      <c r="F100" s="116"/>
    </row>
    <row r="101" spans="1:6" ht="37.5">
      <c r="A101" s="127" t="s">
        <v>301</v>
      </c>
      <c r="B101" s="3" t="s">
        <v>302</v>
      </c>
      <c r="C101" s="128" t="s">
        <v>303</v>
      </c>
      <c r="D101" s="1">
        <f>68.812+24.3-42.08</f>
        <v>51.032</v>
      </c>
      <c r="E101" s="24">
        <v>26.7317</v>
      </c>
      <c r="F101" s="41" t="s">
        <v>161</v>
      </c>
    </row>
    <row r="102" spans="1:6" ht="56.25">
      <c r="A102" s="127"/>
      <c r="B102" s="3" t="s">
        <v>292</v>
      </c>
      <c r="C102" s="128"/>
      <c r="D102" s="1">
        <f>47.812-42.08</f>
        <v>5.731999999999999</v>
      </c>
      <c r="E102" s="24">
        <v>5.7317</v>
      </c>
      <c r="F102" s="41" t="s">
        <v>82</v>
      </c>
    </row>
    <row r="103" spans="1:6" s="85" customFormat="1" ht="56.25">
      <c r="A103" s="82" t="s">
        <v>66</v>
      </c>
      <c r="B103" s="25" t="s">
        <v>67</v>
      </c>
      <c r="C103" s="25"/>
      <c r="D103" s="26">
        <f>SUM(D104+D105)</f>
        <v>28.223</v>
      </c>
      <c r="E103" s="26">
        <f>SUM(E104+E105)</f>
        <v>28.221439999999998</v>
      </c>
      <c r="F103" s="116"/>
    </row>
    <row r="104" spans="1:6" ht="37.5">
      <c r="A104" s="43" t="s">
        <v>301</v>
      </c>
      <c r="B104" s="3" t="s">
        <v>302</v>
      </c>
      <c r="C104" s="36" t="s">
        <v>303</v>
      </c>
      <c r="D104" s="1">
        <f>27.827-6.827</f>
        <v>21</v>
      </c>
      <c r="E104" s="24">
        <v>20.99844</v>
      </c>
      <c r="F104" s="41" t="s">
        <v>152</v>
      </c>
    </row>
    <row r="105" spans="1:6" ht="37.5">
      <c r="A105" s="127" t="s">
        <v>43</v>
      </c>
      <c r="B105" s="39" t="s">
        <v>68</v>
      </c>
      <c r="C105" s="128" t="s">
        <v>303</v>
      </c>
      <c r="D105" s="1">
        <f>0.396+6.827</f>
        <v>7.223</v>
      </c>
      <c r="E105" s="24">
        <v>7.223</v>
      </c>
      <c r="F105" s="41" t="s">
        <v>81</v>
      </c>
    </row>
    <row r="106" spans="1:6" ht="56.25">
      <c r="A106" s="127"/>
      <c r="B106" s="3" t="s">
        <v>292</v>
      </c>
      <c r="C106" s="128"/>
      <c r="D106" s="1">
        <f>0.396</f>
        <v>0.396</v>
      </c>
      <c r="E106" s="24">
        <v>0.396</v>
      </c>
      <c r="F106" s="41" t="s">
        <v>145</v>
      </c>
    </row>
    <row r="107" spans="1:6" s="85" customFormat="1" ht="55.5" customHeight="1">
      <c r="A107" s="82" t="s">
        <v>69</v>
      </c>
      <c r="B107" s="25" t="s">
        <v>591</v>
      </c>
      <c r="C107" s="111"/>
      <c r="D107" s="112">
        <f>SUM(D108)</f>
        <v>89.30000000000001</v>
      </c>
      <c r="E107" s="26">
        <f>SUM(E108)</f>
        <v>21</v>
      </c>
      <c r="F107" s="116"/>
    </row>
    <row r="108" spans="1:6" ht="37.5">
      <c r="A108" s="43" t="s">
        <v>301</v>
      </c>
      <c r="B108" s="5" t="s">
        <v>70</v>
      </c>
      <c r="C108" s="38" t="s">
        <v>303</v>
      </c>
      <c r="D108" s="13">
        <f>27.975+68.3-6.975</f>
        <v>89.30000000000001</v>
      </c>
      <c r="E108" s="24">
        <v>21</v>
      </c>
      <c r="F108" s="41" t="s">
        <v>150</v>
      </c>
    </row>
    <row r="109" spans="1:6" s="85" customFormat="1" ht="56.25">
      <c r="A109" s="82" t="s">
        <v>71</v>
      </c>
      <c r="B109" s="113" t="s">
        <v>72</v>
      </c>
      <c r="C109" s="111"/>
      <c r="D109" s="26">
        <f>SUM(D110+D112)</f>
        <v>109.942</v>
      </c>
      <c r="E109" s="26">
        <f>SUM(E110+E112)</f>
        <v>86.25062</v>
      </c>
      <c r="F109" s="116"/>
    </row>
    <row r="110" spans="1:6" ht="37.5" customHeight="1">
      <c r="A110" s="127" t="s">
        <v>301</v>
      </c>
      <c r="B110" s="5" t="s">
        <v>70</v>
      </c>
      <c r="C110" s="128" t="s">
        <v>303</v>
      </c>
      <c r="D110" s="29">
        <f>42.375+20.767</f>
        <v>63.141999999999996</v>
      </c>
      <c r="E110" s="24">
        <v>47.25538</v>
      </c>
      <c r="F110" s="165" t="s">
        <v>153</v>
      </c>
    </row>
    <row r="111" spans="1:6" ht="33.75" customHeight="1">
      <c r="A111" s="127"/>
      <c r="B111" s="3" t="s">
        <v>292</v>
      </c>
      <c r="C111" s="128"/>
      <c r="D111" s="38" t="s">
        <v>73</v>
      </c>
      <c r="E111" s="24">
        <v>21.375</v>
      </c>
      <c r="F111" s="165"/>
    </row>
    <row r="112" spans="1:6" ht="37.5">
      <c r="A112" s="47">
        <v>100203</v>
      </c>
      <c r="B112" s="39" t="s">
        <v>68</v>
      </c>
      <c r="C112" s="36" t="s">
        <v>303</v>
      </c>
      <c r="D112" s="38" t="s">
        <v>74</v>
      </c>
      <c r="E112" s="24">
        <v>38.99524</v>
      </c>
      <c r="F112" s="41" t="s">
        <v>79</v>
      </c>
    </row>
    <row r="113" spans="1:6" s="85" customFormat="1" ht="51" customHeight="1">
      <c r="A113" s="32">
        <v>94</v>
      </c>
      <c r="B113" s="25" t="s">
        <v>75</v>
      </c>
      <c r="C113" s="114"/>
      <c r="D113" s="112">
        <f>SUM(D114:D114)</f>
        <v>27.975</v>
      </c>
      <c r="E113" s="26">
        <f>SUM(E114:E114)</f>
        <v>27.975</v>
      </c>
      <c r="F113" s="116"/>
    </row>
    <row r="114" spans="1:6" ht="37.5">
      <c r="A114" s="127" t="s">
        <v>301</v>
      </c>
      <c r="B114" s="5" t="s">
        <v>70</v>
      </c>
      <c r="C114" s="128" t="s">
        <v>303</v>
      </c>
      <c r="D114" s="13">
        <v>27.975</v>
      </c>
      <c r="E114" s="24">
        <v>27.975</v>
      </c>
      <c r="F114" s="41" t="s">
        <v>80</v>
      </c>
    </row>
    <row r="115" spans="1:6" ht="37.5">
      <c r="A115" s="127"/>
      <c r="B115" s="3" t="s">
        <v>292</v>
      </c>
      <c r="C115" s="128"/>
      <c r="D115" s="38" t="s">
        <v>76</v>
      </c>
      <c r="E115" s="24">
        <v>6.975</v>
      </c>
      <c r="F115" s="41" t="s">
        <v>144</v>
      </c>
    </row>
    <row r="116" spans="1:6" s="85" customFormat="1" ht="56.25">
      <c r="A116" s="82" t="s">
        <v>610</v>
      </c>
      <c r="B116" s="25" t="s">
        <v>603</v>
      </c>
      <c r="C116" s="111"/>
      <c r="D116" s="26">
        <f>SUM(D117)</f>
        <v>21</v>
      </c>
      <c r="E116" s="26">
        <f>SUM(E117)</f>
        <v>20.99988</v>
      </c>
      <c r="F116" s="116"/>
    </row>
    <row r="117" spans="1:6" ht="37.5">
      <c r="A117" s="43" t="s">
        <v>301</v>
      </c>
      <c r="B117" s="5" t="s">
        <v>70</v>
      </c>
      <c r="C117" s="38" t="s">
        <v>303</v>
      </c>
      <c r="D117" s="1">
        <f>27.975-6.975</f>
        <v>21</v>
      </c>
      <c r="E117" s="24">
        <v>20.99988</v>
      </c>
      <c r="F117" s="41" t="s">
        <v>150</v>
      </c>
    </row>
    <row r="118" spans="1:6" s="85" customFormat="1" ht="56.25">
      <c r="A118" s="82" t="s">
        <v>77</v>
      </c>
      <c r="B118" s="25" t="s">
        <v>78</v>
      </c>
      <c r="C118" s="115"/>
      <c r="D118" s="26">
        <f>SUM(D119+D121)</f>
        <v>97.047</v>
      </c>
      <c r="E118" s="26">
        <f>SUM(E119+E121)</f>
        <v>27.9</v>
      </c>
      <c r="F118" s="116"/>
    </row>
    <row r="119" spans="1:6" ht="37.5">
      <c r="A119" s="127" t="s">
        <v>301</v>
      </c>
      <c r="B119" s="3" t="s">
        <v>70</v>
      </c>
      <c r="C119" s="128" t="s">
        <v>303</v>
      </c>
      <c r="D119" s="1">
        <v>27.975</v>
      </c>
      <c r="E119" s="24">
        <v>27.9</v>
      </c>
      <c r="F119" s="41" t="s">
        <v>103</v>
      </c>
    </row>
    <row r="120" spans="1:6" ht="37.5">
      <c r="A120" s="127"/>
      <c r="B120" s="3" t="s">
        <v>292</v>
      </c>
      <c r="C120" s="128"/>
      <c r="D120" s="1">
        <v>6.975</v>
      </c>
      <c r="E120" s="24">
        <v>6.975</v>
      </c>
      <c r="F120" s="41" t="s">
        <v>144</v>
      </c>
    </row>
    <row r="121" spans="1:6" ht="39.75" customHeight="1" thickBot="1">
      <c r="A121" s="33">
        <v>100203</v>
      </c>
      <c r="B121" s="34" t="s">
        <v>68</v>
      </c>
      <c r="C121" s="35" t="s">
        <v>303</v>
      </c>
      <c r="D121" s="35">
        <v>69.072</v>
      </c>
      <c r="E121" s="48">
        <v>0</v>
      </c>
      <c r="F121" s="52" t="s">
        <v>87</v>
      </c>
    </row>
    <row r="124" spans="1:6" s="118" customFormat="1" ht="96.75" customHeight="1">
      <c r="A124" s="163" t="s">
        <v>6</v>
      </c>
      <c r="B124" s="163"/>
      <c r="C124" s="164" t="s">
        <v>7</v>
      </c>
      <c r="D124" s="164"/>
      <c r="E124" s="164"/>
      <c r="F124" s="164"/>
    </row>
  </sheetData>
  <sheetProtection/>
  <mergeCells count="77">
    <mergeCell ref="A24:A25"/>
    <mergeCell ref="C24:C25"/>
    <mergeCell ref="A19:A20"/>
    <mergeCell ref="C19:C20"/>
    <mergeCell ref="A21:A22"/>
    <mergeCell ref="C21:C22"/>
    <mergeCell ref="F47:F48"/>
    <mergeCell ref="F110:F111"/>
    <mergeCell ref="A9:A10"/>
    <mergeCell ref="C9:C10"/>
    <mergeCell ref="A11:A12"/>
    <mergeCell ref="C11:C12"/>
    <mergeCell ref="A15:A16"/>
    <mergeCell ref="C15:C16"/>
    <mergeCell ref="A17:A18"/>
    <mergeCell ref="C17:C18"/>
    <mergeCell ref="A36:A37"/>
    <mergeCell ref="C36:C37"/>
    <mergeCell ref="A27:A28"/>
    <mergeCell ref="A2:F2"/>
    <mergeCell ref="C4:C5"/>
    <mergeCell ref="D4:D5"/>
    <mergeCell ref="E4:E5"/>
    <mergeCell ref="F4:F5"/>
    <mergeCell ref="C27:C28"/>
    <mergeCell ref="F11:F12"/>
    <mergeCell ref="A32:A33"/>
    <mergeCell ref="C32:C33"/>
    <mergeCell ref="A34:A35"/>
    <mergeCell ref="C34:C35"/>
    <mergeCell ref="A62:A63"/>
    <mergeCell ref="C62:C63"/>
    <mergeCell ref="A38:A39"/>
    <mergeCell ref="C38:C39"/>
    <mergeCell ref="A40:A41"/>
    <mergeCell ref="C40:C41"/>
    <mergeCell ref="A45:A46"/>
    <mergeCell ref="C45:C46"/>
    <mergeCell ref="A57:A58"/>
    <mergeCell ref="C57:C58"/>
    <mergeCell ref="A60:A61"/>
    <mergeCell ref="C60:C61"/>
    <mergeCell ref="A49:A50"/>
    <mergeCell ref="C49:C50"/>
    <mergeCell ref="A55:A56"/>
    <mergeCell ref="C55:C56"/>
    <mergeCell ref="A119:A120"/>
    <mergeCell ref="C119:C120"/>
    <mergeCell ref="A101:A102"/>
    <mergeCell ref="C101:C102"/>
    <mergeCell ref="A105:A106"/>
    <mergeCell ref="C105:C106"/>
    <mergeCell ref="A110:A111"/>
    <mergeCell ref="C110:C111"/>
    <mergeCell ref="A114:A115"/>
    <mergeCell ref="C114:C115"/>
    <mergeCell ref="A80:A81"/>
    <mergeCell ref="C80:C81"/>
    <mergeCell ref="A82:A83"/>
    <mergeCell ref="C82:C83"/>
    <mergeCell ref="C68:C69"/>
    <mergeCell ref="A70:A71"/>
    <mergeCell ref="C70:C71"/>
    <mergeCell ref="A74:A75"/>
    <mergeCell ref="C74:C75"/>
    <mergeCell ref="A72:A73"/>
    <mergeCell ref="C72:C73"/>
    <mergeCell ref="F36:F37"/>
    <mergeCell ref="A124:B124"/>
    <mergeCell ref="C124:F124"/>
    <mergeCell ref="F80:F81"/>
    <mergeCell ref="F82:F83"/>
    <mergeCell ref="F55:F56"/>
    <mergeCell ref="F62:F63"/>
    <mergeCell ref="A90:A91"/>
    <mergeCell ref="C90:C91"/>
    <mergeCell ref="A68:A69"/>
  </mergeCells>
  <printOptions/>
  <pageMargins left="0.5118110236220472" right="0.5118110236220472" top="0.9448818897637796" bottom="0.35433070866141736" header="0.31496062992125984" footer="0.31496062992125984"/>
  <pageSetup firstPageNumber="83" useFirstPageNumber="1" horizontalDpi="600" verticalDpi="600" orientation="landscape" paperSize="9" scale="7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2015-03-10T12:57:23Z</cp:lastPrinted>
  <dcterms:created xsi:type="dcterms:W3CDTF">2015-01-13T14:53:50Z</dcterms:created>
  <dcterms:modified xsi:type="dcterms:W3CDTF">2015-03-11T12:11:05Z</dcterms:modified>
  <cp:category/>
  <cp:version/>
  <cp:contentType/>
  <cp:contentStatus/>
</cp:coreProperties>
</file>