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0">'додаток 1'!$A$1:$H$307</definedName>
    <definedName name="_xlnm.Print_Area" localSheetId="1">'додаток 2'!$A$2:$E$27</definedName>
    <definedName name="_xlnm.Print_Area" localSheetId="2">'Додаток 3'!$A$1:$G$317</definedName>
  </definedNames>
  <calcPr fullCalcOnLoad="1"/>
</workbook>
</file>

<file path=xl/sharedStrings.xml><?xml version="1.0" encoding="utf-8"?>
<sst xmlns="http://schemas.openxmlformats.org/spreadsheetml/2006/main" count="983" uniqueCount="285">
  <si>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</si>
  <si>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</si>
  <si>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</si>
  <si>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</si>
  <si>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</si>
  <si>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</si>
  <si>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</si>
  <si>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</si>
  <si>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</si>
  <si>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</si>
  <si>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</si>
  <si>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</si>
  <si>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</si>
  <si>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</si>
  <si>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</si>
  <si>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</si>
  <si>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</si>
  <si>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</si>
  <si>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</si>
  <si>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департамент житлово-комунального господарства Запорізької міської ради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</si>
  <si>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</si>
  <si>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</si>
  <si>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</si>
  <si>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</si>
  <si>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</si>
  <si>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</si>
  <si>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поточний ремонт доріг та тротуарів </t>
  </si>
  <si>
    <t xml:space="preserve">енергопостачання засобів регулювання дорожнього руху </t>
  </si>
  <si>
    <t xml:space="preserve">утримання міських фонтанів </t>
  </si>
  <si>
    <t>районна адміністрація Запорізької міської ради по Ленінському району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</si>
  <si>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</si>
  <si>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</si>
  <si>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</si>
  <si>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</si>
  <si>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</si>
  <si>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</si>
  <si>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</si>
  <si>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>утримання парків та скверів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</si>
  <si>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</si>
  <si>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</si>
  <si>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</si>
  <si>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</si>
  <si>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</si>
  <si>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</si>
  <si>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</si>
  <si>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</si>
  <si>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</si>
  <si>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</si>
  <si>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</si>
  <si>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Головний розпорядник бюджетних коштів - департамент житлово-комунального господарства Запорізької міської ради</t>
  </si>
  <si>
    <t>од.</t>
  </si>
  <si>
    <t>кВт/год</t>
  </si>
  <si>
    <t>га</t>
  </si>
  <si>
    <t>м куб</t>
  </si>
  <si>
    <t>п.м.</t>
  </si>
  <si>
    <t>гол.</t>
  </si>
  <si>
    <t>т</t>
  </si>
  <si>
    <t>м.куб</t>
  </si>
  <si>
    <t>чол.</t>
  </si>
  <si>
    <t>Додаток 3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</si>
  <si>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</si>
  <si>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</si>
  <si>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Інші джерела</t>
  </si>
  <si>
    <t>утримання доріг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</si>
  <si>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</si>
  <si>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</si>
  <si>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</si>
  <si>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громадських вбиралень (туалетів) та мобільних туалетних кабін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</si>
  <si>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</si>
  <si>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</si>
  <si>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</si>
  <si>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</si>
  <si>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</si>
  <si>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</si>
  <si>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</si>
  <si>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</si>
  <si>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</si>
  <si>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</si>
  <si>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</si>
  <si>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</si>
  <si>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</si>
  <si>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</si>
  <si>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</si>
  <si>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</si>
  <si>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поточний ремонт та технічне обслуговування малих архітектурних форм парків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</si>
  <si>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</si>
  <si>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</si>
  <si>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</si>
  <si>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</si>
  <si>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</si>
  <si>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</si>
  <si>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</si>
  <si>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</si>
  <si>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</si>
  <si>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</si>
  <si>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Головний розпорядник бюджетних коштів - районна адміністрація Запорізької міської ради по Ленінському району</t>
  </si>
  <si>
    <t xml:space="preserve">Головний розпорядник бюджетних коштів - районна адміністрація Запорізької міської ради по Орджонікідзевському району </t>
  </si>
  <si>
    <t xml:space="preserve">Головний розпорядник бюджетних коштів - районна адміністрація Запорізької міської ради по Жовтневому району  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</si>
  <si>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</si>
  <si>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</si>
  <si>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</si>
  <si>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</si>
  <si>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Капітальний ремонт житлового фонду</t>
  </si>
  <si>
    <t>Прогнозні обсяги, тис.грн</t>
  </si>
  <si>
    <t>Забезпечення надійного та безперебійного функціонування житлово-експлуатаційного господарства</t>
  </si>
  <si>
    <t>Реалізація заходів  щодо інвестиційного розвитку території</t>
  </si>
  <si>
    <t>Районна адміністрація Запорізької міської ради по Орджонікідзевському  району</t>
  </si>
  <si>
    <t>Районна адміністрація Запорізької міської ради по Жовтневому  району</t>
  </si>
  <si>
    <t>Капітальний ремонт житлового фонду, в тому числі: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</si>
  <si>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</si>
  <si>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</si>
  <si>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</si>
  <si>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</si>
  <si>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Р.О. Таран</t>
  </si>
  <si>
    <t>будинок</t>
  </si>
  <si>
    <t>тис.кв.м.</t>
  </si>
  <si>
    <t>підприємство</t>
  </si>
  <si>
    <t>башт</t>
  </si>
  <si>
    <t>тис.грн.</t>
  </si>
  <si>
    <t>об'єктів</t>
  </si>
  <si>
    <t>Головний розпорядник бюджетних коштів - районна адміністрація Запорізької міської ради по Орджонікідзевському  району</t>
  </si>
  <si>
    <t>Головний розпорядник бюджетних коштів - районна адміністрація Запорізької міської ради по Жовтневому району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</si>
  <si>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</si>
  <si>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</si>
  <si>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освітлення пам’ятника</t>
  </si>
  <si>
    <t>Погашення заборгованості минулих років, в тому числі</t>
  </si>
  <si>
    <t>Бюджет міста, всього</t>
  </si>
  <si>
    <t>в тому числі:</t>
  </si>
  <si>
    <t>власні надходження бюджетних установ</t>
  </si>
  <si>
    <t xml:space="preserve">освітлення пам’ятника </t>
  </si>
  <si>
    <t>поповнення обігових коштів комунального підприємства для виплати заробітної плати з нарахуваннями</t>
  </si>
  <si>
    <t>Погашення заборгованості минулих років, в тому числі:</t>
  </si>
  <si>
    <t>перевезення безпечних відходів</t>
  </si>
  <si>
    <t>збирання безпечних відходів (очищення території від сміття)</t>
  </si>
  <si>
    <t>перевезення безпечних відходів та захоронення твердих побутових відходів</t>
  </si>
  <si>
    <t>капітальний ремонт покрівель житлових будинків</t>
  </si>
  <si>
    <t>вибірковий капітальний ремонт житлових будинків</t>
  </si>
  <si>
    <t>заміна інженерних мереж водо-, теплопостачання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</si>
  <si>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</si>
  <si>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</si>
  <si>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</si>
  <si>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</si>
  <si>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капітальний ремонт будинків для передачі на баланс створеним ОСББ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</si>
  <si>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</si>
  <si>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</si>
  <si>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</si>
  <si>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</si>
  <si>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забезпечення  проектування, будівництва та реконструкції об'єктів</t>
  </si>
  <si>
    <t xml:space="preserve">забезпечення  проектування та реконструкції об'єктів </t>
  </si>
  <si>
    <t>тис.п.м.</t>
  </si>
  <si>
    <t>внески у статутні капітали комунальних  підприємств міста (придбання спеціальної техніки)</t>
  </si>
  <si>
    <t>проведення капітального ремонту житлового фонду ОСББ</t>
  </si>
  <si>
    <t>капітальний ремонт квартир</t>
  </si>
  <si>
    <t>Газопостачання об'єктів благоустрою, в тому числі:</t>
  </si>
  <si>
    <t>технічне обслуговування газового обладнання і приладів</t>
  </si>
  <si>
    <t xml:space="preserve">газопостачання меморіального комплексу </t>
  </si>
  <si>
    <t>газопостачання меморіального комплексу</t>
  </si>
  <si>
    <t>утримання громадських вбиралень (туалетів), мобільних та модульних туалетних кабін</t>
  </si>
  <si>
    <t>освітлення міста</t>
  </si>
  <si>
    <t xml:space="preserve">освітлення міста </t>
  </si>
  <si>
    <t>поточний ремонт доріг</t>
  </si>
  <si>
    <t xml:space="preserve">поточний ремонт доріг </t>
  </si>
  <si>
    <t>т.</t>
  </si>
  <si>
    <t>поточний ремонт засобів регулювання дорожнього руху</t>
  </si>
  <si>
    <t>в тому числі за рахунок власних надходжень бюджетних установ</t>
  </si>
  <si>
    <t>нанесення та відновлювання  дорожньої розмітки</t>
  </si>
  <si>
    <t>технічне обслуговування засобів регулювання дорожнього руху</t>
  </si>
  <si>
    <t>до Програми розвитку та утримання житлово-комунального господарства м. Запоріжжя на 2015-2017 роки</t>
  </si>
  <si>
    <t>з виконання Програми розвитку та утримання житлово-комунального господарства м. Запоріжжя на 2015-2017 роки</t>
  </si>
  <si>
    <t>до Програми розвитку та утримання житлово-комунального господарства        м. Запоріжжя на 2015-2017 роки</t>
  </si>
  <si>
    <t>Програми розвитку та утримання житлово-комунального господарства м. Запоріжжя на 2015-2017 роки</t>
  </si>
  <si>
    <t>до Програми розвитку та утримання житлово-комунального господарства              м. Запоріжжя на 2015-2017 роки</t>
  </si>
  <si>
    <t>виконання Програми розвитку та утримання житлово-комунального господарства м. Запоріжжя на 2015-2017 роки</t>
  </si>
  <si>
    <t>оснащення інженерних вводів багатоквартирних будинків засобами обліку теплової енергії</t>
  </si>
  <si>
    <t>капітальний ремонт електроживлячих стояків</t>
  </si>
  <si>
    <t>капітальний ремонт систем димовидалення та пожежогасіння</t>
  </si>
  <si>
    <t>оплата за виконані роботи з капітального ремонту житлового фонду у 2014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</si>
  <si>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2014 році</t>
  </si>
  <si>
    <t>оплата за виконані роботи з поточного ремонту внутрішньоквартальних доріг у 2014 році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</si>
  <si>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з капітального ремонту нежитлових приміщень та будівель м. Запоріжжя у 2014 році</t>
  </si>
  <si>
    <t>обрізування і звалювання аварійних  та сухостійних дерев на прибудинкових територіях житлового фонду комунальної власності</t>
  </si>
  <si>
    <t>капітальний ремонт нежитлового приміщення будівлі по вул. 40 років Радянської України,80а</t>
  </si>
  <si>
    <t>капітальний ремонт нежитлового приміщення будівлі по пр. Леніна,81/вул. Грязнова,49</t>
  </si>
  <si>
    <t>капітальний ремонт нежитлового приміщення будівлі по пр. Радянський,3 (окремо стояча будівля «Дитсадок»)</t>
  </si>
  <si>
    <t>капітальний ремонт нежитлового приміщення будівлі по вул. Патріотична,64</t>
  </si>
  <si>
    <t xml:space="preserve">оплата за виконані у 2014 році роботи по об'єктах будівництва та реконструкції </t>
  </si>
  <si>
    <t>внески у статутні капітали комунальних  підприємств міста (оплата за спеціальну техніку придбану у 2014 році)</t>
  </si>
  <si>
    <t>оплата за роботи виконані у 2014 році</t>
  </si>
  <si>
    <t>інвентаризація об'єктів благоустрою (міські пляжі)</t>
  </si>
  <si>
    <t>влаштування зони відпочинку на міському пляжі для людей з обмеженими можливостями</t>
  </si>
  <si>
    <t>установка дорожніх знаків</t>
  </si>
  <si>
    <t>поховання померлих почесних громадян міста</t>
  </si>
  <si>
    <t>догляд за зеленими насадженнями, в тому числі косіння трави</t>
  </si>
  <si>
    <t>обрізка та ліквідація сухих, аварійно-небезпечних дерев</t>
  </si>
  <si>
    <t>утримання малих архітектурних форм</t>
  </si>
  <si>
    <t>встановлення малих архітектурних форм</t>
  </si>
  <si>
    <t>інвентаризація та паспортизація вулиць</t>
  </si>
  <si>
    <t>км.</t>
  </si>
  <si>
    <t>улаштування посадкових майданчиків на зупинках міського  громадського транспорту</t>
  </si>
  <si>
    <t>поточний  ремонт елементів благоустрою та штучних споруд</t>
  </si>
  <si>
    <t>догляд за зеленими насадженнями, в тому числі покіс трав</t>
  </si>
  <si>
    <t>відновлення дорожньої розмітки</t>
  </si>
  <si>
    <t>Проведення незалежної оцінки об'єктів благоустрою, в тому числі:</t>
  </si>
  <si>
    <t>незалежна оцінка шляхів з твердим покриттям та зелених насаджень</t>
  </si>
  <si>
    <t>косіння трави</t>
  </si>
  <si>
    <t>утримання громадських вбиралень (туалетів)</t>
  </si>
  <si>
    <t>поточний  ремонт громадської вбиральні</t>
  </si>
  <si>
    <t>поточний  ремонт понтонного мосту</t>
  </si>
  <si>
    <t>поточний ремонт колесо-відбійного брусу</t>
  </si>
  <si>
    <t>паспортизація доріг</t>
  </si>
  <si>
    <t>м.п.</t>
  </si>
  <si>
    <t>влаштування газонів</t>
  </si>
  <si>
    <t>посадка дерев</t>
  </si>
  <si>
    <t>нанесення дорожньої розмітки</t>
  </si>
  <si>
    <t>поточний ремонт об'єктів транспортної інфраструктури</t>
  </si>
  <si>
    <t>обрізка сухого, аварійно небезпечного гілля на деревах</t>
  </si>
  <si>
    <t>знесення сухих, аварійно небезпечних дерев</t>
  </si>
  <si>
    <t>фрезерування пеньків</t>
  </si>
  <si>
    <t>покіс комбінованих газонів</t>
  </si>
  <si>
    <t>утримання та поточний ремонт малих архітектурних форм</t>
  </si>
  <si>
    <t>поточний ремонт пішохідних мостів</t>
  </si>
  <si>
    <t>виготовлення, встановлення та поточний ремонт зупинок громадського транспорту</t>
  </si>
  <si>
    <t>встановлення  малих архітектурних форм</t>
  </si>
  <si>
    <t>встановлення знаків регулювання дорожнього руху</t>
  </si>
  <si>
    <t>заміна знаків регулювання дорожнього руху</t>
  </si>
  <si>
    <t>утримання та поточний ремонт пам'ятників</t>
  </si>
  <si>
    <t>паспортизація штучних споруд</t>
  </si>
  <si>
    <t>проведення технічної інвентаризації, незалежної оцінки об'єктів благоустрою та зелених насаджень</t>
  </si>
  <si>
    <t>Проведення технічної інвентаризації, незалежної оцінки, паспортизації об'єктів благоустрою, в тому числі:</t>
  </si>
  <si>
    <t>Знесення споруд, встановлених з порушенням правил благоустрою, в тому числі:</t>
  </si>
  <si>
    <t>знесення тимчасових споруд</t>
  </si>
  <si>
    <t>Надання допомоги у вирішені житлових питань</t>
  </si>
  <si>
    <t>Забезпечення житлом окремих категорій населення, в тому числі:</t>
  </si>
  <si>
    <t xml:space="preserve">придбання квартир </t>
  </si>
  <si>
    <t>придбання квартир для призерів Олімпійських та Параолімпійських Ігор у Лондоні</t>
  </si>
  <si>
    <t>проекти</t>
  </si>
  <si>
    <t>догляд за зеленими насадженнями, в тому числі обрізка та ліквідація сухих, аварійно-небезпечних дерев</t>
  </si>
  <si>
    <t xml:space="preserve">поточний ремонт штучних споруд </t>
  </si>
  <si>
    <t>поточний ремонт павільйонів очікування</t>
  </si>
  <si>
    <t>поточний ремонт малих архітектурних форм, пам'ятників</t>
  </si>
  <si>
    <t>демонтаж збірних конструкцій з електроустаткуванням</t>
  </si>
  <si>
    <t>розміщення (доставка на місце та вивіз) контейнерів, а також вивіз та захоронення ТПВ</t>
  </si>
  <si>
    <t>Проведення технічної інвентаризації та паспортизації об’єктів благоустрою, в тому числі:</t>
  </si>
  <si>
    <t>паспортизація об’єктів благоустрою</t>
  </si>
  <si>
    <t>куб.м.</t>
  </si>
  <si>
    <t>Комунальне підриємство "Титан"</t>
  </si>
  <si>
    <t xml:space="preserve">Комунальне ремонтно-будівельне підприємство "Зеленбуд" </t>
  </si>
  <si>
    <t>Міське комунальне підриємство "Основаніє"</t>
  </si>
  <si>
    <t>Комунальне підприємство "Запоріжміськсвітло" (4 081,260 тис. грн. – видатки на поповнення статутного капіталу; 1 794,380 тис. грн. – видатки на які статутний капітал було збільшено відповідно до розпорядження міського голови від 24.09.2013 №281р «Про затвердження змін до третьої редакції статуту комунального підприємства електромереж зовнішнього освітлення "Запоріжміськсвітло")</t>
  </si>
  <si>
    <t>внески у статутні капітали комунальних  підприємств міста (придбання спеціальної техніки), в тому числі:</t>
  </si>
  <si>
    <t>Поховання померлих почесних громадян міста, в тому числі: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</si>
  <si>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трупів, в тому числі:</t>
  </si>
  <si>
    <t>Поховання померлих безрідних і невідомих громадян міста</t>
  </si>
  <si>
    <t>Поховання померлих почесних громадян міста</t>
  </si>
  <si>
    <t>поточний ремонт нежитлового приміщення будівлі по вул. 40 років Радянської України, 80а</t>
  </si>
  <si>
    <t>поточний ремонт нежитлового приміщення будівлі по пр.Радянському, 3</t>
  </si>
  <si>
    <t>Концерн "Міські теплові мережі"</t>
  </si>
  <si>
    <t>Комунальне підприємство "Водоканал"</t>
  </si>
  <si>
    <t>проведення технічної інвентаризації гуртожитків комунальної власності міста</t>
  </si>
  <si>
    <t xml:space="preserve">проведення технічної інвентаризації гуртожитків комунальної власності міста </t>
  </si>
  <si>
    <t>в тому числі за рахунок надходжень до спеціального фонду бюджету міста</t>
  </si>
  <si>
    <t>Районна адміністрація Запорізької міської ради по Шевченківському району</t>
  </si>
  <si>
    <t>Реконструкція та капітальний ремонт об’єктів благоустрою, в тому числі:</t>
  </si>
  <si>
    <t>департамент фінансової та бюджетної політики Запорізької міської ради</t>
  </si>
  <si>
    <t>субвенція обласному бюджету на завершення робіт з реконструкції та капітального ремонту вулиць та доріг комунальної власності м. Запоріжжя, які у минулих роках фінансувались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</si>
  <si>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Головний розпорядник бюджетних коштів - департамент фінансової та бюджетної політики Запорізької міської ради</t>
  </si>
  <si>
    <t>Комунальне підприємство "Експлуатаційне лінійне управління автомобільних шляхів" (16595,805 тис.грн. – видатки на поповнення статутного капіталу; 3256,140 тис.грн. – видатки на які статутний капітал було збільшено відповідно до розпорядження міського голови від 22.10.2014 №382р «Про затвердження змін до четвертої редакції статуту комунального підприємства "Експлуатаційне лінійне управління автомобільних шляхів")</t>
  </si>
  <si>
    <t>забезпечення  проектування, будівництва та реконструкції об'єктів транспортної інфраструктури</t>
  </si>
  <si>
    <t>з 150101</t>
  </si>
  <si>
    <t>в т.ч. 591,353 з 150101</t>
  </si>
  <si>
    <t>поповнення обігових коштів комунального підприємства для компенсації витрат на оплату частини комунальних послуг по закладах, в яких забезпечується тимчасове перебування громадян (вимушені переселенці)</t>
  </si>
  <si>
    <t>Поховання загиблих учасників АТО, в тому числі:</t>
  </si>
  <si>
    <t>Капітальний ремонт нежитлового приміщення будівлі по пр. Радянський,3 (2 корпус)</t>
  </si>
  <si>
    <t>втановлення модульних кабінок</t>
  </si>
  <si>
    <t>встановлення малих архітектурних форм в парках та скверах</t>
  </si>
  <si>
    <t>паспортизація та експертна оцінка мостових переходів</t>
  </si>
  <si>
    <t>ЗАТВЕРДЖЕНО</t>
  </si>
  <si>
    <t>Рішення міської ради</t>
  </si>
  <si>
    <t>капітальний ремонт штучної споруди</t>
  </si>
  <si>
    <t>відсипка території</t>
  </si>
  <si>
    <t>монтаж та установка архітектурних форм</t>
  </si>
  <si>
    <t>шт</t>
  </si>
  <si>
    <t>Будівництво реконструкція та капітальний ремонт обєктів благоустрою</t>
  </si>
  <si>
    <t>роботи по обстеженню та складанню паспорту мостів та споруд</t>
  </si>
  <si>
    <t>10.06.2015 №11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</si>
</sst>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190" fontId="1" fillId="0" borderId="10" xfId="0" applyNumberFormat="1" applyFont="1" applyFill="1" applyBorder="1" applyAlignment="1">
      <alignment horizontal="center" vertical="top" wrapText="1"/>
    </xf>
    <xf numFmtId="191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90" fontId="3" fillId="0" borderId="10" xfId="0" applyNumberFormat="1" applyFont="1" applyFill="1" applyBorder="1" applyAlignment="1">
      <alignment horizontal="center" vertical="top" wrapText="1"/>
    </xf>
    <xf numFmtId="191" fontId="3" fillId="0" borderId="10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0" borderId="0" xfId="0" applyFont="1" applyFill="1" applyAlignment="1">
      <alignment vertical="top" wrapText="1"/>
    </xf>
    <xf numFmtId="0" fontId="1" fillId="0" borderId="10" xfId="54" applyNumberFormat="1" applyFont="1" applyFill="1" applyBorder="1" applyAlignment="1">
      <alignment horizontal="left" vertical="top" wrapText="1"/>
      <protection/>
    </xf>
    <xf numFmtId="0" fontId="1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88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88" fontId="12" fillId="0" borderId="10" xfId="0" applyNumberFormat="1" applyFont="1" applyFill="1" applyBorder="1" applyAlignment="1">
      <alignment horizontal="center" vertical="top" wrapText="1"/>
    </xf>
    <xf numFmtId="188" fontId="14" fillId="0" borderId="10" xfId="0" applyNumberFormat="1" applyFont="1" applyFill="1" applyBorder="1" applyAlignment="1">
      <alignment horizontal="center" vertical="top" wrapText="1"/>
    </xf>
    <xf numFmtId="188" fontId="1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4" fillId="0" borderId="0" xfId="0" applyFont="1" applyFill="1" applyAlignment="1">
      <alignment horizontal="center" vertical="top" wrapText="1"/>
    </xf>
    <xf numFmtId="188" fontId="34" fillId="0" borderId="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9" fontId="1" fillId="0" borderId="0" xfId="0" applyNumberFormat="1" applyFont="1" applyFill="1" applyAlignment="1">
      <alignment horizontal="center" vertical="center" wrapText="1"/>
    </xf>
    <xf numFmtId="189" fontId="1" fillId="0" borderId="0" xfId="0" applyNumberFormat="1" applyFont="1" applyFill="1" applyAlignment="1">
      <alignment horizontal="center" vertical="top" wrapText="1"/>
    </xf>
    <xf numFmtId="189" fontId="1" fillId="0" borderId="0" xfId="0" applyNumberFormat="1" applyFont="1" applyFill="1" applyAlignment="1">
      <alignment vertical="top" wrapText="1"/>
    </xf>
    <xf numFmtId="189" fontId="34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vertical="top"/>
    </xf>
    <xf numFmtId="0" fontId="16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37" fillId="0" borderId="0" xfId="0" applyFont="1" applyFill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5:J307"/>
  <sheetViews>
    <sheetView view="pageBreakPreview" zoomScale="93" zoomScaleNormal="75" zoomScaleSheetLayoutView="93" zoomScalePageLayoutView="0" workbookViewId="0" topLeftCell="A280">
      <selection activeCell="J307" sqref="J307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3.57421875" style="2" customWidth="1"/>
    <col min="7" max="7" width="11.7109375" style="2" customWidth="1"/>
    <col min="8" max="8" width="12.28125" style="2" customWidth="1"/>
    <col min="9" max="9" width="11.140625" style="2" bestFit="1" customWidth="1"/>
    <col min="10" max="10" width="11.140625" style="1" bestFit="1" customWidth="1"/>
    <col min="11" max="16384" width="9.140625" style="1" customWidth="1"/>
  </cols>
  <sheetData>
    <row r="5" spans="6:8" ht="20.25">
      <c r="F5" s="102" t="s">
        <v>276</v>
      </c>
      <c r="G5" s="102"/>
      <c r="H5" s="102"/>
    </row>
    <row r="6" spans="6:8" ht="20.25">
      <c r="F6" s="102" t="s">
        <v>277</v>
      </c>
      <c r="G6" s="102"/>
      <c r="H6" s="102"/>
    </row>
    <row r="7" spans="6:8" ht="20.25">
      <c r="F7" s="154" t="s">
        <v>284</v>
      </c>
      <c r="G7" s="102"/>
      <c r="H7" s="102"/>
    </row>
    <row r="8" spans="6:8" ht="20.25">
      <c r="F8" s="95"/>
      <c r="G8" s="95"/>
      <c r="H8" s="95"/>
    </row>
    <row r="9" spans="3:9" s="24" customFormat="1" ht="20.25" customHeight="1">
      <c r="C9" s="25"/>
      <c r="D9" s="25"/>
      <c r="E9" s="25"/>
      <c r="F9" s="102" t="s">
        <v>7</v>
      </c>
      <c r="G9" s="102"/>
      <c r="H9" s="102"/>
      <c r="I9" s="25"/>
    </row>
    <row r="10" spans="3:9" s="24" customFormat="1" ht="105.75" customHeight="1">
      <c r="C10" s="25"/>
      <c r="D10" s="25"/>
      <c r="E10" s="25"/>
      <c r="F10" s="102" t="s">
        <v>167</v>
      </c>
      <c r="G10" s="102"/>
      <c r="H10" s="102"/>
      <c r="I10" s="25"/>
    </row>
    <row r="12" spans="1:9" s="24" customFormat="1" ht="20.25">
      <c r="A12" s="104" t="s">
        <v>6</v>
      </c>
      <c r="B12" s="104"/>
      <c r="C12" s="104"/>
      <c r="D12" s="104"/>
      <c r="E12" s="104"/>
      <c r="F12" s="104"/>
      <c r="G12" s="104"/>
      <c r="H12" s="104"/>
      <c r="I12" s="25"/>
    </row>
    <row r="13" spans="1:9" s="24" customFormat="1" ht="20.25">
      <c r="A13" s="105" t="s">
        <v>168</v>
      </c>
      <c r="B13" s="105"/>
      <c r="C13" s="105"/>
      <c r="D13" s="105"/>
      <c r="E13" s="105"/>
      <c r="F13" s="105"/>
      <c r="G13" s="105"/>
      <c r="H13" s="105"/>
      <c r="I13" s="25"/>
    </row>
    <row r="15" spans="1:8" s="4" customFormat="1" ht="23.25" customHeight="1">
      <c r="A15" s="101" t="s">
        <v>0</v>
      </c>
      <c r="B15" s="101" t="s">
        <v>1</v>
      </c>
      <c r="C15" s="101" t="s">
        <v>2</v>
      </c>
      <c r="D15" s="101" t="s">
        <v>3</v>
      </c>
      <c r="E15" s="101" t="s">
        <v>103</v>
      </c>
      <c r="F15" s="101"/>
      <c r="G15" s="101"/>
      <c r="H15" s="101"/>
    </row>
    <row r="16" spans="1:8" s="4" customFormat="1" ht="23.25" customHeight="1">
      <c r="A16" s="101"/>
      <c r="B16" s="101"/>
      <c r="C16" s="101"/>
      <c r="D16" s="101"/>
      <c r="E16" s="101" t="s">
        <v>4</v>
      </c>
      <c r="F16" s="101" t="s">
        <v>5</v>
      </c>
      <c r="G16" s="101"/>
      <c r="H16" s="101"/>
    </row>
    <row r="17" spans="1:8" s="4" customFormat="1" ht="12.75">
      <c r="A17" s="101"/>
      <c r="B17" s="101"/>
      <c r="C17" s="101"/>
      <c r="D17" s="101"/>
      <c r="E17" s="101"/>
      <c r="F17" s="3">
        <v>2015</v>
      </c>
      <c r="G17" s="3">
        <v>2016</v>
      </c>
      <c r="H17" s="3">
        <v>2017</v>
      </c>
    </row>
    <row r="18" spans="1:8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</row>
    <row r="19" spans="1:8" s="4" customFormat="1" ht="12.75">
      <c r="A19" s="106" t="s">
        <v>102</v>
      </c>
      <c r="B19" s="118"/>
      <c r="C19" s="118"/>
      <c r="D19" s="118"/>
      <c r="E19" s="118"/>
      <c r="F19" s="118"/>
      <c r="G19" s="118"/>
      <c r="H19" s="119"/>
    </row>
    <row r="20" spans="1:8" s="4" customFormat="1" ht="12.75">
      <c r="A20" s="120" t="s">
        <v>108</v>
      </c>
      <c r="B20" s="6"/>
      <c r="C20" s="107" t="s">
        <v>19</v>
      </c>
      <c r="D20" s="107" t="s">
        <v>20</v>
      </c>
      <c r="E20" s="7">
        <f aca="true" t="shared" si="0" ref="E20:E36">F20+G20+H20</f>
        <v>697311.717</v>
      </c>
      <c r="F20" s="7">
        <f>SUM(F21:F36)</f>
        <v>226861.372</v>
      </c>
      <c r="G20" s="7">
        <f>SUM(G21:G36)</f>
        <v>230389.446</v>
      </c>
      <c r="H20" s="7">
        <f>SUM(H21:H36)</f>
        <v>240060.89899999998</v>
      </c>
    </row>
    <row r="21" spans="1:10" s="4" customFormat="1" ht="25.5">
      <c r="A21" s="121"/>
      <c r="B21" s="8" t="s">
        <v>136</v>
      </c>
      <c r="C21" s="108"/>
      <c r="D21" s="108"/>
      <c r="E21" s="9">
        <f t="shared" si="0"/>
        <v>140643.562</v>
      </c>
      <c r="F21" s="9">
        <f>48085.616-32.274-10142.837</f>
        <v>37910.505000000005</v>
      </c>
      <c r="G21" s="9">
        <v>51451.609</v>
      </c>
      <c r="H21" s="9">
        <v>51281.448</v>
      </c>
      <c r="I21" s="84"/>
      <c r="J21" s="84"/>
    </row>
    <row r="22" spans="1:10" s="4" customFormat="1" ht="25.5">
      <c r="A22" s="121"/>
      <c r="B22" s="8" t="s">
        <v>135</v>
      </c>
      <c r="C22" s="108"/>
      <c r="D22" s="108"/>
      <c r="E22" s="9">
        <f t="shared" si="0"/>
        <v>114720.818</v>
      </c>
      <c r="F22" s="9">
        <v>35863.144</v>
      </c>
      <c r="G22" s="9">
        <v>38373.564</v>
      </c>
      <c r="H22" s="9">
        <v>40484.11</v>
      </c>
      <c r="I22" s="84"/>
      <c r="J22" s="84"/>
    </row>
    <row r="23" spans="1:10" s="4" customFormat="1" ht="25.5">
      <c r="A23" s="121"/>
      <c r="B23" s="8" t="s">
        <v>137</v>
      </c>
      <c r="C23" s="108"/>
      <c r="D23" s="108"/>
      <c r="E23" s="9">
        <f t="shared" si="0"/>
        <v>34039.91</v>
      </c>
      <c r="F23" s="9">
        <v>10641.296</v>
      </c>
      <c r="G23" s="9">
        <v>11386.187</v>
      </c>
      <c r="H23" s="9">
        <v>12012.427</v>
      </c>
      <c r="I23" s="84"/>
      <c r="J23" s="84"/>
    </row>
    <row r="24" spans="1:10" s="4" customFormat="1" ht="38.25">
      <c r="A24" s="121"/>
      <c r="B24" s="8" t="s">
        <v>173</v>
      </c>
      <c r="C24" s="108"/>
      <c r="D24" s="108"/>
      <c r="E24" s="9">
        <f t="shared" si="0"/>
        <v>57331.03</v>
      </c>
      <c r="F24" s="9">
        <f>18235-1000</f>
        <v>17235</v>
      </c>
      <c r="G24" s="9">
        <v>19511.45</v>
      </c>
      <c r="H24" s="9">
        <v>20584.58</v>
      </c>
      <c r="I24" s="84"/>
      <c r="J24" s="84"/>
    </row>
    <row r="25" spans="1:10" s="4" customFormat="1" ht="25.5">
      <c r="A25" s="121"/>
      <c r="B25" s="8" t="s">
        <v>174</v>
      </c>
      <c r="C25" s="108"/>
      <c r="D25" s="108"/>
      <c r="E25" s="9">
        <f t="shared" si="0"/>
        <v>69817.763</v>
      </c>
      <c r="F25" s="9">
        <f>19586.118+7164.71</f>
        <v>26750.827999999998</v>
      </c>
      <c r="G25" s="9">
        <v>20957.146</v>
      </c>
      <c r="H25" s="9">
        <v>22109.789</v>
      </c>
      <c r="I25" s="84"/>
      <c r="J25" s="84"/>
    </row>
    <row r="26" spans="1:10" s="4" customFormat="1" ht="12.75">
      <c r="A26" s="121"/>
      <c r="B26" s="8" t="s">
        <v>138</v>
      </c>
      <c r="C26" s="108"/>
      <c r="D26" s="108"/>
      <c r="E26" s="9">
        <f t="shared" si="0"/>
        <v>156.744</v>
      </c>
      <c r="F26" s="9">
        <v>49</v>
      </c>
      <c r="G26" s="9">
        <v>52.43</v>
      </c>
      <c r="H26" s="9">
        <v>55.314</v>
      </c>
      <c r="I26" s="84"/>
      <c r="J26" s="84"/>
    </row>
    <row r="27" spans="1:10" s="4" customFormat="1" ht="38.25">
      <c r="A27" s="121"/>
      <c r="B27" s="8" t="s">
        <v>139</v>
      </c>
      <c r="C27" s="108"/>
      <c r="D27" s="108"/>
      <c r="E27" s="9">
        <f t="shared" si="0"/>
        <v>224357.835</v>
      </c>
      <c r="F27" s="9">
        <f>72637.029-2500</f>
        <v>70137.029</v>
      </c>
      <c r="G27" s="9">
        <v>75046.621</v>
      </c>
      <c r="H27" s="9">
        <v>79174.185</v>
      </c>
      <c r="I27" s="84"/>
      <c r="J27" s="84"/>
    </row>
    <row r="28" spans="1:10" s="4" customFormat="1" ht="25.5">
      <c r="A28" s="121"/>
      <c r="B28" s="8" t="s">
        <v>175</v>
      </c>
      <c r="C28" s="108"/>
      <c r="D28" s="108"/>
      <c r="E28" s="9">
        <f t="shared" si="0"/>
        <v>1343.517</v>
      </c>
      <c r="F28" s="9">
        <v>420</v>
      </c>
      <c r="G28" s="9">
        <v>449.4</v>
      </c>
      <c r="H28" s="9">
        <v>474.117</v>
      </c>
      <c r="I28" s="84"/>
      <c r="J28" s="84"/>
    </row>
    <row r="29" spans="1:10" s="4" customFormat="1" ht="12.75">
      <c r="A29" s="121"/>
      <c r="B29" s="8" t="s">
        <v>140</v>
      </c>
      <c r="C29" s="108"/>
      <c r="D29" s="108"/>
      <c r="E29" s="9">
        <f t="shared" si="0"/>
        <v>9951.443000000001</v>
      </c>
      <c r="F29" s="9">
        <v>3110.944</v>
      </c>
      <c r="G29" s="9">
        <v>3328.71</v>
      </c>
      <c r="H29" s="9">
        <v>3511.789</v>
      </c>
      <c r="I29" s="84"/>
      <c r="J29" s="84"/>
    </row>
    <row r="30" spans="1:10" s="4" customFormat="1" ht="12.75">
      <c r="A30" s="121"/>
      <c r="B30" s="8" t="s">
        <v>141</v>
      </c>
      <c r="C30" s="108"/>
      <c r="D30" s="108"/>
      <c r="E30" s="9">
        <f t="shared" si="0"/>
        <v>3846.671</v>
      </c>
      <c r="F30" s="9">
        <f>325+861.166+32.274+20</f>
        <v>1238.44</v>
      </c>
      <c r="G30" s="9">
        <v>1269.198</v>
      </c>
      <c r="H30" s="9">
        <v>1339.033</v>
      </c>
      <c r="I30" s="84"/>
      <c r="J30" s="84"/>
    </row>
    <row r="31" spans="1:10" s="4" customFormat="1" ht="38.25">
      <c r="A31" s="121"/>
      <c r="B31" s="8" t="s">
        <v>142</v>
      </c>
      <c r="C31" s="108"/>
      <c r="D31" s="108"/>
      <c r="E31" s="9">
        <f t="shared" si="0"/>
        <v>6298.4169999999995</v>
      </c>
      <c r="F31" s="9">
        <f>1420.374+298.5+800</f>
        <v>2518.874</v>
      </c>
      <c r="G31" s="9">
        <v>1839.192</v>
      </c>
      <c r="H31" s="9">
        <v>1940.351</v>
      </c>
      <c r="I31" s="84"/>
      <c r="J31" s="84"/>
    </row>
    <row r="32" spans="1:10" s="4" customFormat="1" ht="25.5">
      <c r="A32" s="121"/>
      <c r="B32" s="8" t="s">
        <v>151</v>
      </c>
      <c r="C32" s="108"/>
      <c r="D32" s="108"/>
      <c r="E32" s="9">
        <f t="shared" si="0"/>
        <v>6077.8150000000005</v>
      </c>
      <c r="F32" s="9">
        <v>1900</v>
      </c>
      <c r="G32" s="9">
        <v>2033</v>
      </c>
      <c r="H32" s="9">
        <v>2144.815</v>
      </c>
      <c r="I32" s="84"/>
      <c r="J32" s="84"/>
    </row>
    <row r="33" spans="1:10" s="4" customFormat="1" ht="12.75">
      <c r="A33" s="121"/>
      <c r="B33" s="8" t="s">
        <v>152</v>
      </c>
      <c r="C33" s="108"/>
      <c r="D33" s="108"/>
      <c r="E33" s="9">
        <f t="shared" si="0"/>
        <v>2269.623</v>
      </c>
      <c r="F33" s="9">
        <v>709.512</v>
      </c>
      <c r="G33" s="9">
        <v>759.178</v>
      </c>
      <c r="H33" s="9">
        <v>800.933</v>
      </c>
      <c r="I33" s="84"/>
      <c r="J33" s="84"/>
    </row>
    <row r="34" spans="1:10" s="4" customFormat="1" ht="38.25">
      <c r="A34" s="121"/>
      <c r="B34" s="8" t="s">
        <v>143</v>
      </c>
      <c r="C34" s="108"/>
      <c r="D34" s="108"/>
      <c r="E34" s="9">
        <f t="shared" si="0"/>
        <v>558.337</v>
      </c>
      <c r="F34" s="9">
        <v>174.543</v>
      </c>
      <c r="G34" s="9">
        <v>186.761</v>
      </c>
      <c r="H34" s="9">
        <v>197.033</v>
      </c>
      <c r="I34" s="84"/>
      <c r="J34" s="84"/>
    </row>
    <row r="35" spans="1:10" s="4" customFormat="1" ht="25.5">
      <c r="A35" s="121"/>
      <c r="B35" s="8" t="s">
        <v>144</v>
      </c>
      <c r="C35" s="108"/>
      <c r="D35" s="108"/>
      <c r="E35" s="9">
        <f t="shared" si="0"/>
        <v>12631.265000000001</v>
      </c>
      <c r="F35" s="9">
        <f>3500+1435.29</f>
        <v>4935.29</v>
      </c>
      <c r="G35" s="9">
        <v>3745</v>
      </c>
      <c r="H35" s="9">
        <v>3950.975</v>
      </c>
      <c r="I35" s="84"/>
      <c r="J35" s="84"/>
    </row>
    <row r="36" spans="1:8" s="4" customFormat="1" ht="38.25">
      <c r="A36" s="121"/>
      <c r="B36" s="8" t="s">
        <v>176</v>
      </c>
      <c r="C36" s="108"/>
      <c r="D36" s="108"/>
      <c r="E36" s="9">
        <f t="shared" si="0"/>
        <v>13266.967</v>
      </c>
      <c r="F36" s="9">
        <f>42.142+13119.236+105.589</f>
        <v>13266.967</v>
      </c>
      <c r="G36" s="9"/>
      <c r="H36" s="9"/>
    </row>
    <row r="37" spans="1:8" s="4" customFormat="1" ht="12.75">
      <c r="A37" s="106" t="s">
        <v>104</v>
      </c>
      <c r="B37" s="118"/>
      <c r="C37" s="118"/>
      <c r="D37" s="118"/>
      <c r="E37" s="118"/>
      <c r="F37" s="118"/>
      <c r="G37" s="118"/>
      <c r="H37" s="119"/>
    </row>
    <row r="38" spans="1:8" s="4" customFormat="1" ht="12.75">
      <c r="A38" s="112" t="s">
        <v>109</v>
      </c>
      <c r="B38" s="6"/>
      <c r="C38" s="107" t="s">
        <v>19</v>
      </c>
      <c r="D38" s="107" t="s">
        <v>20</v>
      </c>
      <c r="E38" s="7">
        <f>F38+G38+H38</f>
        <v>45214.305494</v>
      </c>
      <c r="F38" s="7">
        <f>SUM(F39:F52)</f>
        <v>35406.467000000004</v>
      </c>
      <c r="G38" s="7">
        <f>SUM(G39:G52)</f>
        <v>4772.6708</v>
      </c>
      <c r="H38" s="7">
        <f>SUM(H39:H52)</f>
        <v>5035.167694</v>
      </c>
    </row>
    <row r="39" spans="1:8" s="4" customFormat="1" ht="51">
      <c r="A39" s="103"/>
      <c r="B39" s="8" t="s">
        <v>145</v>
      </c>
      <c r="C39" s="108"/>
      <c r="D39" s="108"/>
      <c r="E39" s="9">
        <f aca="true" t="shared" si="1" ref="E39:E51">F39+G39+H39</f>
        <v>30000</v>
      </c>
      <c r="F39" s="9">
        <v>30000</v>
      </c>
      <c r="G39" s="9"/>
      <c r="H39" s="9"/>
    </row>
    <row r="40" spans="1:8" s="4" customFormat="1" ht="89.25">
      <c r="A40" s="103"/>
      <c r="B40" s="8" t="s">
        <v>146</v>
      </c>
      <c r="C40" s="108"/>
      <c r="D40" s="108"/>
      <c r="E40" s="9">
        <f t="shared" si="1"/>
        <v>1472.878494</v>
      </c>
      <c r="F40" s="9">
        <v>460.44</v>
      </c>
      <c r="G40" s="9">
        <f>F40*1.07</f>
        <v>492.67080000000004</v>
      </c>
      <c r="H40" s="9">
        <f>G40*1.055</f>
        <v>519.767694</v>
      </c>
    </row>
    <row r="41" spans="1:8" s="4" customFormat="1" ht="63.75">
      <c r="A41" s="103"/>
      <c r="B41" s="8" t="s">
        <v>180</v>
      </c>
      <c r="C41" s="108"/>
      <c r="D41" s="108"/>
      <c r="E41" s="9">
        <f t="shared" si="1"/>
        <v>12795.4</v>
      </c>
      <c r="F41" s="9">
        <v>4000</v>
      </c>
      <c r="G41" s="9">
        <f>F41*1.07</f>
        <v>4280</v>
      </c>
      <c r="H41" s="9">
        <f>G41*1.055</f>
        <v>4515.4</v>
      </c>
    </row>
    <row r="42" spans="1:8" s="4" customFormat="1" ht="38.25">
      <c r="A42" s="103"/>
      <c r="B42" s="36" t="s">
        <v>258</v>
      </c>
      <c r="C42" s="108"/>
      <c r="D42" s="108"/>
      <c r="E42" s="9">
        <v>52</v>
      </c>
      <c r="F42" s="9">
        <v>52</v>
      </c>
      <c r="G42" s="9"/>
      <c r="H42" s="9"/>
    </row>
    <row r="43" spans="1:8" s="4" customFormat="1" ht="38.25">
      <c r="A43" s="103"/>
      <c r="B43" s="36" t="s">
        <v>254</v>
      </c>
      <c r="C43" s="108"/>
      <c r="D43" s="108"/>
      <c r="E43" s="9">
        <v>45.181</v>
      </c>
      <c r="F43" s="9">
        <v>45.181</v>
      </c>
      <c r="G43" s="9"/>
      <c r="H43" s="9"/>
    </row>
    <row r="44" spans="1:8" s="4" customFormat="1" ht="38.25">
      <c r="A44" s="103"/>
      <c r="B44" s="36" t="s">
        <v>255</v>
      </c>
      <c r="C44" s="108"/>
      <c r="D44" s="108"/>
      <c r="E44" s="9">
        <v>119.998</v>
      </c>
      <c r="F44" s="9">
        <v>119.998</v>
      </c>
      <c r="G44" s="9"/>
      <c r="H44" s="9"/>
    </row>
    <row r="45" spans="1:8" s="4" customFormat="1" ht="38.25">
      <c r="A45" s="103"/>
      <c r="B45" s="36" t="s">
        <v>181</v>
      </c>
      <c r="C45" s="108"/>
      <c r="D45" s="108"/>
      <c r="E45" s="9">
        <f t="shared" si="1"/>
        <v>32.834</v>
      </c>
      <c r="F45" s="9">
        <v>32.834</v>
      </c>
      <c r="G45" s="9"/>
      <c r="H45" s="9"/>
    </row>
    <row r="46" spans="1:8" s="4" customFormat="1" ht="38.25">
      <c r="A46" s="103"/>
      <c r="B46" s="36" t="s">
        <v>182</v>
      </c>
      <c r="C46" s="108"/>
      <c r="D46" s="108"/>
      <c r="E46" s="9">
        <f t="shared" si="1"/>
        <v>30.253</v>
      </c>
      <c r="F46" s="9">
        <v>30.253</v>
      </c>
      <c r="G46" s="9"/>
      <c r="H46" s="9"/>
    </row>
    <row r="47" spans="1:8" s="4" customFormat="1" ht="51">
      <c r="A47" s="103"/>
      <c r="B47" s="36" t="s">
        <v>183</v>
      </c>
      <c r="C47" s="108"/>
      <c r="D47" s="108"/>
      <c r="E47" s="9">
        <f t="shared" si="1"/>
        <v>52.057</v>
      </c>
      <c r="F47" s="9">
        <v>52.057</v>
      </c>
      <c r="G47" s="9"/>
      <c r="H47" s="9"/>
    </row>
    <row r="48" spans="1:8" s="4" customFormat="1" ht="38.25">
      <c r="A48" s="103"/>
      <c r="B48" s="36" t="s">
        <v>184</v>
      </c>
      <c r="C48" s="108"/>
      <c r="D48" s="108"/>
      <c r="E48" s="9">
        <f t="shared" si="1"/>
        <v>52.492</v>
      </c>
      <c r="F48" s="9">
        <v>52.492</v>
      </c>
      <c r="G48" s="9"/>
      <c r="H48" s="9"/>
    </row>
    <row r="49" spans="1:8" s="4" customFormat="1" ht="38.25">
      <c r="A49" s="103"/>
      <c r="B49" s="36" t="s">
        <v>272</v>
      </c>
      <c r="C49" s="108"/>
      <c r="D49" s="108"/>
      <c r="E49" s="9">
        <f t="shared" si="1"/>
        <v>312.364</v>
      </c>
      <c r="F49" s="9">
        <v>312.364</v>
      </c>
      <c r="G49" s="9"/>
      <c r="H49" s="9"/>
    </row>
    <row r="50" spans="1:8" s="4" customFormat="1" ht="102">
      <c r="A50" s="103"/>
      <c r="B50" s="8" t="s">
        <v>177</v>
      </c>
      <c r="C50" s="108"/>
      <c r="D50" s="108"/>
      <c r="E50" s="9">
        <f t="shared" si="1"/>
        <v>28.728</v>
      </c>
      <c r="F50" s="9">
        <v>28.728</v>
      </c>
      <c r="G50" s="9"/>
      <c r="H50" s="9"/>
    </row>
    <row r="51" spans="1:8" s="4" customFormat="1" ht="102">
      <c r="A51" s="103"/>
      <c r="B51" s="8" t="s">
        <v>178</v>
      </c>
      <c r="C51" s="108"/>
      <c r="D51" s="108"/>
      <c r="E51" s="9">
        <f t="shared" si="1"/>
        <v>90.514</v>
      </c>
      <c r="F51" s="9">
        <v>90.514</v>
      </c>
      <c r="G51" s="9"/>
      <c r="H51" s="9"/>
    </row>
    <row r="52" spans="1:8" s="4" customFormat="1" ht="63.75">
      <c r="A52" s="103"/>
      <c r="B52" s="8" t="s">
        <v>179</v>
      </c>
      <c r="C52" s="108"/>
      <c r="D52" s="108"/>
      <c r="E52" s="9">
        <f>F52+G52+H52</f>
        <v>129.606</v>
      </c>
      <c r="F52" s="9">
        <f>1.398+128.208</f>
        <v>129.606</v>
      </c>
      <c r="G52" s="9"/>
      <c r="H52" s="9"/>
    </row>
    <row r="53" spans="1:8" s="4" customFormat="1" ht="12.75">
      <c r="A53" s="106" t="s">
        <v>105</v>
      </c>
      <c r="B53" s="118"/>
      <c r="C53" s="118"/>
      <c r="D53" s="118"/>
      <c r="E53" s="118"/>
      <c r="F53" s="118"/>
      <c r="G53" s="118"/>
      <c r="H53" s="119"/>
    </row>
    <row r="54" spans="1:8" s="4" customFormat="1" ht="12.75" customHeight="1">
      <c r="A54" s="117" t="s">
        <v>110</v>
      </c>
      <c r="B54" s="6"/>
      <c r="C54" s="110" t="s">
        <v>19</v>
      </c>
      <c r="D54" s="110" t="s">
        <v>20</v>
      </c>
      <c r="E54" s="7">
        <f aca="true" t="shared" si="2" ref="E54:E70">F54+G54+H54</f>
        <v>165410.83099999998</v>
      </c>
      <c r="F54" s="7">
        <f>SUM(F55:F65)-F58-F59-F60-F61-F62-F63-F64</f>
        <v>126765.25499999999</v>
      </c>
      <c r="G54" s="7">
        <f>SUM(G55:G65)</f>
        <v>31388.812</v>
      </c>
      <c r="H54" s="7">
        <f>SUM(H55:H65)</f>
        <v>7256.764</v>
      </c>
    </row>
    <row r="55" spans="1:8" s="4" customFormat="1" ht="38.25">
      <c r="A55" s="117"/>
      <c r="B55" s="8" t="s">
        <v>147</v>
      </c>
      <c r="C55" s="110"/>
      <c r="D55" s="110"/>
      <c r="E55" s="9">
        <f t="shared" si="2"/>
        <v>105240.746</v>
      </c>
      <c r="F55" s="9">
        <f>75933.176+2585.253-8784.348+3396.924+200.515-7852.995+1151.123-34.478</f>
        <v>66595.17</v>
      </c>
      <c r="G55" s="9">
        <v>31388.812</v>
      </c>
      <c r="H55" s="9">
        <v>7256.764</v>
      </c>
    </row>
    <row r="56" spans="1:8" s="4" customFormat="1" ht="38.25">
      <c r="A56" s="117"/>
      <c r="B56" s="8" t="s">
        <v>185</v>
      </c>
      <c r="C56" s="110"/>
      <c r="D56" s="110"/>
      <c r="E56" s="9">
        <f t="shared" si="2"/>
        <v>3773.215</v>
      </c>
      <c r="F56" s="9">
        <v>3773.215</v>
      </c>
      <c r="G56" s="9"/>
      <c r="H56" s="9"/>
    </row>
    <row r="57" spans="1:8" s="4" customFormat="1" ht="51">
      <c r="A57" s="117"/>
      <c r="B57" s="8" t="s">
        <v>249</v>
      </c>
      <c r="C57" s="110"/>
      <c r="D57" s="110"/>
      <c r="E57" s="9">
        <f t="shared" si="2"/>
        <v>56242.869999999995</v>
      </c>
      <c r="F57" s="9">
        <f>29056.456+7299.489+3312.74+5362.2+45.006+6856.643+4190.342+119.994</f>
        <v>56242.869999999995</v>
      </c>
      <c r="G57" s="9"/>
      <c r="H57" s="9"/>
    </row>
    <row r="58" spans="1:8" s="4" customFormat="1" ht="216.75">
      <c r="A58" s="117"/>
      <c r="B58" s="21" t="s">
        <v>266</v>
      </c>
      <c r="C58" s="110"/>
      <c r="D58" s="110"/>
      <c r="E58" s="22">
        <f t="shared" si="2"/>
        <v>19851.945</v>
      </c>
      <c r="F58" s="22">
        <f>12552.456+7299.489</f>
        <v>19851.945</v>
      </c>
      <c r="G58" s="9"/>
      <c r="H58" s="9"/>
    </row>
    <row r="59" spans="1:8" s="4" customFormat="1" ht="191.25">
      <c r="A59" s="117"/>
      <c r="B59" s="21" t="s">
        <v>248</v>
      </c>
      <c r="C59" s="110"/>
      <c r="D59" s="110"/>
      <c r="E59" s="22">
        <f t="shared" si="2"/>
        <v>5875.64</v>
      </c>
      <c r="F59" s="22">
        <v>5875.64</v>
      </c>
      <c r="G59" s="9"/>
      <c r="H59" s="9"/>
    </row>
    <row r="60" spans="1:8" s="4" customFormat="1" ht="27.75" customHeight="1">
      <c r="A60" s="117"/>
      <c r="B60" s="21" t="s">
        <v>246</v>
      </c>
      <c r="C60" s="110"/>
      <c r="D60" s="110"/>
      <c r="E60" s="22">
        <f t="shared" si="2"/>
        <v>8003.54</v>
      </c>
      <c r="F60" s="22">
        <f>4690.8+3312.74</f>
        <v>8003.54</v>
      </c>
      <c r="G60" s="9"/>
      <c r="H60" s="9"/>
    </row>
    <row r="61" spans="1:8" s="4" customFormat="1" ht="25.5">
      <c r="A61" s="117"/>
      <c r="B61" s="21" t="s">
        <v>245</v>
      </c>
      <c r="C61" s="110"/>
      <c r="D61" s="110"/>
      <c r="E61" s="22">
        <f t="shared" si="2"/>
        <v>2536.06</v>
      </c>
      <c r="F61" s="22">
        <f>1586.56+45.006+904.494</f>
        <v>2536.06</v>
      </c>
      <c r="G61" s="9"/>
      <c r="H61" s="9"/>
    </row>
    <row r="62" spans="1:8" s="59" customFormat="1" ht="25.5">
      <c r="A62" s="117"/>
      <c r="B62" s="21" t="s">
        <v>247</v>
      </c>
      <c r="C62" s="110"/>
      <c r="D62" s="110"/>
      <c r="E62" s="22">
        <f t="shared" si="2"/>
        <v>4351</v>
      </c>
      <c r="F62" s="22">
        <v>4351</v>
      </c>
      <c r="G62" s="22"/>
      <c r="H62" s="22"/>
    </row>
    <row r="63" spans="1:8" s="59" customFormat="1" ht="25.5">
      <c r="A63" s="117"/>
      <c r="B63" s="21" t="s">
        <v>256</v>
      </c>
      <c r="C63" s="110"/>
      <c r="D63" s="110"/>
      <c r="E63" s="22">
        <v>5362.2</v>
      </c>
      <c r="F63" s="22">
        <f>5362.2+119.994</f>
        <v>5482.1939999999995</v>
      </c>
      <c r="G63" s="22"/>
      <c r="H63" s="22"/>
    </row>
    <row r="64" spans="1:8" s="59" customFormat="1" ht="25.5">
      <c r="A64" s="117"/>
      <c r="B64" s="21" t="s">
        <v>257</v>
      </c>
      <c r="C64" s="110"/>
      <c r="D64" s="110"/>
      <c r="E64" s="22">
        <v>6856.643</v>
      </c>
      <c r="F64" s="22">
        <f>6856.643+3285.848</f>
        <v>10142.491</v>
      </c>
      <c r="G64" s="22"/>
      <c r="H64" s="22"/>
    </row>
    <row r="65" spans="1:8" s="4" customFormat="1" ht="51">
      <c r="A65" s="117"/>
      <c r="B65" s="8" t="s">
        <v>186</v>
      </c>
      <c r="C65" s="110"/>
      <c r="D65" s="110"/>
      <c r="E65" s="9">
        <f t="shared" si="2"/>
        <v>154</v>
      </c>
      <c r="F65" s="9">
        <v>154</v>
      </c>
      <c r="G65" s="9"/>
      <c r="H65" s="9"/>
    </row>
    <row r="66" spans="1:8" s="4" customFormat="1" ht="12.75">
      <c r="A66" s="117" t="s">
        <v>110</v>
      </c>
      <c r="B66" s="8"/>
      <c r="C66" s="101" t="s">
        <v>106</v>
      </c>
      <c r="D66" s="101" t="s">
        <v>20</v>
      </c>
      <c r="E66" s="7">
        <f>F66+G66+H66</f>
        <v>5562.776</v>
      </c>
      <c r="F66" s="7">
        <f>SUM(F67:F68)</f>
        <v>5562.776</v>
      </c>
      <c r="G66" s="7">
        <f>SUM(G67:G68)</f>
        <v>0</v>
      </c>
      <c r="H66" s="7">
        <f>SUM(H67:H68)</f>
        <v>0</v>
      </c>
    </row>
    <row r="67" spans="1:8" s="4" customFormat="1" ht="38.25" customHeight="1">
      <c r="A67" s="117"/>
      <c r="B67" s="8" t="s">
        <v>147</v>
      </c>
      <c r="C67" s="101"/>
      <c r="D67" s="101"/>
      <c r="E67" s="9">
        <f t="shared" si="2"/>
        <v>5403.058</v>
      </c>
      <c r="F67" s="9">
        <f>4306.598+38.55+1057.91</f>
        <v>5403.058</v>
      </c>
      <c r="G67" s="9"/>
      <c r="H67" s="9"/>
    </row>
    <row r="68" spans="1:8" s="4" customFormat="1" ht="38.25">
      <c r="A68" s="117"/>
      <c r="B68" s="8" t="s">
        <v>185</v>
      </c>
      <c r="C68" s="101"/>
      <c r="D68" s="101"/>
      <c r="E68" s="9">
        <f t="shared" si="2"/>
        <v>159.718</v>
      </c>
      <c r="F68" s="9">
        <v>159.718</v>
      </c>
      <c r="G68" s="9"/>
      <c r="H68" s="9"/>
    </row>
    <row r="69" spans="1:8" s="4" customFormat="1" ht="12.75">
      <c r="A69" s="117" t="s">
        <v>110</v>
      </c>
      <c r="B69" s="8"/>
      <c r="C69" s="122" t="s">
        <v>107</v>
      </c>
      <c r="D69" s="122" t="s">
        <v>20</v>
      </c>
      <c r="E69" s="7">
        <f t="shared" si="2"/>
        <v>3264.1980000000003</v>
      </c>
      <c r="F69" s="7">
        <f>SUM(F70:F70)</f>
        <v>3264.1980000000003</v>
      </c>
      <c r="G69" s="7">
        <f>SUM(G70:G70)</f>
        <v>0</v>
      </c>
      <c r="H69" s="7">
        <f>SUM(H70:H70)</f>
        <v>0</v>
      </c>
    </row>
    <row r="70" spans="1:8" s="4" customFormat="1" ht="38.25">
      <c r="A70" s="117"/>
      <c r="B70" s="8" t="s">
        <v>147</v>
      </c>
      <c r="C70" s="125"/>
      <c r="D70" s="125"/>
      <c r="E70" s="9">
        <f t="shared" si="2"/>
        <v>3264.1980000000003</v>
      </c>
      <c r="F70" s="9">
        <f>6764.198-1153.76-2346.24</f>
        <v>3264.1980000000003</v>
      </c>
      <c r="G70" s="9"/>
      <c r="H70" s="9"/>
    </row>
    <row r="71" spans="1:8" s="4" customFormat="1" ht="12.75">
      <c r="A71" s="114" t="s">
        <v>110</v>
      </c>
      <c r="B71" s="8"/>
      <c r="C71" s="122" t="s">
        <v>261</v>
      </c>
      <c r="D71" s="122" t="s">
        <v>20</v>
      </c>
      <c r="E71" s="7">
        <f aca="true" t="shared" si="3" ref="E71:E78">F71+G71+H71</f>
        <v>2500</v>
      </c>
      <c r="F71" s="7">
        <f>SUM(F72)</f>
        <v>2500</v>
      </c>
      <c r="G71" s="7">
        <f>SUM(G72)</f>
        <v>0</v>
      </c>
      <c r="H71" s="7">
        <f>SUM(H72)</f>
        <v>0</v>
      </c>
    </row>
    <row r="72" spans="1:8" s="4" customFormat="1" ht="42" customHeight="1">
      <c r="A72" s="115"/>
      <c r="B72" s="8" t="s">
        <v>148</v>
      </c>
      <c r="C72" s="123"/>
      <c r="D72" s="123"/>
      <c r="E72" s="9">
        <f t="shared" si="3"/>
        <v>2500</v>
      </c>
      <c r="F72" s="9">
        <v>2500</v>
      </c>
      <c r="G72" s="9"/>
      <c r="H72" s="9"/>
    </row>
    <row r="73" spans="1:8" s="4" customFormat="1" ht="12.75">
      <c r="A73" s="114" t="s">
        <v>110</v>
      </c>
      <c r="B73" s="8"/>
      <c r="C73" s="122" t="s">
        <v>40</v>
      </c>
      <c r="D73" s="122" t="s">
        <v>20</v>
      </c>
      <c r="E73" s="7">
        <f t="shared" si="3"/>
        <v>526</v>
      </c>
      <c r="F73" s="7">
        <f>SUM(F74)</f>
        <v>526</v>
      </c>
      <c r="G73" s="7">
        <f>SUM(G74)</f>
        <v>0</v>
      </c>
      <c r="H73" s="7">
        <f>SUM(H74)</f>
        <v>0</v>
      </c>
    </row>
    <row r="74" spans="1:8" s="4" customFormat="1" ht="25.5">
      <c r="A74" s="115"/>
      <c r="B74" s="8" t="s">
        <v>148</v>
      </c>
      <c r="C74" s="123"/>
      <c r="D74" s="123"/>
      <c r="E74" s="9">
        <f t="shared" si="3"/>
        <v>526</v>
      </c>
      <c r="F74" s="9">
        <v>526</v>
      </c>
      <c r="G74" s="9"/>
      <c r="H74" s="9"/>
    </row>
    <row r="75" spans="1:8" s="4" customFormat="1" ht="12.75">
      <c r="A75" s="114" t="s">
        <v>110</v>
      </c>
      <c r="B75" s="8"/>
      <c r="C75" s="122" t="s">
        <v>42</v>
      </c>
      <c r="D75" s="122" t="s">
        <v>20</v>
      </c>
      <c r="E75" s="7">
        <f t="shared" si="3"/>
        <v>438.266</v>
      </c>
      <c r="F75" s="7">
        <f>SUM(F76)</f>
        <v>438.266</v>
      </c>
      <c r="G75" s="7">
        <f>SUM(G76)</f>
        <v>0</v>
      </c>
      <c r="H75" s="7">
        <f>SUM(H76)</f>
        <v>0</v>
      </c>
    </row>
    <row r="76" spans="1:8" s="4" customFormat="1" ht="25.5">
      <c r="A76" s="115"/>
      <c r="B76" s="8" t="s">
        <v>148</v>
      </c>
      <c r="C76" s="123"/>
      <c r="D76" s="123"/>
      <c r="E76" s="9">
        <f t="shared" si="3"/>
        <v>438.266</v>
      </c>
      <c r="F76" s="9">
        <v>438.266</v>
      </c>
      <c r="G76" s="9"/>
      <c r="H76" s="9"/>
    </row>
    <row r="77" spans="1:8" s="4" customFormat="1" ht="12.75">
      <c r="A77" s="114" t="s">
        <v>110</v>
      </c>
      <c r="B77" s="8"/>
      <c r="C77" s="122" t="s">
        <v>44</v>
      </c>
      <c r="D77" s="122" t="s">
        <v>20</v>
      </c>
      <c r="E77" s="7">
        <f t="shared" si="3"/>
        <v>449.99</v>
      </c>
      <c r="F77" s="7">
        <f>SUM(F78)</f>
        <v>449.99</v>
      </c>
      <c r="G77" s="7">
        <f>SUM(G78)</f>
        <v>0</v>
      </c>
      <c r="H77" s="7">
        <f>SUM(H78)</f>
        <v>0</v>
      </c>
    </row>
    <row r="78" spans="1:8" s="4" customFormat="1" ht="25.5">
      <c r="A78" s="115"/>
      <c r="B78" s="8" t="s">
        <v>148</v>
      </c>
      <c r="C78" s="123"/>
      <c r="D78" s="123"/>
      <c r="E78" s="9">
        <f t="shared" si="3"/>
        <v>449.99</v>
      </c>
      <c r="F78" s="9">
        <v>449.99</v>
      </c>
      <c r="G78" s="9"/>
      <c r="H78" s="9"/>
    </row>
    <row r="79" spans="1:8" s="4" customFormat="1" ht="12.75">
      <c r="A79" s="106" t="s">
        <v>231</v>
      </c>
      <c r="B79" s="118"/>
      <c r="C79" s="118"/>
      <c r="D79" s="118"/>
      <c r="E79" s="118"/>
      <c r="F79" s="118"/>
      <c r="G79" s="118"/>
      <c r="H79" s="119"/>
    </row>
    <row r="80" spans="1:8" s="4" customFormat="1" ht="12.75">
      <c r="A80" s="114" t="s">
        <v>232</v>
      </c>
      <c r="B80" s="8"/>
      <c r="C80" s="126" t="s">
        <v>19</v>
      </c>
      <c r="D80" s="126" t="s">
        <v>20</v>
      </c>
      <c r="E80" s="7">
        <f>F80+G80+H80</f>
        <v>3870.326</v>
      </c>
      <c r="F80" s="62">
        <f>SUM(F81:F82)</f>
        <v>3870.326</v>
      </c>
      <c r="G80" s="62">
        <f>SUM(G81:G82)</f>
        <v>0</v>
      </c>
      <c r="H80" s="62">
        <f>SUM(H81:H82)</f>
        <v>0</v>
      </c>
    </row>
    <row r="81" spans="1:8" s="4" customFormat="1" ht="12.75">
      <c r="A81" s="116"/>
      <c r="B81" s="8" t="s">
        <v>233</v>
      </c>
      <c r="C81" s="127"/>
      <c r="D81" s="127"/>
      <c r="E81" s="9">
        <f>F81+G81+H81</f>
        <v>840.91</v>
      </c>
      <c r="F81" s="9">
        <v>840.91</v>
      </c>
      <c r="G81" s="62"/>
      <c r="H81" s="62"/>
    </row>
    <row r="82" spans="1:8" s="4" customFormat="1" ht="38.25">
      <c r="A82" s="116"/>
      <c r="B82" s="8" t="s">
        <v>234</v>
      </c>
      <c r="C82" s="127"/>
      <c r="D82" s="127"/>
      <c r="E82" s="9">
        <f>F82+G82+H82</f>
        <v>3029.416</v>
      </c>
      <c r="F82" s="9">
        <v>3029.416</v>
      </c>
      <c r="G82" s="62"/>
      <c r="H82" s="62"/>
    </row>
    <row r="83" spans="1:8" s="2" customFormat="1" ht="12.75">
      <c r="A83" s="111" t="s">
        <v>122</v>
      </c>
      <c r="B83" s="111"/>
      <c r="C83" s="111"/>
      <c r="D83" s="111"/>
      <c r="E83" s="111"/>
      <c r="F83" s="111"/>
      <c r="G83" s="111"/>
      <c r="H83" s="111"/>
    </row>
    <row r="84" spans="1:8" s="2" customFormat="1" ht="12.75">
      <c r="A84" s="100" t="s">
        <v>68</v>
      </c>
      <c r="B84" s="6"/>
      <c r="C84" s="110" t="s">
        <v>19</v>
      </c>
      <c r="D84" s="110" t="s">
        <v>20</v>
      </c>
      <c r="E84" s="7">
        <f aca="true" t="shared" si="4" ref="E84:E109">F84+G84+H84</f>
        <v>177416.717</v>
      </c>
      <c r="F84" s="7">
        <f>SUM(F85:F97)-F86</f>
        <v>63364.895000000004</v>
      </c>
      <c r="G84" s="7">
        <f>SUM(G85:G97)-G86</f>
        <v>55499.669</v>
      </c>
      <c r="H84" s="7">
        <f>SUM(H85:H97)-H86</f>
        <v>58552.153</v>
      </c>
    </row>
    <row r="85" spans="1:10" ht="12.75" customHeight="1">
      <c r="A85" s="100"/>
      <c r="B85" s="8" t="s">
        <v>63</v>
      </c>
      <c r="C85" s="110"/>
      <c r="D85" s="110"/>
      <c r="E85" s="9">
        <f t="shared" si="4"/>
        <v>110343.89</v>
      </c>
      <c r="F85" s="9">
        <f>31400+9527.322+372.678</f>
        <v>41300</v>
      </c>
      <c r="G85" s="9">
        <v>33598</v>
      </c>
      <c r="H85" s="9">
        <v>35445.89</v>
      </c>
      <c r="I85" s="87">
        <v>41300</v>
      </c>
      <c r="J85" s="86"/>
    </row>
    <row r="86" spans="1:9" s="58" customFormat="1" ht="38.25">
      <c r="A86" s="100"/>
      <c r="B86" s="21" t="s">
        <v>260</v>
      </c>
      <c r="C86" s="110"/>
      <c r="D86" s="110"/>
      <c r="E86" s="22">
        <f t="shared" si="4"/>
        <v>372.678</v>
      </c>
      <c r="F86" s="22">
        <f>372.678</f>
        <v>372.678</v>
      </c>
      <c r="G86" s="22"/>
      <c r="H86" s="22"/>
      <c r="I86" s="74"/>
    </row>
    <row r="87" spans="1:10" ht="25.5">
      <c r="A87" s="100"/>
      <c r="B87" s="10" t="s">
        <v>166</v>
      </c>
      <c r="C87" s="110"/>
      <c r="D87" s="110"/>
      <c r="E87" s="9">
        <f t="shared" si="4"/>
        <v>18233.445</v>
      </c>
      <c r="F87" s="9">
        <v>5700</v>
      </c>
      <c r="G87" s="9">
        <v>6099</v>
      </c>
      <c r="H87" s="9">
        <v>6434.445</v>
      </c>
      <c r="I87" s="85"/>
      <c r="J87" s="86"/>
    </row>
    <row r="88" spans="1:10" ht="25.5">
      <c r="A88" s="100"/>
      <c r="B88" s="10" t="s">
        <v>64</v>
      </c>
      <c r="C88" s="110"/>
      <c r="D88" s="110"/>
      <c r="E88" s="9">
        <f t="shared" si="4"/>
        <v>33587.925</v>
      </c>
      <c r="F88" s="9">
        <v>10500</v>
      </c>
      <c r="G88" s="9">
        <v>11235</v>
      </c>
      <c r="H88" s="9">
        <v>11852.925</v>
      </c>
      <c r="I88" s="85"/>
      <c r="J88" s="86"/>
    </row>
    <row r="89" spans="1:10" ht="12.75">
      <c r="A89" s="100"/>
      <c r="B89" s="10" t="s">
        <v>65</v>
      </c>
      <c r="C89" s="110"/>
      <c r="D89" s="110"/>
      <c r="E89" s="9">
        <f t="shared" si="4"/>
        <v>4606.036999999999</v>
      </c>
      <c r="F89" s="9">
        <v>1439.904</v>
      </c>
      <c r="G89" s="9">
        <v>1540.697</v>
      </c>
      <c r="H89" s="9">
        <v>1625.436</v>
      </c>
      <c r="I89" s="85"/>
      <c r="J89" s="86"/>
    </row>
    <row r="90" spans="1:10" ht="12.75">
      <c r="A90" s="100"/>
      <c r="B90" s="10" t="s">
        <v>66</v>
      </c>
      <c r="C90" s="110"/>
      <c r="D90" s="110"/>
      <c r="E90" s="9">
        <f t="shared" si="4"/>
        <v>1819.973</v>
      </c>
      <c r="F90" s="9">
        <f>500+68.946</f>
        <v>568.946</v>
      </c>
      <c r="G90" s="9">
        <v>608.772</v>
      </c>
      <c r="H90" s="9">
        <v>642.255</v>
      </c>
      <c r="I90" s="85"/>
      <c r="J90" s="86"/>
    </row>
    <row r="91" spans="1:10" ht="25.5">
      <c r="A91" s="100"/>
      <c r="B91" s="10" t="s">
        <v>188</v>
      </c>
      <c r="C91" s="110"/>
      <c r="D91" s="110"/>
      <c r="E91" s="9">
        <f>F91+G91+H91</f>
        <v>11.949</v>
      </c>
      <c r="F91" s="9">
        <v>11.949</v>
      </c>
      <c r="G91" s="9"/>
      <c r="H91" s="9"/>
      <c r="I91" s="85"/>
      <c r="J91" s="86"/>
    </row>
    <row r="92" spans="1:10" ht="12.75">
      <c r="A92" s="100"/>
      <c r="B92" s="10" t="s">
        <v>28</v>
      </c>
      <c r="C92" s="110"/>
      <c r="D92" s="110"/>
      <c r="E92" s="9">
        <f t="shared" si="4"/>
        <v>1223.658</v>
      </c>
      <c r="F92" s="9">
        <f>390-23.894</f>
        <v>366.106</v>
      </c>
      <c r="G92" s="9">
        <v>417.3</v>
      </c>
      <c r="H92" s="9">
        <v>440.252</v>
      </c>
      <c r="I92" s="85"/>
      <c r="J92" s="86"/>
    </row>
    <row r="93" spans="1:10" ht="38.25">
      <c r="A93" s="100"/>
      <c r="B93" s="10" t="s">
        <v>157</v>
      </c>
      <c r="C93" s="110"/>
      <c r="D93" s="110"/>
      <c r="E93" s="9">
        <f t="shared" si="4"/>
        <v>1183.575</v>
      </c>
      <c r="F93" s="9">
        <f>70+300</f>
        <v>370</v>
      </c>
      <c r="G93" s="9">
        <v>395.9</v>
      </c>
      <c r="H93" s="9">
        <v>417.675</v>
      </c>
      <c r="I93" s="85"/>
      <c r="J93" s="86"/>
    </row>
    <row r="94" spans="1:10" ht="25.5">
      <c r="A94" s="100"/>
      <c r="B94" s="10" t="s">
        <v>83</v>
      </c>
      <c r="C94" s="110"/>
      <c r="D94" s="110"/>
      <c r="E94" s="9">
        <f>F94+G94+H94</f>
        <v>4798.275</v>
      </c>
      <c r="F94" s="9">
        <v>1500</v>
      </c>
      <c r="G94" s="9">
        <v>1605</v>
      </c>
      <c r="H94" s="9">
        <v>1693.275</v>
      </c>
      <c r="I94" s="85"/>
      <c r="J94" s="86"/>
    </row>
    <row r="95" spans="1:10" ht="12.75">
      <c r="A95" s="100"/>
      <c r="B95" s="10" t="s">
        <v>273</v>
      </c>
      <c r="C95" s="110"/>
      <c r="D95" s="110"/>
      <c r="E95" s="9">
        <f>F95+G95+H95</f>
        <v>119</v>
      </c>
      <c r="F95" s="9">
        <v>119</v>
      </c>
      <c r="G95" s="9"/>
      <c r="H95" s="9"/>
      <c r="I95" s="85"/>
      <c r="J95" s="86"/>
    </row>
    <row r="96" spans="1:10" ht="38.25">
      <c r="A96" s="100"/>
      <c r="B96" s="10" t="s">
        <v>283</v>
      </c>
      <c r="C96" s="110"/>
      <c r="D96" s="110"/>
      <c r="E96" s="9">
        <f>F96+G96+H96</f>
        <v>1000</v>
      </c>
      <c r="F96" s="9">
        <v>1000</v>
      </c>
      <c r="G96" s="9"/>
      <c r="H96" s="9"/>
      <c r="I96" s="85"/>
      <c r="J96" s="86"/>
    </row>
    <row r="97" spans="1:9" ht="25.5">
      <c r="A97" s="100"/>
      <c r="B97" s="8" t="s">
        <v>187</v>
      </c>
      <c r="C97" s="110"/>
      <c r="D97" s="110"/>
      <c r="E97" s="9">
        <f>F97+G97+H97</f>
        <v>488.99</v>
      </c>
      <c r="F97" s="9">
        <f>49.24+52.916+6.665+17.71+362.459</f>
        <v>488.99</v>
      </c>
      <c r="G97" s="9"/>
      <c r="H97" s="9"/>
      <c r="I97" s="75">
        <v>362.459</v>
      </c>
    </row>
    <row r="98" spans="1:8" ht="12.75" customHeight="1">
      <c r="A98" s="114" t="s">
        <v>69</v>
      </c>
      <c r="B98" s="10"/>
      <c r="C98" s="107" t="s">
        <v>19</v>
      </c>
      <c r="D98" s="107" t="s">
        <v>20</v>
      </c>
      <c r="E98" s="7">
        <f t="shared" si="4"/>
        <v>34444.08711115</v>
      </c>
      <c r="F98" s="7">
        <f>SUM(F99:F104)</f>
        <v>10783.143999999998</v>
      </c>
      <c r="G98" s="7">
        <f>SUM(G99:G104)</f>
        <v>11513.84093</v>
      </c>
      <c r="H98" s="7">
        <f>SUM(H99:H104)</f>
        <v>12147.10218115</v>
      </c>
    </row>
    <row r="99" spans="1:8" ht="12.75">
      <c r="A99" s="116"/>
      <c r="B99" s="10" t="s">
        <v>158</v>
      </c>
      <c r="C99" s="108"/>
      <c r="D99" s="108"/>
      <c r="E99" s="9">
        <f t="shared" si="4"/>
        <v>28149.879999999997</v>
      </c>
      <c r="F99" s="9">
        <v>8800</v>
      </c>
      <c r="G99" s="9">
        <f>F99*1.07</f>
        <v>9416</v>
      </c>
      <c r="H99" s="9">
        <f>G99*1.055</f>
        <v>9933.88</v>
      </c>
    </row>
    <row r="100" spans="1:8" ht="25.5">
      <c r="A100" s="116"/>
      <c r="B100" s="8" t="s">
        <v>27</v>
      </c>
      <c r="C100" s="108"/>
      <c r="D100" s="108"/>
      <c r="E100" s="9">
        <f t="shared" si="4"/>
        <v>3198.85</v>
      </c>
      <c r="F100" s="9">
        <v>1000</v>
      </c>
      <c r="G100" s="9">
        <f>F100*1.07</f>
        <v>1070</v>
      </c>
      <c r="H100" s="9">
        <f>G100*1.055</f>
        <v>1128.85</v>
      </c>
    </row>
    <row r="101" spans="1:8" ht="12.75">
      <c r="A101" s="116"/>
      <c r="B101" s="10" t="s">
        <v>70</v>
      </c>
      <c r="C101" s="108"/>
      <c r="D101" s="108"/>
      <c r="E101" s="9">
        <f t="shared" si="4"/>
        <v>467.8574033000001</v>
      </c>
      <c r="F101" s="9">
        <v>146.258</v>
      </c>
      <c r="G101" s="9">
        <f>F101*1.07</f>
        <v>156.49606000000003</v>
      </c>
      <c r="H101" s="9">
        <f>G101*1.055</f>
        <v>165.10334330000003</v>
      </c>
    </row>
    <row r="102" spans="1:8" ht="12.75">
      <c r="A102" s="116"/>
      <c r="B102" s="10" t="s">
        <v>71</v>
      </c>
      <c r="C102" s="108"/>
      <c r="D102" s="108"/>
      <c r="E102" s="9">
        <f t="shared" si="4"/>
        <v>241.27326125000002</v>
      </c>
      <c r="F102" s="9">
        <v>75.425</v>
      </c>
      <c r="G102" s="9">
        <f>F102*1.07</f>
        <v>80.70475</v>
      </c>
      <c r="H102" s="9">
        <f>G102*1.055</f>
        <v>85.14351125</v>
      </c>
    </row>
    <row r="103" spans="1:8" ht="12.75">
      <c r="A103" s="116"/>
      <c r="B103" s="10" t="s">
        <v>72</v>
      </c>
      <c r="C103" s="108"/>
      <c r="D103" s="108"/>
      <c r="E103" s="9">
        <f t="shared" si="4"/>
        <v>2363.6814466000005</v>
      </c>
      <c r="F103" s="9">
        <v>738.916</v>
      </c>
      <c r="G103" s="9">
        <f>F103*1.07</f>
        <v>790.6401200000001</v>
      </c>
      <c r="H103" s="9">
        <f>G103*1.055</f>
        <v>834.1253266000001</v>
      </c>
    </row>
    <row r="104" spans="1:8" ht="25.5">
      <c r="A104" s="115"/>
      <c r="B104" s="8" t="s">
        <v>187</v>
      </c>
      <c r="C104" s="109"/>
      <c r="D104" s="109"/>
      <c r="E104" s="9">
        <f>F104+G104+H104</f>
        <v>22.545</v>
      </c>
      <c r="F104" s="9">
        <f>1.561+20.984</f>
        <v>22.545</v>
      </c>
      <c r="G104" s="22"/>
      <c r="H104" s="22"/>
    </row>
    <row r="105" spans="1:8" ht="12.75">
      <c r="A105" s="100" t="s">
        <v>73</v>
      </c>
      <c r="B105" s="10"/>
      <c r="C105" s="110" t="s">
        <v>19</v>
      </c>
      <c r="D105" s="107" t="s">
        <v>20</v>
      </c>
      <c r="E105" s="7">
        <f t="shared" si="4"/>
        <v>384.70969525</v>
      </c>
      <c r="F105" s="7">
        <f>SUM(F106:F109)</f>
        <v>120.26500000000001</v>
      </c>
      <c r="G105" s="7">
        <f>SUM(G106:G109)</f>
        <v>128.68355</v>
      </c>
      <c r="H105" s="7">
        <f>SUM(H106:H109)</f>
        <v>135.76114525</v>
      </c>
    </row>
    <row r="106" spans="1:8" ht="25.5">
      <c r="A106" s="100"/>
      <c r="B106" s="10" t="s">
        <v>74</v>
      </c>
      <c r="C106" s="110"/>
      <c r="D106" s="108"/>
      <c r="E106" s="9">
        <f t="shared" si="4"/>
        <v>51.82137</v>
      </c>
      <c r="F106" s="9">
        <v>16.2</v>
      </c>
      <c r="G106" s="9">
        <f aca="true" t="shared" si="5" ref="G106:G121">F106*1.07</f>
        <v>17.334</v>
      </c>
      <c r="H106" s="9">
        <f aca="true" t="shared" si="6" ref="H106:H121">G106*1.055</f>
        <v>18.28737</v>
      </c>
    </row>
    <row r="107" spans="1:8" ht="25.5">
      <c r="A107" s="100"/>
      <c r="B107" s="10" t="s">
        <v>75</v>
      </c>
      <c r="C107" s="110"/>
      <c r="D107" s="108"/>
      <c r="E107" s="9">
        <f t="shared" si="4"/>
        <v>70.96648725</v>
      </c>
      <c r="F107" s="9">
        <v>22.185</v>
      </c>
      <c r="G107" s="9">
        <f t="shared" si="5"/>
        <v>23.73795</v>
      </c>
      <c r="H107" s="9">
        <f t="shared" si="6"/>
        <v>25.04353725</v>
      </c>
    </row>
    <row r="108" spans="1:8" ht="25.5">
      <c r="A108" s="100"/>
      <c r="B108" s="10" t="s">
        <v>76</v>
      </c>
      <c r="C108" s="110"/>
      <c r="D108" s="108"/>
      <c r="E108" s="9">
        <f t="shared" si="4"/>
        <v>229.35754500000002</v>
      </c>
      <c r="F108" s="9">
        <v>71.7</v>
      </c>
      <c r="G108" s="9">
        <f t="shared" si="5"/>
        <v>76.71900000000001</v>
      </c>
      <c r="H108" s="9">
        <f t="shared" si="6"/>
        <v>80.938545</v>
      </c>
    </row>
    <row r="109" spans="1:8" ht="38.25">
      <c r="A109" s="100"/>
      <c r="B109" s="10" t="s">
        <v>77</v>
      </c>
      <c r="C109" s="110"/>
      <c r="D109" s="109"/>
      <c r="E109" s="9">
        <f t="shared" si="4"/>
        <v>32.564293</v>
      </c>
      <c r="F109" s="9">
        <v>10.18</v>
      </c>
      <c r="G109" s="9">
        <f t="shared" si="5"/>
        <v>10.8926</v>
      </c>
      <c r="H109" s="9">
        <f t="shared" si="6"/>
        <v>11.491693</v>
      </c>
    </row>
    <row r="110" spans="1:8" ht="12.75" customHeight="1">
      <c r="A110" s="114" t="s">
        <v>78</v>
      </c>
      <c r="B110" s="10"/>
      <c r="C110" s="107" t="s">
        <v>19</v>
      </c>
      <c r="D110" s="107" t="s">
        <v>20</v>
      </c>
      <c r="E110" s="7">
        <f aca="true" t="shared" si="7" ref="E110:E121">F110+G110+H110</f>
        <v>248095.24423065002</v>
      </c>
      <c r="F110" s="7">
        <f>SUM(F111:F122)</f>
        <v>77656.512</v>
      </c>
      <c r="G110" s="7">
        <f>SUM(G111:G122)</f>
        <v>82938.55583</v>
      </c>
      <c r="H110" s="7">
        <f>SUM(H111:H122)</f>
        <v>87500.17640065</v>
      </c>
    </row>
    <row r="111" spans="1:9" ht="12.75">
      <c r="A111" s="116"/>
      <c r="B111" s="10" t="s">
        <v>160</v>
      </c>
      <c r="C111" s="108"/>
      <c r="D111" s="108"/>
      <c r="E111" s="9">
        <f t="shared" si="7"/>
        <v>160335.3571662</v>
      </c>
      <c r="F111" s="9">
        <f>35122.812+15000</f>
        <v>50122.812</v>
      </c>
      <c r="G111" s="9">
        <f t="shared" si="5"/>
        <v>53631.408840000004</v>
      </c>
      <c r="H111" s="9">
        <f t="shared" si="6"/>
        <v>56581.1363262</v>
      </c>
      <c r="I111" s="75">
        <v>35122.812</v>
      </c>
    </row>
    <row r="112" spans="1:8" ht="25.5">
      <c r="A112" s="116"/>
      <c r="B112" s="10" t="s">
        <v>163</v>
      </c>
      <c r="C112" s="108"/>
      <c r="D112" s="108"/>
      <c r="E112" s="9">
        <f t="shared" si="7"/>
        <v>319.885</v>
      </c>
      <c r="F112" s="9">
        <v>100</v>
      </c>
      <c r="G112" s="9">
        <f t="shared" si="5"/>
        <v>107</v>
      </c>
      <c r="H112" s="9">
        <f t="shared" si="6"/>
        <v>112.88499999999999</v>
      </c>
    </row>
    <row r="113" spans="1:8" ht="12.75">
      <c r="A113" s="116"/>
      <c r="B113" s="10" t="s">
        <v>23</v>
      </c>
      <c r="C113" s="108"/>
      <c r="D113" s="108"/>
      <c r="E113" s="9">
        <f t="shared" si="7"/>
        <v>3198.85</v>
      </c>
      <c r="F113" s="9">
        <v>1000</v>
      </c>
      <c r="G113" s="9">
        <f t="shared" si="5"/>
        <v>1070</v>
      </c>
      <c r="H113" s="9">
        <f t="shared" si="6"/>
        <v>1128.85</v>
      </c>
    </row>
    <row r="114" spans="1:8" ht="25.5">
      <c r="A114" s="116"/>
      <c r="B114" s="10" t="s">
        <v>79</v>
      </c>
      <c r="C114" s="108"/>
      <c r="D114" s="108"/>
      <c r="E114" s="9">
        <f t="shared" si="7"/>
        <v>14394.825</v>
      </c>
      <c r="F114" s="9">
        <v>4500</v>
      </c>
      <c r="G114" s="9">
        <f t="shared" si="5"/>
        <v>4815</v>
      </c>
      <c r="H114" s="9">
        <f t="shared" si="6"/>
        <v>5079.825</v>
      </c>
    </row>
    <row r="115" spans="1:8" ht="38.25">
      <c r="A115" s="116"/>
      <c r="B115" s="10" t="s">
        <v>84</v>
      </c>
      <c r="C115" s="108"/>
      <c r="D115" s="108"/>
      <c r="E115" s="9">
        <f>F115+G115+H115</f>
        <v>191.93099999999998</v>
      </c>
      <c r="F115" s="9">
        <v>60</v>
      </c>
      <c r="G115" s="9">
        <f t="shared" si="5"/>
        <v>64.2</v>
      </c>
      <c r="H115" s="9">
        <f t="shared" si="6"/>
        <v>67.731</v>
      </c>
    </row>
    <row r="116" spans="1:8" ht="25.5">
      <c r="A116" s="116"/>
      <c r="B116" s="10" t="s">
        <v>46</v>
      </c>
      <c r="C116" s="108"/>
      <c r="D116" s="108"/>
      <c r="E116" s="9">
        <f>F116+G116+H116</f>
        <v>58890.828499999996</v>
      </c>
      <c r="F116" s="9">
        <f>18000+410</f>
        <v>18410</v>
      </c>
      <c r="G116" s="9">
        <f t="shared" si="5"/>
        <v>19698.7</v>
      </c>
      <c r="H116" s="9">
        <f t="shared" si="6"/>
        <v>20782.1285</v>
      </c>
    </row>
    <row r="117" spans="1:8" ht="38.25">
      <c r="A117" s="116"/>
      <c r="B117" s="10" t="s">
        <v>80</v>
      </c>
      <c r="C117" s="108"/>
      <c r="D117" s="108"/>
      <c r="E117" s="9">
        <f t="shared" si="7"/>
        <v>191.93099999999998</v>
      </c>
      <c r="F117" s="9">
        <v>60</v>
      </c>
      <c r="G117" s="9">
        <f t="shared" si="5"/>
        <v>64.2</v>
      </c>
      <c r="H117" s="9">
        <f t="shared" si="6"/>
        <v>67.731</v>
      </c>
    </row>
    <row r="118" spans="1:8" ht="38.25">
      <c r="A118" s="116"/>
      <c r="B118" s="10" t="s">
        <v>189</v>
      </c>
      <c r="C118" s="108"/>
      <c r="D118" s="108"/>
      <c r="E118" s="9">
        <f t="shared" si="7"/>
        <v>319.42756445</v>
      </c>
      <c r="F118" s="9">
        <v>99.857</v>
      </c>
      <c r="G118" s="9">
        <f t="shared" si="5"/>
        <v>106.84699</v>
      </c>
      <c r="H118" s="9">
        <f t="shared" si="6"/>
        <v>112.72357445</v>
      </c>
    </row>
    <row r="119" spans="1:8" ht="25.5">
      <c r="A119" s="116"/>
      <c r="B119" s="10" t="s">
        <v>81</v>
      </c>
      <c r="C119" s="108"/>
      <c r="D119" s="108"/>
      <c r="E119" s="9">
        <f t="shared" si="7"/>
        <v>5438.045</v>
      </c>
      <c r="F119" s="9">
        <v>1700</v>
      </c>
      <c r="G119" s="9">
        <f t="shared" si="5"/>
        <v>1819</v>
      </c>
      <c r="H119" s="9">
        <f t="shared" si="6"/>
        <v>1919.0449999999998</v>
      </c>
    </row>
    <row r="120" spans="1:8" ht="25.5">
      <c r="A120" s="116"/>
      <c r="B120" s="10" t="s">
        <v>82</v>
      </c>
      <c r="C120" s="108"/>
      <c r="D120" s="108"/>
      <c r="E120" s="9">
        <f t="shared" si="7"/>
        <v>191.93099999999998</v>
      </c>
      <c r="F120" s="9">
        <v>60</v>
      </c>
      <c r="G120" s="9">
        <f t="shared" si="5"/>
        <v>64.2</v>
      </c>
      <c r="H120" s="9">
        <f t="shared" si="6"/>
        <v>67.731</v>
      </c>
    </row>
    <row r="121" spans="1:8" ht="25.5">
      <c r="A121" s="116"/>
      <c r="B121" s="8" t="s">
        <v>60</v>
      </c>
      <c r="C121" s="108"/>
      <c r="D121" s="108"/>
      <c r="E121" s="9">
        <f t="shared" si="7"/>
        <v>4478.389999999999</v>
      </c>
      <c r="F121" s="9">
        <v>1400</v>
      </c>
      <c r="G121" s="9">
        <f t="shared" si="5"/>
        <v>1498</v>
      </c>
      <c r="H121" s="9">
        <f t="shared" si="6"/>
        <v>1580.3899999999999</v>
      </c>
    </row>
    <row r="122" spans="1:9" ht="25.5">
      <c r="A122" s="116"/>
      <c r="B122" s="8" t="s">
        <v>187</v>
      </c>
      <c r="C122" s="109"/>
      <c r="D122" s="109"/>
      <c r="E122" s="9">
        <f>F122+G122+H122</f>
        <v>143.84300000000002</v>
      </c>
      <c r="F122" s="9">
        <f>4.055+39.448+22.709+14.53+63.101</f>
        <v>143.84300000000002</v>
      </c>
      <c r="G122" s="9"/>
      <c r="H122" s="9"/>
      <c r="I122" s="75">
        <v>63.101</v>
      </c>
    </row>
    <row r="123" spans="1:8" ht="12.75" customHeight="1">
      <c r="A123" s="114" t="s">
        <v>85</v>
      </c>
      <c r="B123" s="8"/>
      <c r="C123" s="107" t="s">
        <v>19</v>
      </c>
      <c r="D123" s="107" t="s">
        <v>20</v>
      </c>
      <c r="E123" s="7">
        <f aca="true" t="shared" si="8" ref="E123:E135">F123+G123+H123</f>
        <v>100566.43497265001</v>
      </c>
      <c r="F123" s="7">
        <f>SUM(F124:F130)</f>
        <v>39698.773</v>
      </c>
      <c r="G123" s="7">
        <f>SUM(G124:G130)</f>
        <v>29619.300230000008</v>
      </c>
      <c r="H123" s="7">
        <f>SUM(H124:H130)</f>
        <v>31248.36174265</v>
      </c>
    </row>
    <row r="124" spans="1:10" ht="51">
      <c r="A124" s="116"/>
      <c r="B124" s="10" t="s">
        <v>267</v>
      </c>
      <c r="C124" s="108"/>
      <c r="D124" s="108"/>
      <c r="E124" s="9">
        <f t="shared" si="8"/>
        <v>10448.028999999999</v>
      </c>
      <c r="F124" s="9">
        <f>13828.565-3231.032-149.504</f>
        <v>10448.028999999999</v>
      </c>
      <c r="G124" s="9"/>
      <c r="H124" s="9"/>
      <c r="I124" s="75">
        <v>13828.565</v>
      </c>
      <c r="J124" s="54" t="s">
        <v>268</v>
      </c>
    </row>
    <row r="125" spans="1:9" ht="25.5">
      <c r="A125" s="116"/>
      <c r="B125" s="10" t="s">
        <v>61</v>
      </c>
      <c r="C125" s="108"/>
      <c r="D125" s="108"/>
      <c r="E125" s="9">
        <f t="shared" si="8"/>
        <v>83048.82839765001</v>
      </c>
      <c r="F125" s="9">
        <f>400.516+11593.464+14498.164-1000+469.945</f>
        <v>25962.089</v>
      </c>
      <c r="G125" s="9">
        <f>F125*1.07</f>
        <v>27779.435230000003</v>
      </c>
      <c r="H125" s="9">
        <f>G125*1.055</f>
        <v>29307.30416765</v>
      </c>
      <c r="I125" s="75">
        <v>25962.089</v>
      </c>
    </row>
    <row r="126" spans="1:8" ht="12.75">
      <c r="A126" s="116"/>
      <c r="B126" s="10" t="s">
        <v>190</v>
      </c>
      <c r="C126" s="108"/>
      <c r="D126" s="108"/>
      <c r="E126" s="9">
        <f t="shared" si="8"/>
        <v>319.885</v>
      </c>
      <c r="F126" s="9">
        <v>100</v>
      </c>
      <c r="G126" s="9">
        <f>F126*1.07</f>
        <v>107</v>
      </c>
      <c r="H126" s="9">
        <f>G126*1.055</f>
        <v>112.88499999999999</v>
      </c>
    </row>
    <row r="127" spans="1:8" ht="12.75">
      <c r="A127" s="116"/>
      <c r="B127" s="10" t="s">
        <v>212</v>
      </c>
      <c r="C127" s="108"/>
      <c r="D127" s="108"/>
      <c r="E127" s="9">
        <f t="shared" si="8"/>
        <v>3751.4449398</v>
      </c>
      <c r="F127" s="9">
        <v>1172.748</v>
      </c>
      <c r="G127" s="9">
        <f>F127*1.07</f>
        <v>1254.8403600000001</v>
      </c>
      <c r="H127" s="9">
        <f>G127*1.055</f>
        <v>1323.8565798</v>
      </c>
    </row>
    <row r="128" spans="1:8" ht="12.75">
      <c r="A128" s="116"/>
      <c r="B128" s="10" t="s">
        <v>211</v>
      </c>
      <c r="C128" s="108"/>
      <c r="D128" s="108"/>
      <c r="E128" s="9">
        <f t="shared" si="8"/>
        <v>1046.8300602</v>
      </c>
      <c r="F128" s="9">
        <v>327.252</v>
      </c>
      <c r="G128" s="9">
        <f>F128*1.07</f>
        <v>350.15964</v>
      </c>
      <c r="H128" s="9">
        <f>G128*1.055</f>
        <v>369.4184202</v>
      </c>
    </row>
    <row r="129" spans="1:8" ht="38.25">
      <c r="A129" s="116"/>
      <c r="B129" s="10" t="s">
        <v>274</v>
      </c>
      <c r="C129" s="108"/>
      <c r="D129" s="108"/>
      <c r="E129" s="9">
        <f t="shared" si="8"/>
        <v>382.26257499999997</v>
      </c>
      <c r="F129" s="9">
        <v>119.5</v>
      </c>
      <c r="G129" s="9">
        <f>F129*1.07</f>
        <v>127.86500000000001</v>
      </c>
      <c r="H129" s="9">
        <f>G129*1.055</f>
        <v>134.897575</v>
      </c>
    </row>
    <row r="130" spans="1:10" ht="25.5">
      <c r="A130" s="116"/>
      <c r="B130" s="8" t="s">
        <v>187</v>
      </c>
      <c r="C130" s="108"/>
      <c r="D130" s="108"/>
      <c r="E130" s="9">
        <f>F130+G130+H130</f>
        <v>1569.155</v>
      </c>
      <c r="F130" s="9">
        <f>244.024+74.38+0.001+2.869+364.436+292.092+591.353</f>
        <v>1569.155</v>
      </c>
      <c r="G130" s="22"/>
      <c r="H130" s="22"/>
      <c r="I130" s="76">
        <f>2.869+364.436+292.092+591.353</f>
        <v>1250.75</v>
      </c>
      <c r="J130" s="89" t="s">
        <v>269</v>
      </c>
    </row>
    <row r="131" spans="1:9" ht="12.75">
      <c r="A131" s="117" t="s">
        <v>262</v>
      </c>
      <c r="B131" s="8"/>
      <c r="C131" s="101" t="s">
        <v>263</v>
      </c>
      <c r="D131" s="101" t="s">
        <v>20</v>
      </c>
      <c r="E131" s="7">
        <f>F131+G131+H131</f>
        <v>7101.544</v>
      </c>
      <c r="F131" s="7">
        <f>SUM(F132:F132)</f>
        <v>7101.544</v>
      </c>
      <c r="G131" s="7">
        <f>SUM(G132:G132)</f>
        <v>0</v>
      </c>
      <c r="H131" s="7">
        <f>SUM(H132:H132)</f>
        <v>0</v>
      </c>
      <c r="I131" s="76"/>
    </row>
    <row r="132" spans="1:9" ht="165.75">
      <c r="A132" s="117"/>
      <c r="B132" s="8" t="s">
        <v>264</v>
      </c>
      <c r="C132" s="101"/>
      <c r="D132" s="101"/>
      <c r="E132" s="9">
        <f>F132+G132+H132</f>
        <v>7101.544</v>
      </c>
      <c r="F132" s="9">
        <f>7097.284+4.26</f>
        <v>7101.544</v>
      </c>
      <c r="G132" s="9"/>
      <c r="H132" s="9"/>
      <c r="I132" s="76"/>
    </row>
    <row r="133" spans="1:8" ht="12.75" customHeight="1">
      <c r="A133" s="114" t="s">
        <v>68</v>
      </c>
      <c r="B133" s="8"/>
      <c r="C133" s="107" t="s">
        <v>29</v>
      </c>
      <c r="D133" s="107" t="s">
        <v>20</v>
      </c>
      <c r="E133" s="7">
        <f t="shared" si="8"/>
        <v>337.968</v>
      </c>
      <c r="F133" s="7">
        <f>SUM(F134:F135)</f>
        <v>105.653</v>
      </c>
      <c r="G133" s="7">
        <f>SUM(G134:G135)</f>
        <v>113.049</v>
      </c>
      <c r="H133" s="7">
        <f>SUM(H134:H135)</f>
        <v>119.266</v>
      </c>
    </row>
    <row r="134" spans="1:8" ht="25.5">
      <c r="A134" s="116"/>
      <c r="B134" s="10" t="s">
        <v>46</v>
      </c>
      <c r="C134" s="108"/>
      <c r="D134" s="108"/>
      <c r="E134" s="9">
        <f t="shared" si="8"/>
        <v>316.68600000000004</v>
      </c>
      <c r="F134" s="9">
        <v>99</v>
      </c>
      <c r="G134" s="9">
        <v>105.93</v>
      </c>
      <c r="H134" s="9">
        <v>111.756</v>
      </c>
    </row>
    <row r="135" spans="1:8" ht="25.5">
      <c r="A135" s="115"/>
      <c r="B135" s="10" t="s">
        <v>154</v>
      </c>
      <c r="C135" s="109"/>
      <c r="D135" s="109"/>
      <c r="E135" s="9">
        <f t="shared" si="8"/>
        <v>21.281999999999996</v>
      </c>
      <c r="F135" s="9">
        <v>6.653</v>
      </c>
      <c r="G135" s="9">
        <v>7.119</v>
      </c>
      <c r="H135" s="9">
        <v>7.51</v>
      </c>
    </row>
    <row r="136" spans="1:8" ht="25.5" customHeight="1">
      <c r="A136" s="114" t="s">
        <v>153</v>
      </c>
      <c r="B136" s="10"/>
      <c r="C136" s="110" t="s">
        <v>29</v>
      </c>
      <c r="D136" s="110" t="s">
        <v>20</v>
      </c>
      <c r="E136" s="7">
        <f>F136+G136+H136</f>
        <v>457.224</v>
      </c>
      <c r="F136" s="7">
        <f>SUM(F137:F137)</f>
        <v>142.934</v>
      </c>
      <c r="G136" s="7">
        <f>SUM(G137:G137)</f>
        <v>152.939</v>
      </c>
      <c r="H136" s="7">
        <f>SUM(H137:H137)</f>
        <v>161.351</v>
      </c>
    </row>
    <row r="137" spans="1:9" ht="25.5">
      <c r="A137" s="115"/>
      <c r="B137" s="10" t="s">
        <v>156</v>
      </c>
      <c r="C137" s="110"/>
      <c r="D137" s="110"/>
      <c r="E137" s="9">
        <f>F137+G137+H137</f>
        <v>457.224</v>
      </c>
      <c r="F137" s="9">
        <f>142.934</f>
        <v>142.934</v>
      </c>
      <c r="G137" s="9">
        <v>152.939</v>
      </c>
      <c r="H137" s="9">
        <v>161.351</v>
      </c>
      <c r="I137" s="75"/>
    </row>
    <row r="138" spans="1:8" ht="12.75">
      <c r="A138" s="114" t="s">
        <v>78</v>
      </c>
      <c r="B138" s="8"/>
      <c r="C138" s="107" t="s">
        <v>29</v>
      </c>
      <c r="D138" s="107" t="s">
        <v>20</v>
      </c>
      <c r="E138" s="7">
        <f>F138+G138+H138</f>
        <v>1355.427</v>
      </c>
      <c r="F138" s="7">
        <f>SUM(F139:F142)</f>
        <v>423.723</v>
      </c>
      <c r="G138" s="7">
        <f>SUM(G139:G142)</f>
        <v>453.384</v>
      </c>
      <c r="H138" s="7">
        <f>SUM(H139:H142)</f>
        <v>478.32</v>
      </c>
    </row>
    <row r="139" spans="1:8" ht="25.5">
      <c r="A139" s="116"/>
      <c r="B139" s="10" t="s">
        <v>26</v>
      </c>
      <c r="C139" s="108"/>
      <c r="D139" s="108"/>
      <c r="E139" s="9">
        <f aca="true" t="shared" si="9" ref="E139:E147">F139+G139+H139</f>
        <v>515.185</v>
      </c>
      <c r="F139" s="9">
        <v>161.053</v>
      </c>
      <c r="G139" s="9">
        <v>172.327</v>
      </c>
      <c r="H139" s="9">
        <v>181.805</v>
      </c>
    </row>
    <row r="140" spans="1:8" ht="25.5">
      <c r="A140" s="116"/>
      <c r="B140" s="10" t="s">
        <v>31</v>
      </c>
      <c r="C140" s="108"/>
      <c r="D140" s="108"/>
      <c r="E140" s="9">
        <f t="shared" si="9"/>
        <v>152.668</v>
      </c>
      <c r="F140" s="9">
        <v>47.726</v>
      </c>
      <c r="G140" s="9">
        <v>51.067</v>
      </c>
      <c r="H140" s="9">
        <v>53.875</v>
      </c>
    </row>
    <row r="141" spans="1:8" ht="51">
      <c r="A141" s="116"/>
      <c r="B141" s="10" t="s">
        <v>198</v>
      </c>
      <c r="C141" s="108"/>
      <c r="D141" s="108"/>
      <c r="E141" s="9">
        <f t="shared" si="9"/>
        <v>371.041</v>
      </c>
      <c r="F141" s="9">
        <v>115.992</v>
      </c>
      <c r="G141" s="9">
        <v>124.111</v>
      </c>
      <c r="H141" s="9">
        <v>130.938</v>
      </c>
    </row>
    <row r="142" spans="1:8" ht="25.5">
      <c r="A142" s="116"/>
      <c r="B142" s="10" t="s">
        <v>199</v>
      </c>
      <c r="C142" s="108"/>
      <c r="D142" s="108"/>
      <c r="E142" s="9">
        <f>F142+G142+H142</f>
        <v>316.533</v>
      </c>
      <c r="F142" s="9">
        <v>98.952</v>
      </c>
      <c r="G142" s="9">
        <v>105.879</v>
      </c>
      <c r="H142" s="9">
        <v>111.702</v>
      </c>
    </row>
    <row r="143" spans="1:8" ht="12.75" customHeight="1">
      <c r="A143" s="100" t="s">
        <v>87</v>
      </c>
      <c r="B143" s="10"/>
      <c r="C143" s="110" t="s">
        <v>29</v>
      </c>
      <c r="D143" s="110" t="s">
        <v>20</v>
      </c>
      <c r="E143" s="7">
        <f>F143+G143+H143</f>
        <v>355.233</v>
      </c>
      <c r="F143" s="7">
        <f>SUM(F144:F145)</f>
        <v>111.05</v>
      </c>
      <c r="G143" s="7">
        <f>SUM(G144:G145)</f>
        <v>118.824</v>
      </c>
      <c r="H143" s="7">
        <f>SUM(H144:H145)</f>
        <v>125.359</v>
      </c>
    </row>
    <row r="144" spans="1:8" ht="25.5">
      <c r="A144" s="100"/>
      <c r="B144" s="10" t="s">
        <v>32</v>
      </c>
      <c r="C144" s="110"/>
      <c r="D144" s="110"/>
      <c r="E144" s="9">
        <f t="shared" si="9"/>
        <v>37.013999999999996</v>
      </c>
      <c r="F144" s="9">
        <v>11.571</v>
      </c>
      <c r="G144" s="9">
        <v>12.381</v>
      </c>
      <c r="H144" s="9">
        <v>13.062</v>
      </c>
    </row>
    <row r="145" spans="1:8" ht="12.75">
      <c r="A145" s="100"/>
      <c r="B145" s="10" t="s">
        <v>33</v>
      </c>
      <c r="C145" s="110"/>
      <c r="D145" s="110"/>
      <c r="E145" s="9">
        <f t="shared" si="9"/>
        <v>318.219</v>
      </c>
      <c r="F145" s="9">
        <v>99.479</v>
      </c>
      <c r="G145" s="9">
        <v>106.443</v>
      </c>
      <c r="H145" s="9">
        <v>112.297</v>
      </c>
    </row>
    <row r="146" spans="1:8" ht="39.75" customHeight="1">
      <c r="A146" s="100" t="s">
        <v>86</v>
      </c>
      <c r="B146" s="10"/>
      <c r="C146" s="110" t="s">
        <v>29</v>
      </c>
      <c r="D146" s="110" t="s">
        <v>20</v>
      </c>
      <c r="E146" s="7">
        <f t="shared" si="9"/>
        <v>314.229</v>
      </c>
      <c r="F146" s="7">
        <f>SUM(F147)</f>
        <v>98.232</v>
      </c>
      <c r="G146" s="7">
        <f>SUM(G147)</f>
        <v>105.108</v>
      </c>
      <c r="H146" s="7">
        <f>SUM(H147)</f>
        <v>110.889</v>
      </c>
    </row>
    <row r="147" spans="1:8" ht="12.75">
      <c r="A147" s="100"/>
      <c r="B147" s="10" t="s">
        <v>34</v>
      </c>
      <c r="C147" s="110"/>
      <c r="D147" s="110"/>
      <c r="E147" s="9">
        <f t="shared" si="9"/>
        <v>314.229</v>
      </c>
      <c r="F147" s="9">
        <v>98.232</v>
      </c>
      <c r="G147" s="9">
        <v>105.108</v>
      </c>
      <c r="H147" s="9">
        <v>110.889</v>
      </c>
    </row>
    <row r="148" spans="1:8" ht="12.75">
      <c r="A148" s="112" t="s">
        <v>131</v>
      </c>
      <c r="B148" s="10"/>
      <c r="C148" s="110" t="s">
        <v>29</v>
      </c>
      <c r="D148" s="6"/>
      <c r="E148" s="7">
        <f>E149</f>
        <v>41.737</v>
      </c>
      <c r="F148" s="7">
        <f>F149</f>
        <v>41.737</v>
      </c>
      <c r="G148" s="7">
        <f>G149</f>
        <v>0</v>
      </c>
      <c r="H148" s="7">
        <f>H149</f>
        <v>0</v>
      </c>
    </row>
    <row r="149" spans="1:8" ht="25.5" customHeight="1">
      <c r="A149" s="113"/>
      <c r="B149" s="8" t="s">
        <v>187</v>
      </c>
      <c r="C149" s="110"/>
      <c r="D149" s="6" t="s">
        <v>20</v>
      </c>
      <c r="E149" s="9">
        <f>F149+G149+H149</f>
        <v>41.737</v>
      </c>
      <c r="F149" s="9">
        <f>41.737</f>
        <v>41.737</v>
      </c>
      <c r="G149" s="9"/>
      <c r="H149" s="9"/>
    </row>
    <row r="150" spans="1:8" ht="12.75" customHeight="1">
      <c r="A150" s="100" t="s">
        <v>68</v>
      </c>
      <c r="B150" s="10"/>
      <c r="C150" s="110" t="s">
        <v>35</v>
      </c>
      <c r="D150" s="110" t="s">
        <v>20</v>
      </c>
      <c r="E150" s="7">
        <f aca="true" t="shared" si="10" ref="E150:E171">F150+G150+H150</f>
        <v>620.5513092</v>
      </c>
      <c r="F150" s="7">
        <f>SUM(F151:F152)</f>
        <v>193.99200000000002</v>
      </c>
      <c r="G150" s="7">
        <f>SUM(G151:G152)</f>
        <v>207.57144</v>
      </c>
      <c r="H150" s="7">
        <f>SUM(H151:H152)</f>
        <v>218.98786919999998</v>
      </c>
    </row>
    <row r="151" spans="1:8" ht="12.75" customHeight="1">
      <c r="A151" s="100"/>
      <c r="B151" s="10" t="s">
        <v>36</v>
      </c>
      <c r="C151" s="110"/>
      <c r="D151" s="110"/>
      <c r="E151" s="9">
        <f>F151+G151+H151</f>
        <v>237.06997235</v>
      </c>
      <c r="F151" s="66">
        <v>74.111</v>
      </c>
      <c r="G151" s="9">
        <f>F151*1.07</f>
        <v>79.29877</v>
      </c>
      <c r="H151" s="9">
        <f>G151*1.055</f>
        <v>83.66020235</v>
      </c>
    </row>
    <row r="152" spans="1:9" s="58" customFormat="1" ht="51">
      <c r="A152" s="100"/>
      <c r="B152" s="10" t="s">
        <v>236</v>
      </c>
      <c r="C152" s="110"/>
      <c r="D152" s="110"/>
      <c r="E152" s="9">
        <f t="shared" si="10"/>
        <v>383.48133685</v>
      </c>
      <c r="F152" s="66">
        <v>119.881</v>
      </c>
      <c r="G152" s="9">
        <f>F152*1.07</f>
        <v>128.27267</v>
      </c>
      <c r="H152" s="9">
        <f>G152*1.055</f>
        <v>135.32766684999999</v>
      </c>
      <c r="I152" s="74"/>
    </row>
    <row r="153" spans="1:9" s="58" customFormat="1" ht="15" customHeight="1">
      <c r="A153" s="114" t="s">
        <v>78</v>
      </c>
      <c r="B153" s="10"/>
      <c r="C153" s="107" t="s">
        <v>35</v>
      </c>
      <c r="D153" s="107" t="s">
        <v>20</v>
      </c>
      <c r="E153" s="7">
        <f t="shared" si="10"/>
        <v>1195.3932604000001</v>
      </c>
      <c r="F153" s="67">
        <f>SUM(F154:F165)-F155-F157-F164</f>
        <v>383.367</v>
      </c>
      <c r="G153" s="67">
        <f>SUM(G154:G165)-G155-G157-G164</f>
        <v>395.14628000000005</v>
      </c>
      <c r="H153" s="67">
        <f>SUM(H154:H165)-H155-H157-H164</f>
        <v>416.8799804</v>
      </c>
      <c r="I153" s="74"/>
    </row>
    <row r="154" spans="1:9" s="58" customFormat="1" ht="25.5">
      <c r="A154" s="116"/>
      <c r="B154" s="10" t="s">
        <v>26</v>
      </c>
      <c r="C154" s="108"/>
      <c r="D154" s="108"/>
      <c r="E154" s="9">
        <f>F154+G154+H154</f>
        <v>336.8708935</v>
      </c>
      <c r="F154" s="66">
        <v>105.31</v>
      </c>
      <c r="G154" s="9">
        <f>F154*1.07</f>
        <v>112.6817</v>
      </c>
      <c r="H154" s="9">
        <f>G154*1.055</f>
        <v>118.8791935</v>
      </c>
      <c r="I154" s="74"/>
    </row>
    <row r="155" spans="1:9" s="58" customFormat="1" ht="38.25">
      <c r="A155" s="116"/>
      <c r="B155" s="57" t="s">
        <v>164</v>
      </c>
      <c r="C155" s="108"/>
      <c r="D155" s="108"/>
      <c r="E155" s="22">
        <f t="shared" si="10"/>
        <v>126.73203930000001</v>
      </c>
      <c r="F155" s="68">
        <v>39.618</v>
      </c>
      <c r="G155" s="22">
        <f>F155*1.07</f>
        <v>42.39126</v>
      </c>
      <c r="H155" s="22">
        <f>G155*1.055</f>
        <v>44.7227793</v>
      </c>
      <c r="I155" s="74"/>
    </row>
    <row r="156" spans="1:9" s="58" customFormat="1" ht="25.5">
      <c r="A156" s="116"/>
      <c r="B156" s="10" t="s">
        <v>237</v>
      </c>
      <c r="C156" s="108"/>
      <c r="D156" s="108"/>
      <c r="E156" s="9">
        <f t="shared" si="10"/>
        <v>138.73092565000002</v>
      </c>
      <c r="F156" s="66">
        <v>43.369</v>
      </c>
      <c r="G156" s="9">
        <f aca="true" t="shared" si="11" ref="G156:G173">F156*1.07</f>
        <v>46.404830000000004</v>
      </c>
      <c r="H156" s="9">
        <f aca="true" t="shared" si="12" ref="H156:H173">G156*1.055</f>
        <v>48.95709565</v>
      </c>
      <c r="I156" s="74"/>
    </row>
    <row r="157" spans="1:9" s="58" customFormat="1" ht="38.25">
      <c r="A157" s="116"/>
      <c r="B157" s="57" t="s">
        <v>164</v>
      </c>
      <c r="C157" s="108"/>
      <c r="D157" s="108"/>
      <c r="E157" s="22">
        <f t="shared" si="10"/>
        <v>138.73092565000002</v>
      </c>
      <c r="F157" s="68">
        <v>43.369</v>
      </c>
      <c r="G157" s="22">
        <f t="shared" si="11"/>
        <v>46.404830000000004</v>
      </c>
      <c r="H157" s="22">
        <f t="shared" si="12"/>
        <v>48.95709565</v>
      </c>
      <c r="I157" s="74"/>
    </row>
    <row r="158" spans="1:9" s="58" customFormat="1" ht="38.25">
      <c r="A158" s="116"/>
      <c r="B158" s="10" t="s">
        <v>45</v>
      </c>
      <c r="C158" s="108"/>
      <c r="D158" s="108"/>
      <c r="E158" s="9">
        <f t="shared" si="10"/>
        <v>99.34028674999999</v>
      </c>
      <c r="F158" s="66">
        <v>31.055</v>
      </c>
      <c r="G158" s="9">
        <f t="shared" si="11"/>
        <v>33.22885</v>
      </c>
      <c r="H158" s="9">
        <f t="shared" si="12"/>
        <v>35.056436749999996</v>
      </c>
      <c r="I158" s="74"/>
    </row>
    <row r="159" spans="1:9" s="58" customFormat="1" ht="15">
      <c r="A159" s="116"/>
      <c r="B159" s="10" t="s">
        <v>201</v>
      </c>
      <c r="C159" s="108"/>
      <c r="D159" s="108"/>
      <c r="E159" s="9">
        <f t="shared" si="10"/>
        <v>58.59</v>
      </c>
      <c r="F159" s="66">
        <v>58.59</v>
      </c>
      <c r="G159" s="9"/>
      <c r="H159" s="9"/>
      <c r="I159" s="74"/>
    </row>
    <row r="160" spans="1:9" s="58" customFormat="1" ht="25.5">
      <c r="A160" s="116"/>
      <c r="B160" s="10" t="s">
        <v>238</v>
      </c>
      <c r="C160" s="108"/>
      <c r="D160" s="108"/>
      <c r="E160" s="9">
        <f t="shared" si="10"/>
        <v>56.939530000000005</v>
      </c>
      <c r="F160" s="66">
        <v>17.8</v>
      </c>
      <c r="G160" s="9">
        <f t="shared" si="11"/>
        <v>19.046000000000003</v>
      </c>
      <c r="H160" s="9">
        <f t="shared" si="12"/>
        <v>20.09353</v>
      </c>
      <c r="I160" s="74"/>
    </row>
    <row r="161" spans="1:9" s="58" customFormat="1" ht="25.5">
      <c r="A161" s="116"/>
      <c r="B161" s="10" t="s">
        <v>239</v>
      </c>
      <c r="C161" s="108"/>
      <c r="D161" s="108"/>
      <c r="E161" s="9">
        <f t="shared" si="10"/>
        <v>169.219165</v>
      </c>
      <c r="F161" s="66">
        <v>52.9</v>
      </c>
      <c r="G161" s="9">
        <f t="shared" si="11"/>
        <v>56.603</v>
      </c>
      <c r="H161" s="9">
        <f t="shared" si="12"/>
        <v>59.716165</v>
      </c>
      <c r="I161" s="74"/>
    </row>
    <row r="162" spans="1:9" s="58" customFormat="1" ht="25.5">
      <c r="A162" s="116"/>
      <c r="B162" s="10" t="s">
        <v>225</v>
      </c>
      <c r="C162" s="108"/>
      <c r="D162" s="108"/>
      <c r="E162" s="9">
        <f t="shared" si="10"/>
        <v>151.30560499999999</v>
      </c>
      <c r="F162" s="66">
        <v>47.3</v>
      </c>
      <c r="G162" s="9">
        <f t="shared" si="11"/>
        <v>50.611</v>
      </c>
      <c r="H162" s="9">
        <f t="shared" si="12"/>
        <v>53.39460499999999</v>
      </c>
      <c r="I162" s="74"/>
    </row>
    <row r="163" spans="1:9" s="58" customFormat="1" ht="25.5">
      <c r="A163" s="116"/>
      <c r="B163" s="10" t="s">
        <v>195</v>
      </c>
      <c r="C163" s="108"/>
      <c r="D163" s="108"/>
      <c r="E163" s="9">
        <f t="shared" si="10"/>
        <v>142.268</v>
      </c>
      <c r="F163" s="66">
        <f>58.392-44.519</f>
        <v>13.873000000000005</v>
      </c>
      <c r="G163" s="9">
        <v>62.479</v>
      </c>
      <c r="H163" s="9">
        <v>65.916</v>
      </c>
      <c r="I163" s="74"/>
    </row>
    <row r="164" spans="1:9" s="58" customFormat="1" ht="38.25">
      <c r="A164" s="116"/>
      <c r="B164" s="57" t="s">
        <v>164</v>
      </c>
      <c r="C164" s="108"/>
      <c r="D164" s="108"/>
      <c r="E164" s="22">
        <f t="shared" si="10"/>
        <v>142.268</v>
      </c>
      <c r="F164" s="68">
        <f>58.392-44.519</f>
        <v>13.873000000000005</v>
      </c>
      <c r="G164" s="22">
        <v>62.479</v>
      </c>
      <c r="H164" s="22">
        <v>65.916</v>
      </c>
      <c r="I164" s="74"/>
    </row>
    <row r="165" spans="1:9" s="58" customFormat="1" ht="25.5">
      <c r="A165" s="115"/>
      <c r="B165" s="10" t="s">
        <v>240</v>
      </c>
      <c r="C165" s="109"/>
      <c r="D165" s="109"/>
      <c r="E165" s="9">
        <f t="shared" si="10"/>
        <v>42.1288545</v>
      </c>
      <c r="F165" s="66">
        <v>13.17</v>
      </c>
      <c r="G165" s="9">
        <f t="shared" si="11"/>
        <v>14.0919</v>
      </c>
      <c r="H165" s="9">
        <f t="shared" si="12"/>
        <v>14.8669545</v>
      </c>
      <c r="I165" s="74"/>
    </row>
    <row r="166" spans="1:8" ht="12.75">
      <c r="A166" s="100" t="s">
        <v>87</v>
      </c>
      <c r="B166" s="8"/>
      <c r="C166" s="110" t="s">
        <v>35</v>
      </c>
      <c r="D166" s="110" t="s">
        <v>20</v>
      </c>
      <c r="E166" s="7">
        <f t="shared" si="10"/>
        <v>637.5052142</v>
      </c>
      <c r="F166" s="7">
        <f>SUM(F167:F170)</f>
        <v>199.292</v>
      </c>
      <c r="G166" s="7">
        <f>SUM(G167:G170)</f>
        <v>213.24244000000002</v>
      </c>
      <c r="H166" s="7">
        <f>SUM(H167:H170)</f>
        <v>224.9707742</v>
      </c>
    </row>
    <row r="167" spans="1:8" ht="25.5">
      <c r="A167" s="100"/>
      <c r="B167" s="10" t="s">
        <v>32</v>
      </c>
      <c r="C167" s="110"/>
      <c r="D167" s="110"/>
      <c r="E167" s="9">
        <f t="shared" si="10"/>
        <v>29.61175445</v>
      </c>
      <c r="F167" s="66">
        <v>9.257</v>
      </c>
      <c r="G167" s="9">
        <f t="shared" si="11"/>
        <v>9.90499</v>
      </c>
      <c r="H167" s="9">
        <f t="shared" si="12"/>
        <v>10.44976445</v>
      </c>
    </row>
    <row r="168" spans="1:8" ht="15">
      <c r="A168" s="100"/>
      <c r="B168" s="10" t="s">
        <v>132</v>
      </c>
      <c r="C168" s="110"/>
      <c r="D168" s="110"/>
      <c r="E168" s="9">
        <f t="shared" si="10"/>
        <v>286.00917849999996</v>
      </c>
      <c r="F168" s="66">
        <v>89.41</v>
      </c>
      <c r="G168" s="9">
        <f t="shared" si="11"/>
        <v>95.6687</v>
      </c>
      <c r="H168" s="9">
        <f t="shared" si="12"/>
        <v>100.93047849999999</v>
      </c>
    </row>
    <row r="169" spans="1:8" ht="25.5">
      <c r="A169" s="100"/>
      <c r="B169" s="10" t="s">
        <v>133</v>
      </c>
      <c r="C169" s="110"/>
      <c r="D169" s="110"/>
      <c r="E169" s="9">
        <f t="shared" si="10"/>
        <v>268.6074345</v>
      </c>
      <c r="F169" s="66">
        <v>83.97</v>
      </c>
      <c r="G169" s="9">
        <f t="shared" si="11"/>
        <v>89.84790000000001</v>
      </c>
      <c r="H169" s="9">
        <f t="shared" si="12"/>
        <v>94.7895345</v>
      </c>
    </row>
    <row r="170" spans="1:8" ht="38.25">
      <c r="A170" s="100"/>
      <c r="B170" s="10" t="s">
        <v>241</v>
      </c>
      <c r="C170" s="110"/>
      <c r="D170" s="110"/>
      <c r="E170" s="9">
        <f t="shared" si="10"/>
        <v>53.27684675000001</v>
      </c>
      <c r="F170" s="66">
        <v>16.655</v>
      </c>
      <c r="G170" s="9">
        <f t="shared" si="11"/>
        <v>17.820850000000004</v>
      </c>
      <c r="H170" s="9">
        <f t="shared" si="12"/>
        <v>18.800996750000003</v>
      </c>
    </row>
    <row r="171" spans="1:9" s="58" customFormat="1" ht="38.25">
      <c r="A171" s="100"/>
      <c r="B171" s="57" t="s">
        <v>164</v>
      </c>
      <c r="C171" s="110"/>
      <c r="D171" s="110"/>
      <c r="E171" s="22">
        <f t="shared" si="10"/>
        <v>53.27684675000001</v>
      </c>
      <c r="F171" s="68">
        <v>16.655</v>
      </c>
      <c r="G171" s="22">
        <f t="shared" si="11"/>
        <v>17.820850000000004</v>
      </c>
      <c r="H171" s="22">
        <f t="shared" si="12"/>
        <v>18.800996750000003</v>
      </c>
      <c r="I171" s="74"/>
    </row>
    <row r="172" spans="1:9" s="58" customFormat="1" ht="12.75">
      <c r="A172" s="112" t="s">
        <v>242</v>
      </c>
      <c r="B172" s="10"/>
      <c r="C172" s="107" t="s">
        <v>35</v>
      </c>
      <c r="D172" s="107" t="s">
        <v>20</v>
      </c>
      <c r="E172" s="64">
        <f>F172</f>
        <v>97.5</v>
      </c>
      <c r="F172" s="64">
        <f>SUM(F173:F173)</f>
        <v>97.5</v>
      </c>
      <c r="G172" s="64">
        <f>SUM(G173:G173)</f>
        <v>104.325</v>
      </c>
      <c r="H172" s="64">
        <f>SUM(H173:H173)</f>
        <v>110.06287499999999</v>
      </c>
      <c r="I172" s="74"/>
    </row>
    <row r="173" spans="1:9" s="58" customFormat="1" ht="25.5">
      <c r="A173" s="113"/>
      <c r="B173" s="65" t="s">
        <v>243</v>
      </c>
      <c r="C173" s="109"/>
      <c r="D173" s="109"/>
      <c r="E173" s="9">
        <f>F173</f>
        <v>97.5</v>
      </c>
      <c r="F173" s="9">
        <v>97.5</v>
      </c>
      <c r="G173" s="9">
        <f t="shared" si="11"/>
        <v>104.325</v>
      </c>
      <c r="H173" s="9">
        <f t="shared" si="12"/>
        <v>110.06287499999999</v>
      </c>
      <c r="I173" s="74"/>
    </row>
    <row r="174" spans="1:8" ht="12.75" customHeight="1">
      <c r="A174" s="114" t="s">
        <v>125</v>
      </c>
      <c r="B174" s="10"/>
      <c r="C174" s="6"/>
      <c r="D174" s="6"/>
      <c r="E174" s="7">
        <f>E175</f>
        <v>385.385</v>
      </c>
      <c r="F174" s="7">
        <f>SUM(F175)</f>
        <v>385.385</v>
      </c>
      <c r="G174" s="7">
        <f>SUM(G175)</f>
        <v>0</v>
      </c>
      <c r="H174" s="7">
        <f>SUM(H175)</f>
        <v>0</v>
      </c>
    </row>
    <row r="175" spans="1:8" ht="51" customHeight="1">
      <c r="A175" s="116"/>
      <c r="B175" s="8" t="s">
        <v>187</v>
      </c>
      <c r="C175" s="107" t="s">
        <v>35</v>
      </c>
      <c r="D175" s="107" t="s">
        <v>20</v>
      </c>
      <c r="E175" s="9">
        <f>F175+G175+H175</f>
        <v>385.385</v>
      </c>
      <c r="F175" s="9">
        <f>340.866+44.519</f>
        <v>385.385</v>
      </c>
      <c r="G175" s="9"/>
      <c r="H175" s="9"/>
    </row>
    <row r="176" spans="1:9" s="58" customFormat="1" ht="38.25">
      <c r="A176" s="115"/>
      <c r="B176" s="57" t="s">
        <v>164</v>
      </c>
      <c r="C176" s="109"/>
      <c r="D176" s="109"/>
      <c r="E176" s="22">
        <f>F176+G176+H176</f>
        <v>44.519</v>
      </c>
      <c r="F176" s="22">
        <v>44.519</v>
      </c>
      <c r="G176" s="22"/>
      <c r="H176" s="22"/>
      <c r="I176" s="74"/>
    </row>
    <row r="177" spans="1:9" s="54" customFormat="1" ht="12.75" customHeight="1">
      <c r="A177" s="114" t="s">
        <v>68</v>
      </c>
      <c r="B177" s="10"/>
      <c r="C177" s="107" t="s">
        <v>38</v>
      </c>
      <c r="D177" s="107" t="s">
        <v>20</v>
      </c>
      <c r="E177" s="7">
        <f>F177+G177+H177</f>
        <v>607.3208655999999</v>
      </c>
      <c r="F177" s="7">
        <f>SUM(F178:F184)</f>
        <v>189.856</v>
      </c>
      <c r="G177" s="7">
        <f>SUM(G178:G184)</f>
        <v>203.14592</v>
      </c>
      <c r="H177" s="7">
        <f>SUM(H178:H184)</f>
        <v>214.31894559999998</v>
      </c>
      <c r="I177" s="75"/>
    </row>
    <row r="178" spans="1:9" s="54" customFormat="1" ht="25.5">
      <c r="A178" s="116"/>
      <c r="B178" s="10" t="s">
        <v>36</v>
      </c>
      <c r="C178" s="108"/>
      <c r="D178" s="108"/>
      <c r="E178" s="9">
        <f aca="true" t="shared" si="13" ref="E178:E188">F178+G178+H178</f>
        <v>254.21260949999999</v>
      </c>
      <c r="F178" s="9">
        <v>79.47</v>
      </c>
      <c r="G178" s="9">
        <f>F178*1.07</f>
        <v>85.0329</v>
      </c>
      <c r="H178" s="9">
        <f>G178*1.055</f>
        <v>89.70970949999999</v>
      </c>
      <c r="I178" s="75"/>
    </row>
    <row r="179" spans="1:9" s="54" customFormat="1" ht="25.5">
      <c r="A179" s="116"/>
      <c r="B179" s="10" t="s">
        <v>215</v>
      </c>
      <c r="C179" s="108"/>
      <c r="D179" s="108"/>
      <c r="E179" s="9">
        <f t="shared" si="13"/>
        <v>31.860546000000006</v>
      </c>
      <c r="F179" s="9">
        <v>9.96</v>
      </c>
      <c r="G179" s="9">
        <f aca="true" t="shared" si="14" ref="G179:G207">F179*1.07</f>
        <v>10.657200000000001</v>
      </c>
      <c r="H179" s="9">
        <f aca="true" t="shared" si="15" ref="H179:H207">G179*1.055</f>
        <v>11.243346</v>
      </c>
      <c r="I179" s="75"/>
    </row>
    <row r="180" spans="1:9" s="54" customFormat="1" ht="25.5">
      <c r="A180" s="116"/>
      <c r="B180" s="10" t="s">
        <v>216</v>
      </c>
      <c r="C180" s="108"/>
      <c r="D180" s="108"/>
      <c r="E180" s="9">
        <f t="shared" si="13"/>
        <v>49.01597855</v>
      </c>
      <c r="F180" s="9">
        <v>15.323</v>
      </c>
      <c r="G180" s="9">
        <f t="shared" si="14"/>
        <v>16.39561</v>
      </c>
      <c r="H180" s="9">
        <f t="shared" si="15"/>
        <v>17.29736855</v>
      </c>
      <c r="I180" s="75"/>
    </row>
    <row r="181" spans="1:9" s="54" customFormat="1" ht="12.75">
      <c r="A181" s="116"/>
      <c r="B181" s="10" t="s">
        <v>217</v>
      </c>
      <c r="C181" s="108"/>
      <c r="D181" s="108"/>
      <c r="E181" s="9">
        <f t="shared" si="13"/>
        <v>23.0189246</v>
      </c>
      <c r="F181" s="9">
        <v>7.196</v>
      </c>
      <c r="G181" s="9">
        <f t="shared" si="14"/>
        <v>7.69972</v>
      </c>
      <c r="H181" s="9">
        <f t="shared" si="15"/>
        <v>8.1232046</v>
      </c>
      <c r="I181" s="75"/>
    </row>
    <row r="182" spans="1:9" s="54" customFormat="1" ht="12.75">
      <c r="A182" s="116"/>
      <c r="B182" s="10" t="s">
        <v>218</v>
      </c>
      <c r="C182" s="108"/>
      <c r="D182" s="108"/>
      <c r="E182" s="9">
        <f t="shared" si="13"/>
        <v>214.35813734999996</v>
      </c>
      <c r="F182" s="9">
        <v>67.011</v>
      </c>
      <c r="G182" s="9">
        <f t="shared" si="14"/>
        <v>71.70177</v>
      </c>
      <c r="H182" s="9">
        <f t="shared" si="15"/>
        <v>75.64536734999999</v>
      </c>
      <c r="I182" s="75"/>
    </row>
    <row r="183" spans="1:9" s="54" customFormat="1" ht="25.5">
      <c r="A183" s="116"/>
      <c r="B183" s="10" t="s">
        <v>123</v>
      </c>
      <c r="C183" s="108"/>
      <c r="D183" s="108"/>
      <c r="E183" s="9">
        <f t="shared" si="13"/>
        <v>13.435170000000001</v>
      </c>
      <c r="F183" s="9">
        <v>4.2</v>
      </c>
      <c r="G183" s="9">
        <f t="shared" si="14"/>
        <v>4.494000000000001</v>
      </c>
      <c r="H183" s="9">
        <f t="shared" si="15"/>
        <v>4.74117</v>
      </c>
      <c r="I183" s="75"/>
    </row>
    <row r="184" spans="1:9" s="54" customFormat="1" ht="25.5">
      <c r="A184" s="115"/>
      <c r="B184" s="10" t="s">
        <v>154</v>
      </c>
      <c r="C184" s="109"/>
      <c r="D184" s="109"/>
      <c r="E184" s="9">
        <f t="shared" si="13"/>
        <v>21.4194996</v>
      </c>
      <c r="F184" s="9">
        <v>6.696</v>
      </c>
      <c r="G184" s="9">
        <f t="shared" si="14"/>
        <v>7.16472</v>
      </c>
      <c r="H184" s="9">
        <f t="shared" si="15"/>
        <v>7.558779599999999</v>
      </c>
      <c r="I184" s="75"/>
    </row>
    <row r="185" spans="1:8" ht="12.75">
      <c r="A185" s="100" t="s">
        <v>69</v>
      </c>
      <c r="B185" s="10"/>
      <c r="C185" s="110" t="s">
        <v>38</v>
      </c>
      <c r="D185" s="110" t="s">
        <v>20</v>
      </c>
      <c r="E185" s="7">
        <f t="shared" si="13"/>
        <v>22.727829250000003</v>
      </c>
      <c r="F185" s="7">
        <f>SUM(F186)</f>
        <v>7.105</v>
      </c>
      <c r="G185" s="7">
        <f>SUM(G186)</f>
        <v>7.602350000000001</v>
      </c>
      <c r="H185" s="7">
        <f>SUM(H186)</f>
        <v>8.020479250000001</v>
      </c>
    </row>
    <row r="186" spans="1:8" ht="25.5" customHeight="1">
      <c r="A186" s="100"/>
      <c r="B186" s="10" t="s">
        <v>124</v>
      </c>
      <c r="C186" s="110"/>
      <c r="D186" s="110"/>
      <c r="E186" s="9">
        <f t="shared" si="13"/>
        <v>22.727829250000003</v>
      </c>
      <c r="F186" s="9">
        <v>7.105</v>
      </c>
      <c r="G186" s="9">
        <f t="shared" si="14"/>
        <v>7.602350000000001</v>
      </c>
      <c r="H186" s="9">
        <f t="shared" si="15"/>
        <v>8.020479250000001</v>
      </c>
    </row>
    <row r="187" spans="1:8" ht="12.75" customHeight="1">
      <c r="A187" s="114" t="s">
        <v>153</v>
      </c>
      <c r="B187" s="10"/>
      <c r="C187" s="110" t="s">
        <v>38</v>
      </c>
      <c r="D187" s="110" t="s">
        <v>20</v>
      </c>
      <c r="E187" s="7">
        <f t="shared" si="13"/>
        <v>515.8657440999999</v>
      </c>
      <c r="F187" s="7">
        <f>SUM(F188)</f>
        <v>161.266</v>
      </c>
      <c r="G187" s="7">
        <f>SUM(G188)</f>
        <v>172.55462</v>
      </c>
      <c r="H187" s="7">
        <f>SUM(H188)</f>
        <v>182.04512409999998</v>
      </c>
    </row>
    <row r="188" spans="1:8" ht="25.5" customHeight="1">
      <c r="A188" s="115"/>
      <c r="B188" s="10" t="s">
        <v>155</v>
      </c>
      <c r="C188" s="110"/>
      <c r="D188" s="110"/>
      <c r="E188" s="9">
        <f t="shared" si="13"/>
        <v>515.8657440999999</v>
      </c>
      <c r="F188" s="9">
        <v>161.266</v>
      </c>
      <c r="G188" s="9">
        <f t="shared" si="14"/>
        <v>172.55462</v>
      </c>
      <c r="H188" s="9">
        <f t="shared" si="15"/>
        <v>182.04512409999998</v>
      </c>
    </row>
    <row r="189" spans="1:8" ht="12.75">
      <c r="A189" s="100" t="s">
        <v>78</v>
      </c>
      <c r="B189" s="10"/>
      <c r="C189" s="110" t="s">
        <v>38</v>
      </c>
      <c r="D189" s="110" t="s">
        <v>20</v>
      </c>
      <c r="E189" s="7">
        <f>F189+G189+H189</f>
        <v>1340.0110604000001</v>
      </c>
      <c r="F189" s="7">
        <f>SUM(F190:F198)</f>
        <v>418.90400000000005</v>
      </c>
      <c r="G189" s="7">
        <f>SUM(G190:G198)</f>
        <v>448.22727999999995</v>
      </c>
      <c r="H189" s="7">
        <f>SUM(H190:H198)</f>
        <v>472.87978039999996</v>
      </c>
    </row>
    <row r="190" spans="1:8" ht="25.5">
      <c r="A190" s="100"/>
      <c r="B190" s="10" t="s">
        <v>43</v>
      </c>
      <c r="C190" s="110"/>
      <c r="D190" s="110"/>
      <c r="E190" s="9">
        <f>F190+G190+H190</f>
        <v>243.60842175</v>
      </c>
      <c r="F190" s="9">
        <v>76.155</v>
      </c>
      <c r="G190" s="9">
        <f t="shared" si="14"/>
        <v>81.48585</v>
      </c>
      <c r="H190" s="9">
        <f t="shared" si="15"/>
        <v>85.96757174999999</v>
      </c>
    </row>
    <row r="191" spans="1:8" ht="25.5">
      <c r="A191" s="100"/>
      <c r="B191" s="10" t="s">
        <v>220</v>
      </c>
      <c r="C191" s="110"/>
      <c r="D191" s="110"/>
      <c r="E191" s="9">
        <f aca="true" t="shared" si="16" ref="E191:E199">F191+G191+H191</f>
        <v>70.3747</v>
      </c>
      <c r="F191" s="9">
        <v>22</v>
      </c>
      <c r="G191" s="9">
        <f t="shared" si="14"/>
        <v>23.540000000000003</v>
      </c>
      <c r="H191" s="9">
        <f t="shared" si="15"/>
        <v>24.8347</v>
      </c>
    </row>
    <row r="192" spans="1:8" ht="38.25">
      <c r="A192" s="100"/>
      <c r="B192" s="10" t="s">
        <v>221</v>
      </c>
      <c r="C192" s="110"/>
      <c r="D192" s="110"/>
      <c r="E192" s="9">
        <f t="shared" si="16"/>
        <v>287.8965</v>
      </c>
      <c r="F192" s="9">
        <v>90</v>
      </c>
      <c r="G192" s="9">
        <f t="shared" si="14"/>
        <v>96.30000000000001</v>
      </c>
      <c r="H192" s="9">
        <f t="shared" si="15"/>
        <v>101.5965</v>
      </c>
    </row>
    <row r="193" spans="1:8" ht="25.5">
      <c r="A193" s="100"/>
      <c r="B193" s="10" t="s">
        <v>222</v>
      </c>
      <c r="C193" s="110"/>
      <c r="D193" s="110"/>
      <c r="E193" s="9">
        <f t="shared" si="16"/>
        <v>307.57582520000005</v>
      </c>
      <c r="F193" s="9">
        <v>96.152</v>
      </c>
      <c r="G193" s="9">
        <f t="shared" si="14"/>
        <v>102.88264000000001</v>
      </c>
      <c r="H193" s="9">
        <f t="shared" si="15"/>
        <v>108.5411852</v>
      </c>
    </row>
    <row r="194" spans="1:8" ht="25.5">
      <c r="A194" s="100"/>
      <c r="B194" s="10" t="s">
        <v>219</v>
      </c>
      <c r="C194" s="110"/>
      <c r="D194" s="110"/>
      <c r="E194" s="9">
        <f t="shared" si="16"/>
        <v>191.93099999999998</v>
      </c>
      <c r="F194" s="9">
        <v>60</v>
      </c>
      <c r="G194" s="9">
        <f t="shared" si="14"/>
        <v>64.2</v>
      </c>
      <c r="H194" s="9">
        <f t="shared" si="15"/>
        <v>67.731</v>
      </c>
    </row>
    <row r="195" spans="1:8" ht="25.5">
      <c r="A195" s="100"/>
      <c r="B195" s="10" t="s">
        <v>223</v>
      </c>
      <c r="C195" s="110"/>
      <c r="D195" s="110"/>
      <c r="E195" s="9">
        <f t="shared" si="16"/>
        <v>50.781743750000004</v>
      </c>
      <c r="F195" s="9">
        <v>15.875</v>
      </c>
      <c r="G195" s="9">
        <f t="shared" si="14"/>
        <v>16.986250000000002</v>
      </c>
      <c r="H195" s="9">
        <f t="shared" si="15"/>
        <v>17.920493750000002</v>
      </c>
    </row>
    <row r="196" spans="1:8" ht="25.5">
      <c r="A196" s="100"/>
      <c r="B196" s="10" t="s">
        <v>224</v>
      </c>
      <c r="C196" s="110"/>
      <c r="D196" s="110"/>
      <c r="E196" s="9">
        <f t="shared" si="16"/>
        <v>28.309822499999996</v>
      </c>
      <c r="F196" s="9">
        <v>8.85</v>
      </c>
      <c r="G196" s="9">
        <f t="shared" si="14"/>
        <v>9.4695</v>
      </c>
      <c r="H196" s="9">
        <f t="shared" si="15"/>
        <v>9.9903225</v>
      </c>
    </row>
    <row r="197" spans="1:8" ht="12.75">
      <c r="A197" s="100"/>
      <c r="B197" s="10" t="s">
        <v>213</v>
      </c>
      <c r="C197" s="110"/>
      <c r="D197" s="110"/>
      <c r="E197" s="9">
        <f t="shared" si="16"/>
        <v>63.56754720000001</v>
      </c>
      <c r="F197" s="9">
        <v>19.872</v>
      </c>
      <c r="G197" s="9">
        <f t="shared" si="14"/>
        <v>21.26304</v>
      </c>
      <c r="H197" s="9">
        <f t="shared" si="15"/>
        <v>22.4325072</v>
      </c>
    </row>
    <row r="198" spans="1:8" ht="25.5">
      <c r="A198" s="100"/>
      <c r="B198" s="10" t="s">
        <v>225</v>
      </c>
      <c r="C198" s="110"/>
      <c r="D198" s="110"/>
      <c r="E198" s="9">
        <f t="shared" si="16"/>
        <v>95.96549999999999</v>
      </c>
      <c r="F198" s="9">
        <v>30</v>
      </c>
      <c r="G198" s="9">
        <f t="shared" si="14"/>
        <v>32.1</v>
      </c>
      <c r="H198" s="9">
        <f t="shared" si="15"/>
        <v>33.8655</v>
      </c>
    </row>
    <row r="199" spans="1:9" s="58" customFormat="1" ht="38.25">
      <c r="A199" s="100"/>
      <c r="B199" s="57" t="s">
        <v>164</v>
      </c>
      <c r="C199" s="110"/>
      <c r="D199" s="110"/>
      <c r="E199" s="22">
        <f t="shared" si="16"/>
        <v>95.96549999999999</v>
      </c>
      <c r="F199" s="22">
        <v>30</v>
      </c>
      <c r="G199" s="22">
        <f t="shared" si="14"/>
        <v>32.1</v>
      </c>
      <c r="H199" s="22">
        <f t="shared" si="15"/>
        <v>33.8655</v>
      </c>
      <c r="I199" s="74"/>
    </row>
    <row r="200" spans="1:8" ht="12.75">
      <c r="A200" s="100" t="s">
        <v>87</v>
      </c>
      <c r="B200" s="10"/>
      <c r="C200" s="110" t="s">
        <v>38</v>
      </c>
      <c r="D200" s="110" t="s">
        <v>20</v>
      </c>
      <c r="E200" s="7">
        <f aca="true" t="shared" si="17" ref="E200:E211">F200+G200+H200</f>
        <v>337.7537761</v>
      </c>
      <c r="F200" s="7">
        <f>SUM(F201:F202)</f>
        <v>105.586</v>
      </c>
      <c r="G200" s="7">
        <f>SUM(G201:G202)</f>
        <v>112.97702</v>
      </c>
      <c r="H200" s="7">
        <f>SUM(H201:H202)</f>
        <v>119.19075609999999</v>
      </c>
    </row>
    <row r="201" spans="1:8" ht="29.25" customHeight="1">
      <c r="A201" s="100"/>
      <c r="B201" s="10" t="s">
        <v>32</v>
      </c>
      <c r="C201" s="110"/>
      <c r="D201" s="110"/>
      <c r="E201" s="9">
        <f t="shared" si="17"/>
        <v>18.5085461</v>
      </c>
      <c r="F201" s="9">
        <v>5.786</v>
      </c>
      <c r="G201" s="9">
        <f t="shared" si="14"/>
        <v>6.19102</v>
      </c>
      <c r="H201" s="9">
        <f t="shared" si="15"/>
        <v>6.5315261</v>
      </c>
    </row>
    <row r="202" spans="1:8" ht="12.75">
      <c r="A202" s="100"/>
      <c r="B202" s="10" t="s">
        <v>33</v>
      </c>
      <c r="C202" s="110"/>
      <c r="D202" s="110"/>
      <c r="E202" s="9">
        <f t="shared" si="17"/>
        <v>319.24523</v>
      </c>
      <c r="F202" s="9">
        <v>99.8</v>
      </c>
      <c r="G202" s="9">
        <f t="shared" si="14"/>
        <v>106.786</v>
      </c>
      <c r="H202" s="9">
        <f t="shared" si="15"/>
        <v>112.65923</v>
      </c>
    </row>
    <row r="203" spans="1:8" ht="12.75">
      <c r="A203" s="114" t="s">
        <v>228</v>
      </c>
      <c r="B203" s="10"/>
      <c r="C203" s="110" t="s">
        <v>38</v>
      </c>
      <c r="D203" s="110" t="s">
        <v>20</v>
      </c>
      <c r="E203" s="7">
        <f t="shared" si="17"/>
        <v>318.28877385</v>
      </c>
      <c r="F203" s="7">
        <f>SUM(F204:F205)</f>
        <v>99.501</v>
      </c>
      <c r="G203" s="7">
        <f>SUM(G204:G205)</f>
        <v>106.46607</v>
      </c>
      <c r="H203" s="7">
        <f>SUM(H204:H205)</f>
        <v>112.32170385</v>
      </c>
    </row>
    <row r="204" spans="1:8" ht="51">
      <c r="A204" s="116"/>
      <c r="B204" s="10" t="s">
        <v>227</v>
      </c>
      <c r="C204" s="110"/>
      <c r="D204" s="110"/>
      <c r="E204" s="9">
        <f t="shared" si="17"/>
        <v>109.5478171</v>
      </c>
      <c r="F204" s="9">
        <v>34.246</v>
      </c>
      <c r="G204" s="9">
        <f t="shared" si="14"/>
        <v>36.64322000000001</v>
      </c>
      <c r="H204" s="9">
        <f t="shared" si="15"/>
        <v>38.6585971</v>
      </c>
    </row>
    <row r="205" spans="1:8" ht="12.75">
      <c r="A205" s="115"/>
      <c r="B205" s="8" t="s">
        <v>226</v>
      </c>
      <c r="C205" s="110"/>
      <c r="D205" s="110"/>
      <c r="E205" s="9">
        <f t="shared" si="17"/>
        <v>208.74095675</v>
      </c>
      <c r="F205" s="9">
        <v>65.255</v>
      </c>
      <c r="G205" s="9">
        <f t="shared" si="14"/>
        <v>69.82285</v>
      </c>
      <c r="H205" s="9">
        <f t="shared" si="15"/>
        <v>73.66310675</v>
      </c>
    </row>
    <row r="206" spans="1:8" ht="25.5" customHeight="1">
      <c r="A206" s="112" t="s">
        <v>229</v>
      </c>
      <c r="B206" s="10"/>
      <c r="C206" s="107" t="s">
        <v>38</v>
      </c>
      <c r="D206" s="107" t="s">
        <v>20</v>
      </c>
      <c r="E206" s="7">
        <f t="shared" si="17"/>
        <v>6.3977</v>
      </c>
      <c r="F206" s="7">
        <f>SUM(F207)</f>
        <v>2</v>
      </c>
      <c r="G206" s="7">
        <f>SUM(G207)</f>
        <v>2.14</v>
      </c>
      <c r="H206" s="7">
        <f>SUM(H207)</f>
        <v>2.2577</v>
      </c>
    </row>
    <row r="207" spans="1:8" ht="27" customHeight="1">
      <c r="A207" s="113"/>
      <c r="B207" s="10" t="s">
        <v>230</v>
      </c>
      <c r="C207" s="109"/>
      <c r="D207" s="109"/>
      <c r="E207" s="9">
        <f t="shared" si="17"/>
        <v>6.3977</v>
      </c>
      <c r="F207" s="9">
        <v>2</v>
      </c>
      <c r="G207" s="9">
        <f t="shared" si="14"/>
        <v>2.14</v>
      </c>
      <c r="H207" s="9">
        <f t="shared" si="15"/>
        <v>2.2577</v>
      </c>
    </row>
    <row r="208" spans="1:8" ht="27" customHeight="1">
      <c r="A208" s="114" t="s">
        <v>85</v>
      </c>
      <c r="B208" s="10"/>
      <c r="C208" s="107" t="s">
        <v>38</v>
      </c>
      <c r="D208" s="107" t="s">
        <v>20</v>
      </c>
      <c r="E208" s="7">
        <f t="shared" si="17"/>
        <v>549.324</v>
      </c>
      <c r="F208" s="7">
        <f>F209</f>
        <v>549.324</v>
      </c>
      <c r="G208" s="9"/>
      <c r="H208" s="9"/>
    </row>
    <row r="209" spans="1:8" ht="27" customHeight="1">
      <c r="A209" s="115"/>
      <c r="B209" s="10" t="s">
        <v>278</v>
      </c>
      <c r="C209" s="109"/>
      <c r="D209" s="109"/>
      <c r="E209" s="9">
        <f t="shared" si="17"/>
        <v>549.324</v>
      </c>
      <c r="F209" s="9">
        <v>549.324</v>
      </c>
      <c r="G209" s="9"/>
      <c r="H209" s="9"/>
    </row>
    <row r="210" spans="1:8" ht="12.75">
      <c r="A210" s="112" t="s">
        <v>125</v>
      </c>
      <c r="B210" s="10"/>
      <c r="C210" s="110" t="s">
        <v>38</v>
      </c>
      <c r="D210" s="110" t="s">
        <v>20</v>
      </c>
      <c r="E210" s="7">
        <f t="shared" si="17"/>
        <v>58.341</v>
      </c>
      <c r="F210" s="7">
        <f>SUM(F211)</f>
        <v>58.341</v>
      </c>
      <c r="G210" s="7">
        <f>SUM(G211)</f>
        <v>0</v>
      </c>
      <c r="H210" s="7">
        <f>SUM(H211)</f>
        <v>0</v>
      </c>
    </row>
    <row r="211" spans="1:8" ht="25.5">
      <c r="A211" s="103"/>
      <c r="B211" s="8" t="s">
        <v>187</v>
      </c>
      <c r="C211" s="110"/>
      <c r="D211" s="110"/>
      <c r="E211" s="9">
        <f t="shared" si="17"/>
        <v>58.341</v>
      </c>
      <c r="F211" s="9">
        <v>58.341</v>
      </c>
      <c r="G211" s="9"/>
      <c r="H211" s="9"/>
    </row>
    <row r="212" spans="1:8" ht="12.75" customHeight="1">
      <c r="A212" s="114" t="s">
        <v>68</v>
      </c>
      <c r="B212" s="10"/>
      <c r="C212" s="107" t="s">
        <v>39</v>
      </c>
      <c r="D212" s="107" t="s">
        <v>20</v>
      </c>
      <c r="E212" s="7">
        <f aca="true" t="shared" si="18" ref="E212:E231">F212+G212+H212</f>
        <v>1034.0154671</v>
      </c>
      <c r="F212" s="7">
        <f>SUM(F213:F217)</f>
        <v>323.24600000000004</v>
      </c>
      <c r="G212" s="7">
        <f>SUM(G213:G217)</f>
        <v>345.87322</v>
      </c>
      <c r="H212" s="7">
        <f>SUM(H213:H217)</f>
        <v>364.89624710000004</v>
      </c>
    </row>
    <row r="213" spans="1:8" ht="25.5" customHeight="1">
      <c r="A213" s="116"/>
      <c r="B213" s="8" t="s">
        <v>36</v>
      </c>
      <c r="C213" s="108"/>
      <c r="D213" s="108"/>
      <c r="E213" s="9">
        <f t="shared" si="18"/>
        <v>306.5521932</v>
      </c>
      <c r="F213" s="9">
        <v>95.832</v>
      </c>
      <c r="G213" s="9">
        <f>F213*1.07</f>
        <v>102.54024</v>
      </c>
      <c r="H213" s="9">
        <f>G213*1.055</f>
        <v>108.17995319999999</v>
      </c>
    </row>
    <row r="214" spans="1:8" ht="38.25">
      <c r="A214" s="116"/>
      <c r="B214" s="10" t="s">
        <v>192</v>
      </c>
      <c r="C214" s="108"/>
      <c r="D214" s="108"/>
      <c r="E214" s="9">
        <f t="shared" si="18"/>
        <v>159.9425</v>
      </c>
      <c r="F214" s="9">
        <v>50</v>
      </c>
      <c r="G214" s="9">
        <f>F214*1.07</f>
        <v>53.5</v>
      </c>
      <c r="H214" s="9">
        <f>G214*1.055</f>
        <v>56.442499999999995</v>
      </c>
    </row>
    <row r="215" spans="1:8" ht="25.5">
      <c r="A215" s="116"/>
      <c r="B215" s="10" t="s">
        <v>193</v>
      </c>
      <c r="C215" s="108"/>
      <c r="D215" s="108"/>
      <c r="E215" s="9">
        <f t="shared" si="18"/>
        <v>159.622615</v>
      </c>
      <c r="F215" s="9">
        <v>49.9</v>
      </c>
      <c r="G215" s="9">
        <f>F215*1.07</f>
        <v>53.393</v>
      </c>
      <c r="H215" s="9">
        <f>G215*1.055</f>
        <v>56.329615</v>
      </c>
    </row>
    <row r="216" spans="1:8" ht="12.75">
      <c r="A216" s="116"/>
      <c r="B216" s="10" t="s">
        <v>37</v>
      </c>
      <c r="C216" s="108"/>
      <c r="D216" s="108"/>
      <c r="E216" s="9">
        <f t="shared" si="18"/>
        <v>319.6610805</v>
      </c>
      <c r="F216" s="9">
        <v>99.93</v>
      </c>
      <c r="G216" s="9">
        <f>F216*1.07</f>
        <v>106.92510000000001</v>
      </c>
      <c r="H216" s="9">
        <f>G216*1.055</f>
        <v>112.8059805</v>
      </c>
    </row>
    <row r="217" spans="1:8" ht="25.5">
      <c r="A217" s="115"/>
      <c r="B217" s="10" t="s">
        <v>194</v>
      </c>
      <c r="C217" s="109"/>
      <c r="D217" s="109"/>
      <c r="E217" s="9">
        <f t="shared" si="18"/>
        <v>88.2370784</v>
      </c>
      <c r="F217" s="9">
        <v>27.584</v>
      </c>
      <c r="G217" s="9">
        <f>F217*1.07</f>
        <v>29.51488</v>
      </c>
      <c r="H217" s="9">
        <f>G217*1.055</f>
        <v>31.1381984</v>
      </c>
    </row>
    <row r="218" spans="1:8" ht="12.75">
      <c r="A218" s="100" t="s">
        <v>78</v>
      </c>
      <c r="B218" s="8"/>
      <c r="C218" s="110" t="s">
        <v>39</v>
      </c>
      <c r="D218" s="110" t="s">
        <v>20</v>
      </c>
      <c r="E218" s="7">
        <f t="shared" si="18"/>
        <v>708.0654475000001</v>
      </c>
      <c r="F218" s="7">
        <f>SUM(F219:F221)</f>
        <v>221.35</v>
      </c>
      <c r="G218" s="7">
        <f>SUM(G219:G221)</f>
        <v>236.84450000000004</v>
      </c>
      <c r="H218" s="7">
        <f>SUM(H219:H221)</f>
        <v>249.8709475</v>
      </c>
    </row>
    <row r="219" spans="1:8" ht="38.25">
      <c r="A219" s="100"/>
      <c r="B219" s="10" t="s">
        <v>45</v>
      </c>
      <c r="C219" s="110"/>
      <c r="D219" s="110"/>
      <c r="E219" s="9">
        <f t="shared" si="18"/>
        <v>134.3197115</v>
      </c>
      <c r="F219" s="9">
        <v>41.99</v>
      </c>
      <c r="G219" s="9">
        <f>F219*1.07</f>
        <v>44.929300000000005</v>
      </c>
      <c r="H219" s="9">
        <f>G219*1.055</f>
        <v>47.400411500000004</v>
      </c>
    </row>
    <row r="220" spans="1:8" ht="25.5">
      <c r="A220" s="100"/>
      <c r="B220" s="10" t="s">
        <v>165</v>
      </c>
      <c r="C220" s="110"/>
      <c r="D220" s="110"/>
      <c r="E220" s="9">
        <f t="shared" si="18"/>
        <v>317.837736</v>
      </c>
      <c r="F220" s="9">
        <v>99.36</v>
      </c>
      <c r="G220" s="9">
        <f>F220*1.07</f>
        <v>106.3152</v>
      </c>
      <c r="H220" s="9">
        <f>G220*1.055</f>
        <v>112.162536</v>
      </c>
    </row>
    <row r="221" spans="1:8" ht="25.5">
      <c r="A221" s="100"/>
      <c r="B221" s="10" t="s">
        <v>195</v>
      </c>
      <c r="C221" s="110"/>
      <c r="D221" s="110"/>
      <c r="E221" s="9">
        <f t="shared" si="18"/>
        <v>255.90800000000002</v>
      </c>
      <c r="F221" s="9">
        <v>80</v>
      </c>
      <c r="G221" s="9">
        <f>F221*1.07</f>
        <v>85.60000000000001</v>
      </c>
      <c r="H221" s="9">
        <f>G221*1.055</f>
        <v>90.308</v>
      </c>
    </row>
    <row r="222" spans="1:8" ht="12.75">
      <c r="A222" s="100" t="s">
        <v>87</v>
      </c>
      <c r="B222" s="8"/>
      <c r="C222" s="110" t="s">
        <v>39</v>
      </c>
      <c r="D222" s="110" t="s">
        <v>20</v>
      </c>
      <c r="E222" s="7">
        <f t="shared" si="18"/>
        <v>608.17495855</v>
      </c>
      <c r="F222" s="7">
        <f>SUM(F223:F225)</f>
        <v>190.123</v>
      </c>
      <c r="G222" s="7">
        <f>SUM(G223:G225)</f>
        <v>203.43161000000003</v>
      </c>
      <c r="H222" s="7">
        <f>SUM(H223:H225)</f>
        <v>214.62034855000002</v>
      </c>
    </row>
    <row r="223" spans="1:8" ht="25.5">
      <c r="A223" s="100"/>
      <c r="B223" s="10" t="s">
        <v>32</v>
      </c>
      <c r="C223" s="110"/>
      <c r="D223" s="110"/>
      <c r="E223" s="9">
        <f t="shared" si="18"/>
        <v>123.3796445</v>
      </c>
      <c r="F223" s="9">
        <v>38.57</v>
      </c>
      <c r="G223" s="9">
        <f>F223*1.07</f>
        <v>41.2699</v>
      </c>
      <c r="H223" s="9">
        <f>G223*1.055</f>
        <v>43.5397445</v>
      </c>
    </row>
    <row r="224" spans="1:8" ht="25.5">
      <c r="A224" s="100"/>
      <c r="B224" s="10" t="s">
        <v>133</v>
      </c>
      <c r="C224" s="110"/>
      <c r="D224" s="110"/>
      <c r="E224" s="9">
        <f t="shared" si="18"/>
        <v>210.66666445</v>
      </c>
      <c r="F224" s="9">
        <v>65.857</v>
      </c>
      <c r="G224" s="9">
        <f>F224*1.07</f>
        <v>70.46699000000001</v>
      </c>
      <c r="H224" s="9">
        <f>G224*1.055</f>
        <v>74.34267445</v>
      </c>
    </row>
    <row r="225" spans="1:8" ht="38.25">
      <c r="A225" s="100"/>
      <c r="B225" s="10" t="s">
        <v>134</v>
      </c>
      <c r="C225" s="110"/>
      <c r="D225" s="110"/>
      <c r="E225" s="9">
        <f t="shared" si="18"/>
        <v>274.1286496</v>
      </c>
      <c r="F225" s="9">
        <v>85.696</v>
      </c>
      <c r="G225" s="9">
        <f>F225*1.07</f>
        <v>91.69472</v>
      </c>
      <c r="H225" s="9">
        <f>G225*1.055</f>
        <v>96.7379296</v>
      </c>
    </row>
    <row r="226" spans="1:8" ht="29.25" customHeight="1">
      <c r="A226" s="114" t="s">
        <v>86</v>
      </c>
      <c r="B226" s="10"/>
      <c r="C226" s="110" t="s">
        <v>39</v>
      </c>
      <c r="D226" s="110" t="s">
        <v>20</v>
      </c>
      <c r="E226" s="7">
        <f>F226+G226+H226</f>
        <v>319.40837135000004</v>
      </c>
      <c r="F226" s="7">
        <f>SUM(F227)</f>
        <v>99.851</v>
      </c>
      <c r="G226" s="7">
        <f>SUM(G227)</f>
        <v>106.84057</v>
      </c>
      <c r="H226" s="7">
        <f>SUM(H227)</f>
        <v>112.71680135</v>
      </c>
    </row>
    <row r="227" spans="1:8" ht="28.5" customHeight="1">
      <c r="A227" s="115"/>
      <c r="B227" s="10" t="s">
        <v>196</v>
      </c>
      <c r="C227" s="110"/>
      <c r="D227" s="110"/>
      <c r="E227" s="9">
        <f>F227+G227+H227</f>
        <v>319.40837135000004</v>
      </c>
      <c r="F227" s="9">
        <v>99.851</v>
      </c>
      <c r="G227" s="9">
        <f>F227*1.07</f>
        <v>106.84057</v>
      </c>
      <c r="H227" s="9">
        <f>G227*1.055</f>
        <v>112.71680135</v>
      </c>
    </row>
    <row r="228" spans="1:8" ht="12.75">
      <c r="A228" s="112" t="s">
        <v>131</v>
      </c>
      <c r="B228" s="10"/>
      <c r="C228" s="110" t="s">
        <v>39</v>
      </c>
      <c r="D228" s="110" t="s">
        <v>20</v>
      </c>
      <c r="E228" s="7">
        <f>F228+G228+H228</f>
        <v>52.746</v>
      </c>
      <c r="F228" s="7">
        <f>SUM(F229)</f>
        <v>52.746</v>
      </c>
      <c r="G228" s="9"/>
      <c r="H228" s="9"/>
    </row>
    <row r="229" spans="1:8" ht="25.5">
      <c r="A229" s="113"/>
      <c r="B229" s="8" t="s">
        <v>187</v>
      </c>
      <c r="C229" s="110"/>
      <c r="D229" s="110"/>
      <c r="E229" s="9">
        <f>F229+G229+H229</f>
        <v>52.746</v>
      </c>
      <c r="F229" s="9">
        <v>52.746</v>
      </c>
      <c r="G229" s="9"/>
      <c r="H229" s="9"/>
    </row>
    <row r="230" spans="1:9" s="54" customFormat="1" ht="12.75" customHeight="1">
      <c r="A230" s="114" t="s">
        <v>68</v>
      </c>
      <c r="B230" s="8"/>
      <c r="C230" s="107" t="s">
        <v>40</v>
      </c>
      <c r="D230" s="107" t="s">
        <v>20</v>
      </c>
      <c r="E230" s="7">
        <f t="shared" si="18"/>
        <v>316.68615</v>
      </c>
      <c r="F230" s="7">
        <f>SUM(F231:F231)</f>
        <v>99</v>
      </c>
      <c r="G230" s="7">
        <f>SUM(G231:G231)</f>
        <v>105.93</v>
      </c>
      <c r="H230" s="7">
        <f>SUM(H231:H231)</f>
        <v>111.75615</v>
      </c>
      <c r="I230" s="75"/>
    </row>
    <row r="231" spans="1:9" s="54" customFormat="1" ht="31.5" customHeight="1">
      <c r="A231" s="116"/>
      <c r="B231" s="10" t="s">
        <v>37</v>
      </c>
      <c r="C231" s="108"/>
      <c r="D231" s="108"/>
      <c r="E231" s="9">
        <f t="shared" si="18"/>
        <v>316.68615</v>
      </c>
      <c r="F231" s="9">
        <v>99</v>
      </c>
      <c r="G231" s="9">
        <f>F231*1.07</f>
        <v>105.93</v>
      </c>
      <c r="H231" s="9">
        <f>G231*1.055</f>
        <v>111.75615</v>
      </c>
      <c r="I231" s="75"/>
    </row>
    <row r="232" spans="1:9" s="54" customFormat="1" ht="12.75">
      <c r="A232" s="100" t="s">
        <v>78</v>
      </c>
      <c r="B232" s="8"/>
      <c r="C232" s="110" t="s">
        <v>40</v>
      </c>
      <c r="D232" s="110" t="s">
        <v>20</v>
      </c>
      <c r="E232" s="7">
        <f>F232+G232+H232</f>
        <v>951.4499497500001</v>
      </c>
      <c r="F232" s="7">
        <f>SUM(F233:F235)</f>
        <v>297.435</v>
      </c>
      <c r="G232" s="7">
        <f>SUM(G233:G235)</f>
        <v>318.25545</v>
      </c>
      <c r="H232" s="7">
        <f>SUM(H233:H235)</f>
        <v>335.75949975000003</v>
      </c>
      <c r="I232" s="75"/>
    </row>
    <row r="233" spans="1:9" s="54" customFormat="1" ht="12.75">
      <c r="A233" s="100"/>
      <c r="B233" s="55" t="s">
        <v>213</v>
      </c>
      <c r="C233" s="110"/>
      <c r="D233" s="110"/>
      <c r="E233" s="9">
        <f>F233+G233+H233</f>
        <v>316.70214425</v>
      </c>
      <c r="F233" s="9">
        <v>99.005</v>
      </c>
      <c r="G233" s="9">
        <f>F233*1.07</f>
        <v>105.93535</v>
      </c>
      <c r="H233" s="9">
        <f>G233*1.055</f>
        <v>111.76179425</v>
      </c>
      <c r="I233" s="75"/>
    </row>
    <row r="234" spans="1:9" s="54" customFormat="1" ht="25.5">
      <c r="A234" s="100"/>
      <c r="B234" s="55" t="s">
        <v>31</v>
      </c>
      <c r="C234" s="110"/>
      <c r="D234" s="110"/>
      <c r="E234" s="9">
        <f>F234+G234+H234</f>
        <v>318.06165550000003</v>
      </c>
      <c r="F234" s="9">
        <v>99.43</v>
      </c>
      <c r="G234" s="9">
        <f aca="true" t="shared" si="19" ref="G234:G240">F234*1.07</f>
        <v>106.39010000000002</v>
      </c>
      <c r="H234" s="9">
        <f aca="true" t="shared" si="20" ref="H234:H240">G234*1.055</f>
        <v>112.24155550000002</v>
      </c>
      <c r="I234" s="75"/>
    </row>
    <row r="235" spans="1:9" s="54" customFormat="1" ht="25.5">
      <c r="A235" s="100"/>
      <c r="B235" s="56" t="s">
        <v>214</v>
      </c>
      <c r="C235" s="110"/>
      <c r="D235" s="110"/>
      <c r="E235" s="9">
        <f>F235+G235+H235</f>
        <v>316.68615</v>
      </c>
      <c r="F235" s="9">
        <v>99</v>
      </c>
      <c r="G235" s="9">
        <f t="shared" si="19"/>
        <v>105.93</v>
      </c>
      <c r="H235" s="9">
        <f t="shared" si="20"/>
        <v>111.75615</v>
      </c>
      <c r="I235" s="75"/>
    </row>
    <row r="236" spans="1:9" s="54" customFormat="1" ht="12.75">
      <c r="A236" s="100" t="s">
        <v>87</v>
      </c>
      <c r="B236" s="10"/>
      <c r="C236" s="110" t="s">
        <v>40</v>
      </c>
      <c r="D236" s="110" t="s">
        <v>20</v>
      </c>
      <c r="E236" s="7">
        <f aca="true" t="shared" si="21" ref="E236:E242">F236+G236+H236</f>
        <v>494.66056745000003</v>
      </c>
      <c r="F236" s="7">
        <f>SUM(F237:F238)</f>
        <v>154.637</v>
      </c>
      <c r="G236" s="7">
        <f>SUM(G237:G238)</f>
        <v>165.46159</v>
      </c>
      <c r="H236" s="7">
        <f>SUM(H237:H238)</f>
        <v>174.56197745</v>
      </c>
      <c r="I236" s="75"/>
    </row>
    <row r="237" spans="1:9" s="54" customFormat="1" ht="25.5">
      <c r="A237" s="100"/>
      <c r="B237" s="10" t="s">
        <v>32</v>
      </c>
      <c r="C237" s="110"/>
      <c r="D237" s="110"/>
      <c r="E237" s="9">
        <f t="shared" si="21"/>
        <v>190.76981745</v>
      </c>
      <c r="F237" s="9">
        <v>59.637</v>
      </c>
      <c r="G237" s="9">
        <f t="shared" si="19"/>
        <v>63.81159</v>
      </c>
      <c r="H237" s="9">
        <f t="shared" si="20"/>
        <v>67.32122745</v>
      </c>
      <c r="I237" s="75"/>
    </row>
    <row r="238" spans="1:9" s="54" customFormat="1" ht="12.75">
      <c r="A238" s="100"/>
      <c r="B238" s="10" t="s">
        <v>33</v>
      </c>
      <c r="C238" s="110"/>
      <c r="D238" s="110"/>
      <c r="E238" s="9">
        <f t="shared" si="21"/>
        <v>303.89075</v>
      </c>
      <c r="F238" s="9">
        <v>95</v>
      </c>
      <c r="G238" s="9">
        <f t="shared" si="19"/>
        <v>101.65</v>
      </c>
      <c r="H238" s="9">
        <f t="shared" si="20"/>
        <v>107.24075</v>
      </c>
      <c r="I238" s="75"/>
    </row>
    <row r="239" spans="1:9" s="54" customFormat="1" ht="12.75">
      <c r="A239" s="100" t="s">
        <v>86</v>
      </c>
      <c r="B239" s="10"/>
      <c r="C239" s="110" t="s">
        <v>40</v>
      </c>
      <c r="D239" s="110" t="s">
        <v>20</v>
      </c>
      <c r="E239" s="7">
        <f t="shared" si="21"/>
        <v>316.68615</v>
      </c>
      <c r="F239" s="7">
        <f>SUM(F240)</f>
        <v>99</v>
      </c>
      <c r="G239" s="7">
        <f>SUM(G240)</f>
        <v>105.93</v>
      </c>
      <c r="H239" s="7">
        <f>SUM(H240)</f>
        <v>111.75615</v>
      </c>
      <c r="I239" s="75"/>
    </row>
    <row r="240" spans="1:9" s="54" customFormat="1" ht="38.25" customHeight="1">
      <c r="A240" s="100"/>
      <c r="B240" s="10" t="s">
        <v>41</v>
      </c>
      <c r="C240" s="110"/>
      <c r="D240" s="110"/>
      <c r="E240" s="9">
        <f t="shared" si="21"/>
        <v>316.68615</v>
      </c>
      <c r="F240" s="9">
        <v>99</v>
      </c>
      <c r="G240" s="9">
        <f t="shared" si="19"/>
        <v>105.93</v>
      </c>
      <c r="H240" s="9">
        <f t="shared" si="20"/>
        <v>111.75615</v>
      </c>
      <c r="I240" s="75"/>
    </row>
    <row r="241" spans="1:9" s="54" customFormat="1" ht="12.75">
      <c r="A241" s="112" t="s">
        <v>125</v>
      </c>
      <c r="B241" s="10"/>
      <c r="C241" s="110" t="s">
        <v>40</v>
      </c>
      <c r="D241" s="110" t="s">
        <v>20</v>
      </c>
      <c r="E241" s="7">
        <f t="shared" si="21"/>
        <v>37.811</v>
      </c>
      <c r="F241" s="7">
        <f>SUM(F242)</f>
        <v>37.811</v>
      </c>
      <c r="G241" s="9"/>
      <c r="H241" s="9"/>
      <c r="I241" s="75"/>
    </row>
    <row r="242" spans="1:9" s="54" customFormat="1" ht="25.5">
      <c r="A242" s="113"/>
      <c r="B242" s="8" t="s">
        <v>187</v>
      </c>
      <c r="C242" s="110"/>
      <c r="D242" s="110"/>
      <c r="E242" s="9">
        <f t="shared" si="21"/>
        <v>37.811</v>
      </c>
      <c r="F242" s="9">
        <v>37.811</v>
      </c>
      <c r="G242" s="9"/>
      <c r="H242" s="9"/>
      <c r="I242" s="75"/>
    </row>
    <row r="243" spans="1:8" ht="12.75" customHeight="1">
      <c r="A243" s="114" t="s">
        <v>68</v>
      </c>
      <c r="B243" s="10"/>
      <c r="C243" s="107" t="s">
        <v>42</v>
      </c>
      <c r="D243" s="107" t="s">
        <v>20</v>
      </c>
      <c r="E243" s="7">
        <f aca="true" t="shared" si="22" ref="E243:E256">F243+G243+H243</f>
        <v>475.28513300000003</v>
      </c>
      <c r="F243" s="7">
        <f>SUM(F244:F245)</f>
        <v>148.57999999999998</v>
      </c>
      <c r="G243" s="7">
        <f>SUM(G244:G245)</f>
        <v>158.9806</v>
      </c>
      <c r="H243" s="7">
        <f>SUM(H244:H245)</f>
        <v>167.724533</v>
      </c>
    </row>
    <row r="244" spans="1:8" ht="25.5">
      <c r="A244" s="116"/>
      <c r="B244" s="10" t="s">
        <v>36</v>
      </c>
      <c r="C244" s="108"/>
      <c r="D244" s="108"/>
      <c r="E244" s="9">
        <f t="shared" si="22"/>
        <v>193.71915715</v>
      </c>
      <c r="F244" s="9">
        <v>60.559</v>
      </c>
      <c r="G244" s="9">
        <f>F244*1.07</f>
        <v>64.79813</v>
      </c>
      <c r="H244" s="9">
        <f>G244*1.055</f>
        <v>68.36202715</v>
      </c>
    </row>
    <row r="245" spans="1:8" ht="38.25">
      <c r="A245" s="116"/>
      <c r="B245" s="10" t="s">
        <v>200</v>
      </c>
      <c r="C245" s="108"/>
      <c r="D245" s="108"/>
      <c r="E245" s="9">
        <f>F245+G245+H245</f>
        <v>281.56597585000003</v>
      </c>
      <c r="F245" s="9">
        <v>88.021</v>
      </c>
      <c r="G245" s="9">
        <f>F245*1.07</f>
        <v>94.18247000000001</v>
      </c>
      <c r="H245" s="9">
        <f>G245*1.055</f>
        <v>99.36250585</v>
      </c>
    </row>
    <row r="246" spans="1:8" ht="12.75">
      <c r="A246" s="100" t="s">
        <v>78</v>
      </c>
      <c r="B246" s="8"/>
      <c r="C246" s="110" t="s">
        <v>42</v>
      </c>
      <c r="D246" s="110" t="s">
        <v>20</v>
      </c>
      <c r="E246" s="7">
        <f t="shared" si="22"/>
        <v>709.5657081500001</v>
      </c>
      <c r="F246" s="7">
        <f>SUM(F247:F250)</f>
        <v>221.819</v>
      </c>
      <c r="G246" s="7">
        <f>SUM(G247:G250)</f>
        <v>237.34633000000002</v>
      </c>
      <c r="H246" s="7">
        <f>SUM(H247:H250)</f>
        <v>250.40037815000002</v>
      </c>
    </row>
    <row r="247" spans="1:8" ht="25.5">
      <c r="A247" s="100"/>
      <c r="B247" s="50" t="s">
        <v>43</v>
      </c>
      <c r="C247" s="110"/>
      <c r="D247" s="110"/>
      <c r="E247" s="9">
        <f t="shared" si="22"/>
        <v>285.59652685000003</v>
      </c>
      <c r="F247" s="9">
        <v>89.281</v>
      </c>
      <c r="G247" s="9">
        <f>F247*1.07</f>
        <v>95.53067000000001</v>
      </c>
      <c r="H247" s="9">
        <f>G247*1.055</f>
        <v>100.78485685000001</v>
      </c>
    </row>
    <row r="248" spans="1:8" ht="25.5">
      <c r="A248" s="100"/>
      <c r="B248" s="50" t="s">
        <v>163</v>
      </c>
      <c r="C248" s="110"/>
      <c r="D248" s="110"/>
      <c r="E248" s="9">
        <f t="shared" si="22"/>
        <v>16.5380545</v>
      </c>
      <c r="F248" s="9">
        <v>5.17</v>
      </c>
      <c r="G248" s="9">
        <f>F248*1.07</f>
        <v>5.5319</v>
      </c>
      <c r="H248" s="9">
        <f>G248*1.055</f>
        <v>5.8361545</v>
      </c>
    </row>
    <row r="249" spans="1:8" ht="12.75">
      <c r="A249" s="100"/>
      <c r="B249" s="50" t="s">
        <v>201</v>
      </c>
      <c r="C249" s="110"/>
      <c r="D249" s="110"/>
      <c r="E249" s="9">
        <f t="shared" si="22"/>
        <v>239.15562255</v>
      </c>
      <c r="F249" s="9">
        <v>74.763</v>
      </c>
      <c r="G249" s="9">
        <f>F249*1.07</f>
        <v>79.99641000000001</v>
      </c>
      <c r="H249" s="9">
        <f>G249*1.055</f>
        <v>84.39621255</v>
      </c>
    </row>
    <row r="250" spans="1:8" ht="25.5">
      <c r="A250" s="100"/>
      <c r="B250" s="50" t="s">
        <v>31</v>
      </c>
      <c r="C250" s="110"/>
      <c r="D250" s="110"/>
      <c r="E250" s="9">
        <f t="shared" si="22"/>
        <v>168.27550424999998</v>
      </c>
      <c r="F250" s="9">
        <v>52.605</v>
      </c>
      <c r="G250" s="9">
        <f>F250*1.07</f>
        <v>56.287349999999996</v>
      </c>
      <c r="H250" s="9">
        <f>G250*1.055</f>
        <v>59.38315424999999</v>
      </c>
    </row>
    <row r="251" spans="1:8" ht="38.25">
      <c r="A251" s="100"/>
      <c r="B251" s="21" t="s">
        <v>164</v>
      </c>
      <c r="C251" s="110"/>
      <c r="D251" s="110"/>
      <c r="E251" s="22">
        <f t="shared" si="22"/>
        <v>168.27550424999998</v>
      </c>
      <c r="F251" s="22">
        <v>52.605</v>
      </c>
      <c r="G251" s="22">
        <f>F251*1.07</f>
        <v>56.287349999999996</v>
      </c>
      <c r="H251" s="22">
        <f>G251*1.055</f>
        <v>59.38315424999999</v>
      </c>
    </row>
    <row r="252" spans="1:8" ht="12.75">
      <c r="A252" s="100" t="s">
        <v>87</v>
      </c>
      <c r="B252" s="8"/>
      <c r="C252" s="110" t="s">
        <v>42</v>
      </c>
      <c r="D252" s="110" t="s">
        <v>20</v>
      </c>
      <c r="E252" s="7">
        <f t="shared" si="22"/>
        <v>289.0160975</v>
      </c>
      <c r="F252" s="7">
        <f>SUM(F253:F254)</f>
        <v>90.35</v>
      </c>
      <c r="G252" s="7">
        <f>SUM(G253:G254)</f>
        <v>96.6745</v>
      </c>
      <c r="H252" s="7">
        <f>SUM(H253:H254)</f>
        <v>101.9915975</v>
      </c>
    </row>
    <row r="253" spans="1:8" ht="25.5">
      <c r="A253" s="100"/>
      <c r="B253" s="10" t="s">
        <v>32</v>
      </c>
      <c r="C253" s="110"/>
      <c r="D253" s="110"/>
      <c r="E253" s="9">
        <f t="shared" si="22"/>
        <v>24.675928900000002</v>
      </c>
      <c r="F253" s="9">
        <v>7.714</v>
      </c>
      <c r="G253" s="9">
        <f>F253*1.07</f>
        <v>8.25398</v>
      </c>
      <c r="H253" s="9">
        <f>G253*1.055</f>
        <v>8.7079489</v>
      </c>
    </row>
    <row r="254" spans="1:8" ht="12.75">
      <c r="A254" s="100"/>
      <c r="B254" s="10" t="s">
        <v>33</v>
      </c>
      <c r="C254" s="110"/>
      <c r="D254" s="110"/>
      <c r="E254" s="9">
        <f t="shared" si="22"/>
        <v>264.34016859999997</v>
      </c>
      <c r="F254" s="9">
        <v>82.636</v>
      </c>
      <c r="G254" s="9">
        <f>F254*1.07</f>
        <v>88.42052</v>
      </c>
      <c r="H254" s="9">
        <f>G254*1.055</f>
        <v>93.28364859999999</v>
      </c>
    </row>
    <row r="255" spans="1:8" ht="12.75">
      <c r="A255" s="114" t="s">
        <v>202</v>
      </c>
      <c r="B255" s="10"/>
      <c r="C255" s="110" t="s">
        <v>42</v>
      </c>
      <c r="D255" s="110" t="s">
        <v>20</v>
      </c>
      <c r="E255" s="7">
        <f t="shared" si="22"/>
        <v>66.41132485</v>
      </c>
      <c r="F255" s="7">
        <f>SUM(F256)</f>
        <v>20.761</v>
      </c>
      <c r="G255" s="7">
        <f>SUM(G256)</f>
        <v>22.21427</v>
      </c>
      <c r="H255" s="7">
        <f>SUM(H256)</f>
        <v>23.436054849999998</v>
      </c>
    </row>
    <row r="256" spans="1:8" ht="38.25">
      <c r="A256" s="115"/>
      <c r="B256" s="8" t="s">
        <v>203</v>
      </c>
      <c r="C256" s="110"/>
      <c r="D256" s="110"/>
      <c r="E256" s="9">
        <f t="shared" si="22"/>
        <v>66.41132485</v>
      </c>
      <c r="F256" s="37">
        <v>20.761</v>
      </c>
      <c r="G256" s="9">
        <f>F256*1.07</f>
        <v>22.21427</v>
      </c>
      <c r="H256" s="9">
        <f>G256*1.055</f>
        <v>23.436054849999998</v>
      </c>
    </row>
    <row r="257" spans="1:8" ht="24" customHeight="1">
      <c r="A257" s="114" t="s">
        <v>86</v>
      </c>
      <c r="B257" s="10"/>
      <c r="C257" s="110" t="s">
        <v>42</v>
      </c>
      <c r="D257" s="110" t="s">
        <v>20</v>
      </c>
      <c r="E257" s="7">
        <f aca="true" t="shared" si="23" ref="E257:E265">F257+G257+H257</f>
        <v>217.75851490000002</v>
      </c>
      <c r="F257" s="7">
        <f>SUM(F258)</f>
        <v>68.074</v>
      </c>
      <c r="G257" s="7">
        <f>SUM(G258)</f>
        <v>72.83918</v>
      </c>
      <c r="H257" s="7">
        <f>SUM(H258)</f>
        <v>76.8453349</v>
      </c>
    </row>
    <row r="258" spans="1:8" ht="25.5">
      <c r="A258" s="115"/>
      <c r="B258" s="48" t="s">
        <v>41</v>
      </c>
      <c r="C258" s="110"/>
      <c r="D258" s="110"/>
      <c r="E258" s="9">
        <f t="shared" si="23"/>
        <v>217.75851490000002</v>
      </c>
      <c r="F258" s="37">
        <v>68.074</v>
      </c>
      <c r="G258" s="9">
        <f>F258*1.07</f>
        <v>72.83918</v>
      </c>
      <c r="H258" s="9">
        <f>G258*1.055</f>
        <v>76.8453349</v>
      </c>
    </row>
    <row r="259" spans="1:8" ht="12.75">
      <c r="A259" s="112" t="s">
        <v>125</v>
      </c>
      <c r="B259" s="10"/>
      <c r="C259" s="110" t="s">
        <v>42</v>
      </c>
      <c r="D259" s="110" t="s">
        <v>20</v>
      </c>
      <c r="E259" s="7">
        <f t="shared" si="23"/>
        <v>1.72</v>
      </c>
      <c r="F259" s="7">
        <f>SUM(F260)</f>
        <v>1.72</v>
      </c>
      <c r="G259" s="9"/>
      <c r="H259" s="9"/>
    </row>
    <row r="260" spans="1:8" ht="25.5">
      <c r="A260" s="113"/>
      <c r="B260" s="8" t="s">
        <v>187</v>
      </c>
      <c r="C260" s="110"/>
      <c r="D260" s="110"/>
      <c r="E260" s="9">
        <f t="shared" si="23"/>
        <v>1.72</v>
      </c>
      <c r="F260" s="3">
        <v>1.72</v>
      </c>
      <c r="G260" s="9"/>
      <c r="H260" s="9"/>
    </row>
    <row r="261" spans="1:8" ht="12.75" customHeight="1">
      <c r="A261" s="114" t="s">
        <v>68</v>
      </c>
      <c r="B261" s="10"/>
      <c r="C261" s="107" t="s">
        <v>44</v>
      </c>
      <c r="D261" s="107" t="s">
        <v>20</v>
      </c>
      <c r="E261" s="7">
        <f t="shared" si="23"/>
        <v>901.7174287999999</v>
      </c>
      <c r="F261" s="7">
        <f>SUM(F262:F265)</f>
        <v>281.888</v>
      </c>
      <c r="G261" s="7">
        <f>SUM(G262:G265)</f>
        <v>301.62016</v>
      </c>
      <c r="H261" s="7">
        <f>SUM(H262:H265)</f>
        <v>318.20926879999996</v>
      </c>
    </row>
    <row r="262" spans="1:8" ht="12.75" customHeight="1">
      <c r="A262" s="116"/>
      <c r="B262" s="10" t="s">
        <v>46</v>
      </c>
      <c r="C262" s="108"/>
      <c r="D262" s="108"/>
      <c r="E262" s="9">
        <f t="shared" si="23"/>
        <v>380.90306375</v>
      </c>
      <c r="F262" s="9">
        <v>119.075</v>
      </c>
      <c r="G262" s="9">
        <f>F262*1.07</f>
        <v>127.41025</v>
      </c>
      <c r="H262" s="9">
        <f>G262*1.055</f>
        <v>134.41781375</v>
      </c>
    </row>
    <row r="263" spans="1:8" ht="12.75" customHeight="1">
      <c r="A263" s="116"/>
      <c r="B263" s="10" t="s">
        <v>204</v>
      </c>
      <c r="C263" s="108"/>
      <c r="D263" s="108"/>
      <c r="E263" s="9">
        <f t="shared" si="23"/>
        <v>196.5821279</v>
      </c>
      <c r="F263" s="9">
        <v>61.454</v>
      </c>
      <c r="G263" s="9">
        <f>F263*1.07</f>
        <v>65.75578</v>
      </c>
      <c r="H263" s="9">
        <f>G263*1.055</f>
        <v>69.3723479</v>
      </c>
    </row>
    <row r="264" spans="1:8" ht="25.5">
      <c r="A264" s="116"/>
      <c r="B264" s="10" t="s">
        <v>193</v>
      </c>
      <c r="C264" s="108"/>
      <c r="D264" s="108"/>
      <c r="E264" s="9">
        <f t="shared" si="23"/>
        <v>121.8186057</v>
      </c>
      <c r="F264" s="9">
        <v>38.082</v>
      </c>
      <c r="G264" s="9">
        <f>F264*1.07</f>
        <v>40.74774</v>
      </c>
      <c r="H264" s="9">
        <f>G264*1.055</f>
        <v>42.9888657</v>
      </c>
    </row>
    <row r="265" spans="1:8" ht="25.5">
      <c r="A265" s="116"/>
      <c r="B265" s="10" t="s">
        <v>205</v>
      </c>
      <c r="C265" s="108"/>
      <c r="D265" s="108"/>
      <c r="E265" s="9">
        <f t="shared" si="23"/>
        <v>202.41363144999997</v>
      </c>
      <c r="F265" s="9">
        <v>63.277</v>
      </c>
      <c r="G265" s="9">
        <f>F265*1.07</f>
        <v>67.70639</v>
      </c>
      <c r="H265" s="9">
        <f>G265*1.055</f>
        <v>71.43024145</v>
      </c>
    </row>
    <row r="266" spans="1:8" ht="12.75">
      <c r="A266" s="100" t="s">
        <v>78</v>
      </c>
      <c r="B266" s="10"/>
      <c r="C266" s="110" t="s">
        <v>44</v>
      </c>
      <c r="D266" s="110" t="s">
        <v>20</v>
      </c>
      <c r="E266" s="7">
        <f>F266+G266+H266</f>
        <v>1177.0232552</v>
      </c>
      <c r="F266" s="7">
        <f>SUM(F267:F275)</f>
        <v>367.95200000000006</v>
      </c>
      <c r="G266" s="7">
        <f>SUM(G267:G275)</f>
        <v>393.70864</v>
      </c>
      <c r="H266" s="7">
        <f>SUM(H267:H275)</f>
        <v>415.36261519999994</v>
      </c>
    </row>
    <row r="267" spans="1:8" ht="25.5">
      <c r="A267" s="100"/>
      <c r="B267" s="10" t="s">
        <v>43</v>
      </c>
      <c r="C267" s="110"/>
      <c r="D267" s="110"/>
      <c r="E267" s="9">
        <f aca="true" t="shared" si="24" ref="E267:E288">F267+G267+H267</f>
        <v>318.96693005</v>
      </c>
      <c r="F267" s="9">
        <v>99.713</v>
      </c>
      <c r="G267" s="9">
        <f>F267*1.07</f>
        <v>106.69291</v>
      </c>
      <c r="H267" s="9">
        <f>G267*1.055</f>
        <v>112.56102005</v>
      </c>
    </row>
    <row r="268" spans="1:8" ht="38.25">
      <c r="A268" s="100"/>
      <c r="B268" s="10" t="s">
        <v>45</v>
      </c>
      <c r="C268" s="110"/>
      <c r="D268" s="110"/>
      <c r="E268" s="9">
        <f t="shared" si="24"/>
        <v>100.76377500000001</v>
      </c>
      <c r="F268" s="9">
        <v>31.5</v>
      </c>
      <c r="G268" s="9">
        <f aca="true" t="shared" si="25" ref="G268:G275">F268*1.07</f>
        <v>33.705000000000005</v>
      </c>
      <c r="H268" s="9">
        <f aca="true" t="shared" si="26" ref="H268:H275">G268*1.055</f>
        <v>35.558775000000004</v>
      </c>
    </row>
    <row r="269" spans="1:8" ht="25.5">
      <c r="A269" s="100"/>
      <c r="B269" s="10" t="s">
        <v>30</v>
      </c>
      <c r="C269" s="110"/>
      <c r="D269" s="110"/>
      <c r="E269" s="9">
        <f t="shared" si="24"/>
        <v>209.8765485</v>
      </c>
      <c r="F269" s="9">
        <v>65.61</v>
      </c>
      <c r="G269" s="9">
        <f t="shared" si="25"/>
        <v>70.20270000000001</v>
      </c>
      <c r="H269" s="9">
        <f t="shared" si="26"/>
        <v>74.0638485</v>
      </c>
    </row>
    <row r="270" spans="1:8" ht="25.5">
      <c r="A270" s="100"/>
      <c r="B270" s="10" t="s">
        <v>31</v>
      </c>
      <c r="C270" s="110"/>
      <c r="D270" s="110"/>
      <c r="E270" s="9">
        <f t="shared" si="24"/>
        <v>187.64773985</v>
      </c>
      <c r="F270" s="9">
        <f>48.538+10.123</f>
        <v>58.660999999999994</v>
      </c>
      <c r="G270" s="9">
        <f t="shared" si="25"/>
        <v>62.767269999999996</v>
      </c>
      <c r="H270" s="9">
        <f t="shared" si="26"/>
        <v>66.21946985</v>
      </c>
    </row>
    <row r="271" spans="1:8" ht="25.5">
      <c r="A271" s="100"/>
      <c r="B271" s="10" t="s">
        <v>206</v>
      </c>
      <c r="C271" s="110"/>
      <c r="D271" s="110"/>
      <c r="E271" s="9">
        <f t="shared" si="24"/>
        <v>9.327846599999996</v>
      </c>
      <c r="F271" s="9">
        <f>17.679-14.763</f>
        <v>2.9159999999999986</v>
      </c>
      <c r="G271" s="9">
        <f t="shared" si="25"/>
        <v>3.1201199999999987</v>
      </c>
      <c r="H271" s="9">
        <f t="shared" si="26"/>
        <v>3.2917265999999983</v>
      </c>
    </row>
    <row r="272" spans="1:8" ht="25.5">
      <c r="A272" s="100"/>
      <c r="B272" s="10" t="s">
        <v>207</v>
      </c>
      <c r="C272" s="110"/>
      <c r="D272" s="110"/>
      <c r="E272" s="9">
        <f t="shared" si="24"/>
        <v>44.0737553</v>
      </c>
      <c r="F272" s="9">
        <v>13.778</v>
      </c>
      <c r="G272" s="9">
        <f t="shared" si="25"/>
        <v>14.742460000000001</v>
      </c>
      <c r="H272" s="9">
        <f t="shared" si="26"/>
        <v>15.5532953</v>
      </c>
    </row>
    <row r="273" spans="1:8" ht="25.5" customHeight="1">
      <c r="A273" s="100"/>
      <c r="B273" s="10" t="s">
        <v>208</v>
      </c>
      <c r="C273" s="110"/>
      <c r="D273" s="110"/>
      <c r="E273" s="9">
        <f t="shared" si="24"/>
        <v>103.93703419999999</v>
      </c>
      <c r="F273" s="9">
        <f>27.852+4.64</f>
        <v>32.492</v>
      </c>
      <c r="G273" s="9">
        <f t="shared" si="25"/>
        <v>34.766439999999996</v>
      </c>
      <c r="H273" s="9">
        <f t="shared" si="26"/>
        <v>36.67859419999999</v>
      </c>
    </row>
    <row r="274" spans="1:8" ht="25.5" customHeight="1">
      <c r="A274" s="20"/>
      <c r="B274" s="10" t="s">
        <v>195</v>
      </c>
      <c r="C274" s="6" t="s">
        <v>44</v>
      </c>
      <c r="D274" s="6" t="s">
        <v>20</v>
      </c>
      <c r="E274" s="9">
        <f t="shared" si="24"/>
        <v>43.12689569999999</v>
      </c>
      <c r="F274" s="9">
        <v>13.482</v>
      </c>
      <c r="G274" s="9">
        <f t="shared" si="25"/>
        <v>14.42574</v>
      </c>
      <c r="H274" s="9">
        <f t="shared" si="26"/>
        <v>15.219155699999998</v>
      </c>
    </row>
    <row r="275" spans="1:8" ht="42" customHeight="1">
      <c r="A275" s="20"/>
      <c r="B275" s="10" t="s">
        <v>279</v>
      </c>
      <c r="C275" s="6" t="s">
        <v>44</v>
      </c>
      <c r="D275" s="6" t="s">
        <v>20</v>
      </c>
      <c r="E275" s="9">
        <f t="shared" si="24"/>
        <v>159.30273</v>
      </c>
      <c r="F275" s="9">
        <v>49.8</v>
      </c>
      <c r="G275" s="9">
        <f t="shared" si="25"/>
        <v>53.286</v>
      </c>
      <c r="H275" s="9">
        <f t="shared" si="26"/>
        <v>56.21673</v>
      </c>
    </row>
    <row r="276" spans="1:8" ht="12.75">
      <c r="A276" s="100" t="s">
        <v>87</v>
      </c>
      <c r="B276" s="8"/>
      <c r="C276" s="110" t="s">
        <v>44</v>
      </c>
      <c r="D276" s="110" t="s">
        <v>20</v>
      </c>
      <c r="E276" s="7">
        <f t="shared" si="24"/>
        <v>342.3729155</v>
      </c>
      <c r="F276" s="7">
        <f>SUM(F277:F279)</f>
        <v>107.03</v>
      </c>
      <c r="G276" s="7">
        <f>SUM(G277:G279)</f>
        <v>114.5221</v>
      </c>
      <c r="H276" s="7">
        <f>SUM(H277:H279)</f>
        <v>120.8208155</v>
      </c>
    </row>
    <row r="277" spans="1:8" ht="25.5">
      <c r="A277" s="100"/>
      <c r="B277" s="10" t="s">
        <v>47</v>
      </c>
      <c r="C277" s="110"/>
      <c r="D277" s="110"/>
      <c r="E277" s="9">
        <f t="shared" si="24"/>
        <v>8.678480050000001</v>
      </c>
      <c r="F277" s="9">
        <v>2.713</v>
      </c>
      <c r="G277" s="9">
        <f>F277*1.07</f>
        <v>2.9029100000000003</v>
      </c>
      <c r="H277" s="9">
        <f>G277*1.055</f>
        <v>3.06257005</v>
      </c>
    </row>
    <row r="278" spans="1:8" ht="25.5">
      <c r="A278" s="100"/>
      <c r="B278" s="10" t="s">
        <v>32</v>
      </c>
      <c r="C278" s="110"/>
      <c r="D278" s="110"/>
      <c r="E278" s="9">
        <f t="shared" si="24"/>
        <v>28.9943764</v>
      </c>
      <c r="F278" s="9">
        <v>9.064</v>
      </c>
      <c r="G278" s="9">
        <f>F278*1.07</f>
        <v>9.69848</v>
      </c>
      <c r="H278" s="9">
        <f>G278*1.055</f>
        <v>10.2318964</v>
      </c>
    </row>
    <row r="279" spans="1:8" ht="12.75">
      <c r="A279" s="100"/>
      <c r="B279" s="10" t="s">
        <v>33</v>
      </c>
      <c r="C279" s="110"/>
      <c r="D279" s="110"/>
      <c r="E279" s="9">
        <f t="shared" si="24"/>
        <v>304.70005905</v>
      </c>
      <c r="F279" s="9">
        <v>95.253</v>
      </c>
      <c r="G279" s="9">
        <f>F279*1.07</f>
        <v>101.92071</v>
      </c>
      <c r="H279" s="9">
        <f>G279*1.055</f>
        <v>107.52634905</v>
      </c>
    </row>
    <row r="280" spans="1:8" ht="12.75">
      <c r="A280" s="100" t="s">
        <v>73</v>
      </c>
      <c r="B280" s="8"/>
      <c r="C280" s="110" t="s">
        <v>44</v>
      </c>
      <c r="D280" s="110" t="s">
        <v>20</v>
      </c>
      <c r="E280" s="7">
        <f t="shared" si="24"/>
        <v>2.79899375</v>
      </c>
      <c r="F280" s="7">
        <f>SUM(F281)</f>
        <v>0.875</v>
      </c>
      <c r="G280" s="7">
        <f>SUM(G281)</f>
        <v>0.93625</v>
      </c>
      <c r="H280" s="7">
        <f>SUM(H281)</f>
        <v>0.9877437499999999</v>
      </c>
    </row>
    <row r="281" spans="1:8" ht="38.25">
      <c r="A281" s="100"/>
      <c r="B281" s="8" t="s">
        <v>48</v>
      </c>
      <c r="C281" s="110"/>
      <c r="D281" s="110"/>
      <c r="E281" s="9">
        <f t="shared" si="24"/>
        <v>2.79899375</v>
      </c>
      <c r="F281" s="9">
        <v>0.875</v>
      </c>
      <c r="G281" s="9">
        <f>F281*1.07</f>
        <v>0.93625</v>
      </c>
      <c r="H281" s="9">
        <f>G281*1.055</f>
        <v>0.9877437499999999</v>
      </c>
    </row>
    <row r="282" spans="1:8" ht="15.75" customHeight="1">
      <c r="A282" s="114" t="s">
        <v>86</v>
      </c>
      <c r="B282" s="10"/>
      <c r="C282" s="107" t="s">
        <v>44</v>
      </c>
      <c r="D282" s="107" t="s">
        <v>20</v>
      </c>
      <c r="E282" s="7">
        <f t="shared" si="24"/>
        <v>319.565</v>
      </c>
      <c r="F282" s="7">
        <f>SUM(F283:F284)</f>
        <v>99.89999999999999</v>
      </c>
      <c r="G282" s="7">
        <f>SUM(G283:G284)</f>
        <v>106.893</v>
      </c>
      <c r="H282" s="7">
        <f>SUM(H283:H284)</f>
        <v>112.77199999999999</v>
      </c>
    </row>
    <row r="283" spans="1:8" ht="12.75">
      <c r="A283" s="116"/>
      <c r="B283" s="48" t="s">
        <v>209</v>
      </c>
      <c r="C283" s="108"/>
      <c r="D283" s="108"/>
      <c r="E283" s="9">
        <f t="shared" si="24"/>
        <v>76.84599999999999</v>
      </c>
      <c r="F283" s="37">
        <v>24.023</v>
      </c>
      <c r="G283" s="9">
        <v>25.705</v>
      </c>
      <c r="H283" s="9">
        <v>27.118</v>
      </c>
    </row>
    <row r="284" spans="1:8" ht="25.5">
      <c r="A284" s="115"/>
      <c r="B284" s="48" t="s">
        <v>275</v>
      </c>
      <c r="C284" s="109"/>
      <c r="D284" s="109"/>
      <c r="E284" s="9">
        <f t="shared" si="24"/>
        <v>242.719</v>
      </c>
      <c r="F284" s="37">
        <v>75.877</v>
      </c>
      <c r="G284" s="9">
        <v>81.188</v>
      </c>
      <c r="H284" s="9">
        <v>85.654</v>
      </c>
    </row>
    <row r="285" spans="1:8" ht="12.75">
      <c r="A285" s="100" t="s">
        <v>85</v>
      </c>
      <c r="B285" s="8"/>
      <c r="C285" s="110" t="s">
        <v>44</v>
      </c>
      <c r="D285" s="110" t="s">
        <v>20</v>
      </c>
      <c r="E285" s="7">
        <f>F285+G285+H285</f>
        <v>119.6305923</v>
      </c>
      <c r="F285" s="7">
        <f>SUM(F286)</f>
        <v>37.398</v>
      </c>
      <c r="G285" s="7">
        <f>SUM(G286)</f>
        <v>40.01586</v>
      </c>
      <c r="H285" s="7">
        <f>SUM(H286)</f>
        <v>42.216732300000004</v>
      </c>
    </row>
    <row r="286" spans="1:8" ht="25.5">
      <c r="A286" s="100"/>
      <c r="B286" s="8" t="s">
        <v>280</v>
      </c>
      <c r="C286" s="110"/>
      <c r="D286" s="110"/>
      <c r="E286" s="9">
        <f>F286+G286+H286</f>
        <v>119.6305923</v>
      </c>
      <c r="F286" s="9">
        <v>37.398</v>
      </c>
      <c r="G286" s="9">
        <f>F286*1.07</f>
        <v>40.01586</v>
      </c>
      <c r="H286" s="9">
        <f>G286*1.055</f>
        <v>42.216732300000004</v>
      </c>
    </row>
    <row r="287" spans="1:8" ht="24.75" customHeight="1">
      <c r="A287" s="112" t="s">
        <v>125</v>
      </c>
      <c r="B287" s="10"/>
      <c r="C287" s="110" t="s">
        <v>44</v>
      </c>
      <c r="D287" s="110" t="s">
        <v>20</v>
      </c>
      <c r="E287" s="7">
        <f>F287+G287+H287</f>
        <v>65.645</v>
      </c>
      <c r="F287" s="7">
        <f>SUM(F288)</f>
        <v>65.645</v>
      </c>
      <c r="G287" s="7">
        <f>SUM(G288)</f>
        <v>0</v>
      </c>
      <c r="H287" s="7">
        <f>SUM(H288)</f>
        <v>0</v>
      </c>
    </row>
    <row r="288" spans="1:8" ht="25.5">
      <c r="A288" s="113"/>
      <c r="B288" s="8" t="s">
        <v>187</v>
      </c>
      <c r="C288" s="110"/>
      <c r="D288" s="110"/>
      <c r="E288" s="9">
        <f t="shared" si="24"/>
        <v>65.645</v>
      </c>
      <c r="F288" s="9">
        <v>65.645</v>
      </c>
      <c r="G288" s="9"/>
      <c r="H288" s="9"/>
    </row>
    <row r="289" spans="1:8" ht="12.75">
      <c r="A289" s="111" t="s">
        <v>90</v>
      </c>
      <c r="B289" s="111"/>
      <c r="C289" s="111"/>
      <c r="D289" s="111"/>
      <c r="E289" s="111"/>
      <c r="F289" s="111"/>
      <c r="G289" s="111"/>
      <c r="H289" s="111"/>
    </row>
    <row r="290" spans="1:8" ht="12.75" customHeight="1">
      <c r="A290" s="112" t="s">
        <v>91</v>
      </c>
      <c r="B290" s="5"/>
      <c r="C290" s="107" t="s">
        <v>19</v>
      </c>
      <c r="D290" s="107" t="s">
        <v>20</v>
      </c>
      <c r="E290" s="7">
        <f>F290+G290+H290</f>
        <v>1030.47410435</v>
      </c>
      <c r="F290" s="7">
        <f>F291+F292</f>
        <v>405.05300000000005</v>
      </c>
      <c r="G290" s="7">
        <f>G291+G292</f>
        <v>304.34117000000003</v>
      </c>
      <c r="H290" s="7">
        <f>H291+H292</f>
        <v>321.07993435000003</v>
      </c>
    </row>
    <row r="291" spans="1:8" ht="67.5" customHeight="1">
      <c r="A291" s="103"/>
      <c r="B291" s="8" t="s">
        <v>92</v>
      </c>
      <c r="C291" s="108"/>
      <c r="D291" s="108"/>
      <c r="E291" s="9">
        <f>F291+G291+H291</f>
        <v>909.8521043500001</v>
      </c>
      <c r="F291" s="9">
        <f>30.832+12.748+90.9+149.951</f>
        <v>284.43100000000004</v>
      </c>
      <c r="G291" s="9">
        <f>F291*1.07</f>
        <v>304.34117000000003</v>
      </c>
      <c r="H291" s="9">
        <f>G291*1.055</f>
        <v>321.07993435000003</v>
      </c>
    </row>
    <row r="292" spans="1:8" ht="25.5">
      <c r="A292" s="113"/>
      <c r="B292" s="8" t="s">
        <v>187</v>
      </c>
      <c r="C292" s="109"/>
      <c r="D292" s="109"/>
      <c r="E292" s="9">
        <f>F292+G292+H292</f>
        <v>120.622</v>
      </c>
      <c r="F292" s="9">
        <f>13.87+106.752</f>
        <v>120.622</v>
      </c>
      <c r="G292" s="9"/>
      <c r="H292" s="9"/>
    </row>
    <row r="293" spans="1:8" ht="12.75" customHeight="1">
      <c r="A293" s="106" t="s">
        <v>93</v>
      </c>
      <c r="B293" s="118"/>
      <c r="C293" s="118"/>
      <c r="D293" s="118"/>
      <c r="E293" s="118"/>
      <c r="F293" s="118"/>
      <c r="G293" s="118"/>
      <c r="H293" s="119"/>
    </row>
    <row r="294" spans="1:8" ht="12.75" customHeight="1">
      <c r="A294" s="114" t="s">
        <v>94</v>
      </c>
      <c r="B294" s="5"/>
      <c r="C294" s="107" t="s">
        <v>19</v>
      </c>
      <c r="D294" s="107" t="s">
        <v>20</v>
      </c>
      <c r="E294" s="7">
        <f>F294+G294+H294</f>
        <v>38500</v>
      </c>
      <c r="F294" s="7">
        <f>SUM(F295:F296)</f>
        <v>38500</v>
      </c>
      <c r="G294" s="7">
        <f>SUM(G295:G296)</f>
        <v>0</v>
      </c>
      <c r="H294" s="7">
        <f>SUM(H295:H296)</f>
        <v>0</v>
      </c>
    </row>
    <row r="295" spans="1:8" ht="51">
      <c r="A295" s="116"/>
      <c r="B295" s="8" t="s">
        <v>130</v>
      </c>
      <c r="C295" s="108"/>
      <c r="D295" s="108"/>
      <c r="E295" s="9">
        <f>F295+G295+H295</f>
        <v>38281.512</v>
      </c>
      <c r="F295" s="9">
        <f>30000-218.488+8500</f>
        <v>38281.512</v>
      </c>
      <c r="G295" s="9"/>
      <c r="H295" s="9"/>
    </row>
    <row r="296" spans="1:8" ht="74.25" customHeight="1">
      <c r="A296" s="115"/>
      <c r="B296" s="90" t="s">
        <v>270</v>
      </c>
      <c r="C296" s="109"/>
      <c r="D296" s="109"/>
      <c r="E296" s="9">
        <f>F296+G296+H296</f>
        <v>218.488</v>
      </c>
      <c r="F296" s="9">
        <v>218.488</v>
      </c>
      <c r="G296" s="9"/>
      <c r="H296" s="9"/>
    </row>
    <row r="297" spans="1:8" ht="12.75">
      <c r="A297" s="111" t="s">
        <v>252</v>
      </c>
      <c r="B297" s="111"/>
      <c r="C297" s="111"/>
      <c r="D297" s="111"/>
      <c r="E297" s="111"/>
      <c r="F297" s="111"/>
      <c r="G297" s="111"/>
      <c r="H297" s="111"/>
    </row>
    <row r="298" spans="1:8" ht="12.75" customHeight="1">
      <c r="A298" s="114" t="s">
        <v>89</v>
      </c>
      <c r="B298" s="5"/>
      <c r="C298" s="107" t="s">
        <v>19</v>
      </c>
      <c r="D298" s="107" t="s">
        <v>20</v>
      </c>
      <c r="E298" s="7">
        <f>F298+G298+H298</f>
        <v>515.01485</v>
      </c>
      <c r="F298" s="7">
        <f>F299</f>
        <v>161</v>
      </c>
      <c r="G298" s="7">
        <f>G299</f>
        <v>172.27</v>
      </c>
      <c r="H298" s="7">
        <f>H299</f>
        <v>181.74485</v>
      </c>
    </row>
    <row r="299" spans="1:8" ht="56.25">
      <c r="A299" s="116"/>
      <c r="B299" s="90" t="s">
        <v>88</v>
      </c>
      <c r="C299" s="108"/>
      <c r="D299" s="108"/>
      <c r="E299" s="9">
        <f>F299+G299+H299</f>
        <v>515.01485</v>
      </c>
      <c r="F299" s="9">
        <v>161</v>
      </c>
      <c r="G299" s="9">
        <f>F299*1.07</f>
        <v>172.27</v>
      </c>
      <c r="H299" s="9">
        <f>G299*1.055</f>
        <v>181.74485</v>
      </c>
    </row>
    <row r="300" spans="1:8" ht="12.75">
      <c r="A300" s="111" t="s">
        <v>253</v>
      </c>
      <c r="B300" s="111"/>
      <c r="C300" s="111"/>
      <c r="D300" s="111"/>
      <c r="E300" s="111"/>
      <c r="F300" s="111"/>
      <c r="G300" s="111"/>
      <c r="H300" s="111"/>
    </row>
    <row r="301" spans="1:8" ht="20.25" customHeight="1">
      <c r="A301" s="117" t="s">
        <v>250</v>
      </c>
      <c r="B301" s="8"/>
      <c r="C301" s="110" t="s">
        <v>19</v>
      </c>
      <c r="D301" s="110" t="s">
        <v>20</v>
      </c>
      <c r="E301" s="7">
        <f>F301+G301+H301</f>
        <v>194.80996499999998</v>
      </c>
      <c r="F301" s="7">
        <f>F302</f>
        <v>60.9</v>
      </c>
      <c r="G301" s="7">
        <f>G302</f>
        <v>65.163</v>
      </c>
      <c r="H301" s="7">
        <f>H302</f>
        <v>68.74696499999999</v>
      </c>
    </row>
    <row r="302" spans="1:8" ht="33.75" customHeight="1">
      <c r="A302" s="117"/>
      <c r="B302" s="8" t="s">
        <v>191</v>
      </c>
      <c r="C302" s="110"/>
      <c r="D302" s="110"/>
      <c r="E302" s="9">
        <f>F302+G302+H302</f>
        <v>194.80996499999998</v>
      </c>
      <c r="F302" s="9">
        <v>60.9</v>
      </c>
      <c r="G302" s="9">
        <f>F302*1.07</f>
        <v>65.163</v>
      </c>
      <c r="H302" s="9">
        <f>G302*1.055</f>
        <v>68.74696499999999</v>
      </c>
    </row>
    <row r="303" spans="1:8" ht="12.75">
      <c r="A303" s="117" t="s">
        <v>271</v>
      </c>
      <c r="B303" s="8"/>
      <c r="C303" s="107" t="s">
        <v>29</v>
      </c>
      <c r="D303" s="107" t="s">
        <v>20</v>
      </c>
      <c r="E303" s="7">
        <v>7.822</v>
      </c>
      <c r="F303" s="7">
        <v>7.822</v>
      </c>
      <c r="G303" s="7">
        <v>0</v>
      </c>
      <c r="H303" s="7">
        <v>0</v>
      </c>
    </row>
    <row r="304" spans="1:8" ht="33.75" customHeight="1">
      <c r="A304" s="117"/>
      <c r="B304" s="8" t="s">
        <v>187</v>
      </c>
      <c r="C304" s="109"/>
      <c r="D304" s="109"/>
      <c r="E304" s="9">
        <v>7.822</v>
      </c>
      <c r="F304" s="9">
        <v>7.822</v>
      </c>
      <c r="G304" s="9"/>
      <c r="H304" s="9"/>
    </row>
    <row r="305" spans="1:8" ht="12.75">
      <c r="A305" s="20" t="s">
        <v>111</v>
      </c>
      <c r="B305" s="20"/>
      <c r="C305" s="5"/>
      <c r="D305" s="5"/>
      <c r="E305" s="7">
        <f>F305+G305+H305</f>
        <v>1551982.4222645005</v>
      </c>
      <c r="F305" s="7">
        <f>F20+F38+F54+F66+F69+F71+F73+F75+F77+F80+F84+F98+F105+F110+F123+F131+F133+F136+F138+F143+F146+F148+F150+F153+F166+F172+F174+F177+F185+F187+F189+F200+F203+F206+F210+F212+F218+F222+F226+F228+F230+F232+F236+F239+F241+F243+F246+F252+F255+F257+F259+F261+F266+F276+F280+F282+F287+F290+F294+F298+F301+F303+F208</f>
        <v>650329.0990000004</v>
      </c>
      <c r="G305" s="7">
        <f>G20+G38+G54+G66+G69+G71+G73+G75+G77+G80+G84+G98+G105+G110+G123+G131+G133+G136+G138+G143+G146+G148+G150+G153+G166+G172+G174+G177+G185+G187+G189+G200+G203+G206+G210+G212+G218+G222+G226+G228+G230+G232+G236+G239+G241+G243+G246+G252+G255+G257+G259+G261+G266+G276+G280+G282+G287+G290+G294+G298+G301+G303</f>
        <v>452803.7569000002</v>
      </c>
      <c r="H305" s="7">
        <f>H20+H38+H54+H66+H69+H71+H73+H75+H77+H80+H84+H98+H105+H110+H123+H131+H133+H136+H138+H143+H146+H148+H150+H153+H166+H172+H174+H177+H185+H187+H189+H200+H203+H206+H210+H212+H218+H222+H226+H228+H230+H232+H236+H239+H241+H243+H246+H252+H255+H257+H259+H261+H266+H276+H280+H282+H287+H290+H294+H298+H301+H303</f>
        <v>448849.56636449986</v>
      </c>
    </row>
    <row r="307" spans="1:9" s="24" customFormat="1" ht="18.75">
      <c r="A307" s="124" t="s">
        <v>112</v>
      </c>
      <c r="B307" s="124"/>
      <c r="C307" s="25"/>
      <c r="D307" s="25"/>
      <c r="E307" s="25"/>
      <c r="F307" s="25"/>
      <c r="G307" s="124" t="s">
        <v>113</v>
      </c>
      <c r="H307" s="124"/>
      <c r="I307" s="25"/>
    </row>
  </sheetData>
  <sheetProtection/>
  <mergeCells count="216">
    <mergeCell ref="A133:A135"/>
    <mergeCell ref="C232:C235"/>
    <mergeCell ref="D172:D173"/>
    <mergeCell ref="A131:A132"/>
    <mergeCell ref="C131:C132"/>
    <mergeCell ref="A73:A74"/>
    <mergeCell ref="C73:C74"/>
    <mergeCell ref="A75:A76"/>
    <mergeCell ref="A79:H79"/>
    <mergeCell ref="F5:H5"/>
    <mergeCell ref="F6:H6"/>
    <mergeCell ref="F7:H7"/>
    <mergeCell ref="A77:A78"/>
    <mergeCell ref="D73:D74"/>
    <mergeCell ref="D77:D78"/>
    <mergeCell ref="A153:A165"/>
    <mergeCell ref="D153:D165"/>
    <mergeCell ref="C153:C165"/>
    <mergeCell ref="C80:C82"/>
    <mergeCell ref="D80:D82"/>
    <mergeCell ref="C77:C78"/>
    <mergeCell ref="A136:A137"/>
    <mergeCell ref="A84:A97"/>
    <mergeCell ref="A80:A82"/>
    <mergeCell ref="C75:C76"/>
    <mergeCell ref="D75:D76"/>
    <mergeCell ref="A200:A202"/>
    <mergeCell ref="D226:D227"/>
    <mergeCell ref="C143:C145"/>
    <mergeCell ref="C200:C202"/>
    <mergeCell ref="C166:C171"/>
    <mergeCell ref="A174:A176"/>
    <mergeCell ref="C175:C176"/>
    <mergeCell ref="C98:C104"/>
    <mergeCell ref="D69:D70"/>
    <mergeCell ref="D236:D238"/>
    <mergeCell ref="D228:D229"/>
    <mergeCell ref="C69:C70"/>
    <mergeCell ref="D143:D145"/>
    <mergeCell ref="D150:D152"/>
    <mergeCell ref="C172:C173"/>
    <mergeCell ref="D138:D142"/>
    <mergeCell ref="C187:C188"/>
    <mergeCell ref="C203:C205"/>
    <mergeCell ref="A228:A229"/>
    <mergeCell ref="A230:A231"/>
    <mergeCell ref="C228:C229"/>
    <mergeCell ref="A150:A152"/>
    <mergeCell ref="A166:A171"/>
    <mergeCell ref="A172:A173"/>
    <mergeCell ref="C150:C152"/>
    <mergeCell ref="A210:A211"/>
    <mergeCell ref="A146:A147"/>
    <mergeCell ref="C138:C142"/>
    <mergeCell ref="A218:A221"/>
    <mergeCell ref="G307:H307"/>
    <mergeCell ref="D266:D273"/>
    <mergeCell ref="D241:D242"/>
    <mergeCell ref="D259:D260"/>
    <mergeCell ref="D252:D254"/>
    <mergeCell ref="D255:D256"/>
    <mergeCell ref="A297:H297"/>
    <mergeCell ref="A307:B307"/>
    <mergeCell ref="A293:H293"/>
    <mergeCell ref="D276:D279"/>
    <mergeCell ref="A303:A304"/>
    <mergeCell ref="D303:D304"/>
    <mergeCell ref="C303:C304"/>
    <mergeCell ref="A54:A65"/>
    <mergeCell ref="A66:A68"/>
    <mergeCell ref="A246:A251"/>
    <mergeCell ref="D239:D240"/>
    <mergeCell ref="C239:C240"/>
    <mergeCell ref="C230:C231"/>
    <mergeCell ref="A232:A235"/>
    <mergeCell ref="A37:H37"/>
    <mergeCell ref="D287:D288"/>
    <mergeCell ref="C266:C273"/>
    <mergeCell ref="D257:D258"/>
    <mergeCell ref="D261:D265"/>
    <mergeCell ref="C38:C52"/>
    <mergeCell ref="A53:H53"/>
    <mergeCell ref="A243:A245"/>
    <mergeCell ref="D71:D72"/>
    <mergeCell ref="D84:D97"/>
    <mergeCell ref="D38:D52"/>
    <mergeCell ref="A83:H83"/>
    <mergeCell ref="C54:C65"/>
    <mergeCell ref="A71:A72"/>
    <mergeCell ref="C71:C72"/>
    <mergeCell ref="D54:D65"/>
    <mergeCell ref="C66:C68"/>
    <mergeCell ref="A69:A70"/>
    <mergeCell ref="A38:A52"/>
    <mergeCell ref="D66:D68"/>
    <mergeCell ref="C252:C254"/>
    <mergeCell ref="A252:A254"/>
    <mergeCell ref="D280:D281"/>
    <mergeCell ref="C261:C265"/>
    <mergeCell ref="C259:C260"/>
    <mergeCell ref="C290:C292"/>
    <mergeCell ref="D290:D292"/>
    <mergeCell ref="A276:A279"/>
    <mergeCell ref="A290:A292"/>
    <mergeCell ref="C287:C288"/>
    <mergeCell ref="D285:D286"/>
    <mergeCell ref="A282:A284"/>
    <mergeCell ref="D282:D284"/>
    <mergeCell ref="C282:C284"/>
    <mergeCell ref="A15:A17"/>
    <mergeCell ref="A222:A225"/>
    <mergeCell ref="A212:A217"/>
    <mergeCell ref="C212:C217"/>
    <mergeCell ref="A148:A149"/>
    <mergeCell ref="A143:A145"/>
    <mergeCell ref="A19:H19"/>
    <mergeCell ref="A20:A36"/>
    <mergeCell ref="C20:C36"/>
    <mergeCell ref="D20:D36"/>
    <mergeCell ref="F9:H9"/>
    <mergeCell ref="C15:C17"/>
    <mergeCell ref="F10:H10"/>
    <mergeCell ref="B15:B17"/>
    <mergeCell ref="E15:H15"/>
    <mergeCell ref="A12:H12"/>
    <mergeCell ref="A13:H13"/>
    <mergeCell ref="E16:E17"/>
    <mergeCell ref="F16:H16"/>
    <mergeCell ref="D15:D17"/>
    <mergeCell ref="C243:C245"/>
    <mergeCell ref="A239:A240"/>
    <mergeCell ref="A105:A109"/>
    <mergeCell ref="D110:D122"/>
    <mergeCell ref="C136:C137"/>
    <mergeCell ref="D136:D137"/>
    <mergeCell ref="D133:D135"/>
    <mergeCell ref="C133:C135"/>
    <mergeCell ref="D131:D132"/>
    <mergeCell ref="D243:D245"/>
    <mergeCell ref="A138:A142"/>
    <mergeCell ref="D200:D202"/>
    <mergeCell ref="C177:C184"/>
    <mergeCell ref="D185:D186"/>
    <mergeCell ref="C185:C186"/>
    <mergeCell ref="A177:A184"/>
    <mergeCell ref="A187:A188"/>
    <mergeCell ref="C189:C199"/>
    <mergeCell ref="A185:A186"/>
    <mergeCell ref="A189:A199"/>
    <mergeCell ref="A287:A288"/>
    <mergeCell ref="A280:A281"/>
    <mergeCell ref="C255:C256"/>
    <mergeCell ref="A255:A256"/>
    <mergeCell ref="C276:C279"/>
    <mergeCell ref="C280:C281"/>
    <mergeCell ref="A266:A273"/>
    <mergeCell ref="A285:A286"/>
    <mergeCell ref="C285:C286"/>
    <mergeCell ref="C257:C258"/>
    <mergeCell ref="D232:D235"/>
    <mergeCell ref="D212:D217"/>
    <mergeCell ref="D203:D205"/>
    <mergeCell ref="D146:D147"/>
    <mergeCell ref="D166:D171"/>
    <mergeCell ref="D189:D199"/>
    <mergeCell ref="D187:D188"/>
    <mergeCell ref="D230:D231"/>
    <mergeCell ref="D298:D299"/>
    <mergeCell ref="C301:C302"/>
    <mergeCell ref="D301:D302"/>
    <mergeCell ref="A300:H300"/>
    <mergeCell ref="A203:A205"/>
    <mergeCell ref="D177:D184"/>
    <mergeCell ref="D175:D176"/>
    <mergeCell ref="C146:C147"/>
    <mergeCell ref="C148:C149"/>
    <mergeCell ref="D123:D130"/>
    <mergeCell ref="D98:D104"/>
    <mergeCell ref="C110:C122"/>
    <mergeCell ref="A110:A122"/>
    <mergeCell ref="D105:D109"/>
    <mergeCell ref="C84:C97"/>
    <mergeCell ref="A98:A104"/>
    <mergeCell ref="C105:C109"/>
    <mergeCell ref="A123:A130"/>
    <mergeCell ref="C123:C130"/>
    <mergeCell ref="A298:A299"/>
    <mergeCell ref="A301:A302"/>
    <mergeCell ref="C298:C299"/>
    <mergeCell ref="A236:A238"/>
    <mergeCell ref="C241:C242"/>
    <mergeCell ref="A294:A296"/>
    <mergeCell ref="C294:C296"/>
    <mergeCell ref="A241:A242"/>
    <mergeCell ref="C236:C238"/>
    <mergeCell ref="A259:A260"/>
    <mergeCell ref="A206:A207"/>
    <mergeCell ref="D246:D251"/>
    <mergeCell ref="C210:C211"/>
    <mergeCell ref="C218:C221"/>
    <mergeCell ref="C206:C207"/>
    <mergeCell ref="D206:D207"/>
    <mergeCell ref="A208:A209"/>
    <mergeCell ref="C208:C209"/>
    <mergeCell ref="D208:D209"/>
    <mergeCell ref="A226:A227"/>
    <mergeCell ref="D294:D296"/>
    <mergeCell ref="C222:C225"/>
    <mergeCell ref="D210:D211"/>
    <mergeCell ref="D218:D221"/>
    <mergeCell ref="A289:H289"/>
    <mergeCell ref="C226:C227"/>
    <mergeCell ref="D222:D225"/>
    <mergeCell ref="A261:A265"/>
    <mergeCell ref="A257:A258"/>
    <mergeCell ref="C246:C251"/>
  </mergeCells>
  <printOptions/>
  <pageMargins left="0.7874015748031497" right="0.3937007874015748" top="1.1811023622047245" bottom="0.7874015748031497" header="0.7874015748031497" footer="0"/>
  <pageSetup fitToHeight="25" fitToWidth="1" horizontalDpi="600" verticalDpi="600" orientation="landscape" paperSize="9" scale="90" r:id="rId1"/>
  <headerFooter alignWithMargins="0">
    <oddHeader>&amp;C&amp;P</oddHeader>
  </headerFooter>
  <rowBreaks count="1" manualBreakCount="1">
    <brk id="28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5:F27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6.00390625" style="11" customWidth="1"/>
    <col min="2" max="2" width="27.28125" style="11" customWidth="1"/>
    <col min="3" max="3" width="17.28125" style="11" customWidth="1"/>
    <col min="4" max="4" width="17.8515625" style="11" customWidth="1"/>
    <col min="5" max="5" width="16.7109375" style="11" customWidth="1"/>
    <col min="6" max="6" width="9.57421875" style="11" bestFit="1" customWidth="1"/>
    <col min="7" max="16384" width="9.140625" style="11" customWidth="1"/>
  </cols>
  <sheetData>
    <row r="5" spans="4:5" ht="18.75">
      <c r="D5" s="124" t="s">
        <v>276</v>
      </c>
      <c r="E5" s="124"/>
    </row>
    <row r="6" spans="4:5" ht="18.75">
      <c r="D6" s="124" t="s">
        <v>277</v>
      </c>
      <c r="E6" s="124"/>
    </row>
    <row r="7" spans="4:5" ht="18.75">
      <c r="D7" s="155" t="s">
        <v>284</v>
      </c>
      <c r="E7" s="124"/>
    </row>
    <row r="9" spans="4:6" ht="18.75" customHeight="1">
      <c r="D9" s="26" t="s">
        <v>18</v>
      </c>
      <c r="E9" s="26"/>
      <c r="F9" s="24"/>
    </row>
    <row r="10" spans="4:6" ht="94.5" customHeight="1">
      <c r="D10" s="128" t="s">
        <v>169</v>
      </c>
      <c r="E10" s="128"/>
      <c r="F10" s="24"/>
    </row>
    <row r="12" spans="1:5" s="26" customFormat="1" ht="18.75">
      <c r="A12" s="131" t="s">
        <v>22</v>
      </c>
      <c r="B12" s="131"/>
      <c r="C12" s="131"/>
      <c r="D12" s="131"/>
      <c r="E12" s="131"/>
    </row>
    <row r="13" spans="1:5" s="26" customFormat="1" ht="18.75">
      <c r="A13" s="132" t="s">
        <v>170</v>
      </c>
      <c r="B13" s="132"/>
      <c r="C13" s="132"/>
      <c r="D13" s="132"/>
      <c r="E13" s="132"/>
    </row>
    <row r="14" spans="1:5" ht="12.75">
      <c r="A14" s="12"/>
      <c r="B14" s="12"/>
      <c r="C14" s="12"/>
      <c r="D14" s="12"/>
      <c r="E14" s="12"/>
    </row>
    <row r="15" spans="1:5" ht="12.75">
      <c r="A15" s="130"/>
      <c r="B15" s="130" t="s">
        <v>8</v>
      </c>
      <c r="C15" s="130" t="s">
        <v>9</v>
      </c>
      <c r="D15" s="130"/>
      <c r="E15" s="130"/>
    </row>
    <row r="16" spans="1:5" ht="12.75">
      <c r="A16" s="130"/>
      <c r="B16" s="130"/>
      <c r="C16" s="13">
        <v>2015</v>
      </c>
      <c r="D16" s="13">
        <v>2016</v>
      </c>
      <c r="E16" s="13">
        <v>2017</v>
      </c>
    </row>
    <row r="17" spans="1:5" s="12" customFormat="1" ht="12.75">
      <c r="A17" s="13">
        <v>1</v>
      </c>
      <c r="B17" s="13">
        <v>2</v>
      </c>
      <c r="C17" s="13">
        <v>3</v>
      </c>
      <c r="D17" s="13">
        <v>4</v>
      </c>
      <c r="E17" s="13">
        <v>5</v>
      </c>
    </row>
    <row r="18" spans="1:6" ht="12.75">
      <c r="A18" s="14" t="s">
        <v>126</v>
      </c>
      <c r="B18" s="15">
        <f>C18+D18+E18</f>
        <v>1551982.4222645005</v>
      </c>
      <c r="C18" s="15">
        <f>'додаток 1'!F305</f>
        <v>650329.0990000004</v>
      </c>
      <c r="D18" s="15">
        <f>'додаток 1'!G305</f>
        <v>452803.7569000002</v>
      </c>
      <c r="E18" s="15">
        <f>'додаток 1'!H305</f>
        <v>448849.56636449986</v>
      </c>
      <c r="F18" s="16"/>
    </row>
    <row r="19" spans="1:6" ht="12.75">
      <c r="A19" s="14" t="s">
        <v>127</v>
      </c>
      <c r="B19" s="15"/>
      <c r="C19" s="15"/>
      <c r="D19" s="15"/>
      <c r="E19" s="15"/>
      <c r="F19" s="16"/>
    </row>
    <row r="20" spans="1:6" s="29" customFormat="1" ht="12.75">
      <c r="A20" s="30" t="s">
        <v>128</v>
      </c>
      <c r="B20" s="27">
        <f>C20+D20+E20</f>
        <v>769.7680651499999</v>
      </c>
      <c r="C20" s="27">
        <f>158.034+30+52.605</f>
        <v>240.63899999999998</v>
      </c>
      <c r="D20" s="27">
        <f>C20*1.07</f>
        <v>257.48373</v>
      </c>
      <c r="E20" s="27">
        <f>D20*1.055</f>
        <v>271.64533514999994</v>
      </c>
      <c r="F20" s="28"/>
    </row>
    <row r="21" spans="1:5" ht="12.75">
      <c r="A21" s="14" t="s">
        <v>10</v>
      </c>
      <c r="B21" s="15">
        <f>C21+D21+E21</f>
        <v>0</v>
      </c>
      <c r="C21" s="15"/>
      <c r="D21" s="15"/>
      <c r="E21" s="15"/>
    </row>
    <row r="22" spans="1:5" ht="12.75">
      <c r="A22" s="14" t="s">
        <v>11</v>
      </c>
      <c r="B22" s="15">
        <f>C22+D22+E22</f>
        <v>0</v>
      </c>
      <c r="C22" s="13"/>
      <c r="D22" s="15"/>
      <c r="E22" s="15"/>
    </row>
    <row r="23" spans="1:5" ht="12.75" customHeight="1">
      <c r="A23" s="14" t="s">
        <v>62</v>
      </c>
      <c r="B23" s="15">
        <f>C23+D23+E23</f>
        <v>0</v>
      </c>
      <c r="C23" s="13"/>
      <c r="D23" s="17"/>
      <c r="E23" s="17"/>
    </row>
    <row r="24" spans="1:5" ht="19.5" customHeight="1">
      <c r="A24" s="14" t="s">
        <v>12</v>
      </c>
      <c r="B24" s="15">
        <f>B18+B21+B22+B23</f>
        <v>1551982.4222645005</v>
      </c>
      <c r="C24" s="15">
        <f>C18+C21+C22+C23</f>
        <v>650329.0990000004</v>
      </c>
      <c r="D24" s="15">
        <f>D18+D21+D22+D23</f>
        <v>452803.7569000002</v>
      </c>
      <c r="E24" s="15">
        <f>E18+E21+E22+E23</f>
        <v>448849.56636449986</v>
      </c>
    </row>
    <row r="27" spans="1:5" s="26" customFormat="1" ht="18.75">
      <c r="A27" s="26" t="s">
        <v>112</v>
      </c>
      <c r="D27" s="129" t="s">
        <v>113</v>
      </c>
      <c r="E27" s="129"/>
    </row>
  </sheetData>
  <sheetProtection/>
  <mergeCells count="10">
    <mergeCell ref="D27:E27"/>
    <mergeCell ref="A15:A16"/>
    <mergeCell ref="C15:E15"/>
    <mergeCell ref="A12:E12"/>
    <mergeCell ref="A13:E13"/>
    <mergeCell ref="B15:B16"/>
    <mergeCell ref="D5:E5"/>
    <mergeCell ref="D6:E6"/>
    <mergeCell ref="D7:E7"/>
    <mergeCell ref="D10:E10"/>
  </mergeCells>
  <printOptions/>
  <pageMargins left="1.1811023622047245" right="0.3937007874015748" top="0.7874015748031497" bottom="0.7874015748031497" header="0" footer="0"/>
  <pageSetup horizontalDpi="600" verticalDpi="600" orientation="landscape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5:H320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36.7109375" style="35" customWidth="1"/>
    <col min="2" max="2" width="28.00390625" style="34" customWidth="1"/>
    <col min="3" max="3" width="9.140625" style="4" customWidth="1"/>
    <col min="4" max="4" width="16.421875" style="34" customWidth="1"/>
    <col min="5" max="5" width="16.7109375" style="34" customWidth="1"/>
    <col min="6" max="6" width="15.140625" style="34" customWidth="1"/>
    <col min="7" max="7" width="16.140625" style="34" customWidth="1"/>
    <col min="8" max="8" width="0.13671875" style="34" customWidth="1"/>
    <col min="9" max="16384" width="9.140625" style="34" customWidth="1"/>
  </cols>
  <sheetData>
    <row r="5" spans="5:6" ht="18.75">
      <c r="E5" s="124" t="s">
        <v>276</v>
      </c>
      <c r="F5" s="124"/>
    </row>
    <row r="6" spans="5:6" ht="18.75">
      <c r="E6" s="124" t="s">
        <v>277</v>
      </c>
      <c r="F6" s="124"/>
    </row>
    <row r="7" spans="5:6" ht="18.75">
      <c r="E7" s="155" t="s">
        <v>284</v>
      </c>
      <c r="F7" s="124"/>
    </row>
    <row r="9" spans="1:7" ht="18.75">
      <c r="A9" s="34"/>
      <c r="E9" s="137" t="s">
        <v>59</v>
      </c>
      <c r="F9" s="137"/>
      <c r="G9" s="137"/>
    </row>
    <row r="10" spans="1:7" ht="54" customHeight="1">
      <c r="A10" s="34"/>
      <c r="E10" s="137" t="s">
        <v>171</v>
      </c>
      <c r="F10" s="137"/>
      <c r="G10" s="137"/>
    </row>
    <row r="11" ht="12.75">
      <c r="A11" s="34"/>
    </row>
    <row r="12" spans="1:7" s="32" customFormat="1" ht="18.75">
      <c r="A12" s="139" t="s">
        <v>21</v>
      </c>
      <c r="B12" s="139"/>
      <c r="C12" s="139"/>
      <c r="D12" s="139"/>
      <c r="E12" s="139"/>
      <c r="F12" s="139"/>
      <c r="G12" s="139"/>
    </row>
    <row r="13" spans="1:7" s="32" customFormat="1" ht="18.75">
      <c r="A13" s="138" t="s">
        <v>172</v>
      </c>
      <c r="B13" s="138"/>
      <c r="C13" s="138"/>
      <c r="D13" s="138"/>
      <c r="E13" s="138"/>
      <c r="F13" s="138"/>
      <c r="G13" s="138"/>
    </row>
    <row r="15" spans="1:8" ht="12.75">
      <c r="A15" s="101" t="s">
        <v>0</v>
      </c>
      <c r="B15" s="101" t="s">
        <v>13</v>
      </c>
      <c r="C15" s="101" t="s">
        <v>14</v>
      </c>
      <c r="D15" s="101" t="s">
        <v>17</v>
      </c>
      <c r="E15" s="101"/>
      <c r="F15" s="101"/>
      <c r="G15" s="101"/>
      <c r="H15" s="36"/>
    </row>
    <row r="16" spans="1:8" ht="12.75">
      <c r="A16" s="101"/>
      <c r="B16" s="101"/>
      <c r="C16" s="101"/>
      <c r="D16" s="101" t="s">
        <v>15</v>
      </c>
      <c r="E16" s="101" t="s">
        <v>16</v>
      </c>
      <c r="F16" s="101"/>
      <c r="G16" s="101"/>
      <c r="H16" s="36"/>
    </row>
    <row r="17" spans="1:8" ht="24" customHeight="1">
      <c r="A17" s="101"/>
      <c r="B17" s="101"/>
      <c r="C17" s="101"/>
      <c r="D17" s="101"/>
      <c r="E17" s="3">
        <v>2015</v>
      </c>
      <c r="F17" s="3">
        <v>2016</v>
      </c>
      <c r="G17" s="3">
        <v>2017</v>
      </c>
      <c r="H17" s="36"/>
    </row>
    <row r="18" spans="1:8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/>
    </row>
    <row r="19" spans="1:8" s="4" customFormat="1" ht="12.75">
      <c r="A19" s="111" t="s">
        <v>102</v>
      </c>
      <c r="B19" s="140"/>
      <c r="C19" s="140"/>
      <c r="D19" s="140"/>
      <c r="E19" s="140"/>
      <c r="F19" s="140"/>
      <c r="G19" s="140"/>
      <c r="H19" s="140"/>
    </row>
    <row r="20" spans="1:8" s="4" customFormat="1" ht="12.75">
      <c r="A20" s="110" t="s">
        <v>49</v>
      </c>
      <c r="B20" s="110"/>
      <c r="C20" s="110"/>
      <c r="D20" s="110"/>
      <c r="E20" s="110"/>
      <c r="F20" s="110"/>
      <c r="G20" s="110"/>
      <c r="H20" s="3"/>
    </row>
    <row r="21" spans="1:8" s="4" customFormat="1" ht="25.5" customHeight="1">
      <c r="A21" s="114" t="s">
        <v>108</v>
      </c>
      <c r="B21" s="145" t="s">
        <v>136</v>
      </c>
      <c r="C21" s="6" t="s">
        <v>114</v>
      </c>
      <c r="D21" s="18">
        <f>E21+F21+G21</f>
        <v>132</v>
      </c>
      <c r="E21" s="6">
        <v>47</v>
      </c>
      <c r="F21" s="6">
        <v>40</v>
      </c>
      <c r="G21" s="6">
        <v>45</v>
      </c>
      <c r="H21" s="3"/>
    </row>
    <row r="22" spans="1:8" s="4" customFormat="1" ht="12.75">
      <c r="A22" s="116"/>
      <c r="B22" s="146"/>
      <c r="C22" s="6" t="s">
        <v>115</v>
      </c>
      <c r="D22" s="9">
        <f aca="true" t="shared" si="0" ref="D22:D37">E22+F22+G22</f>
        <v>562.94</v>
      </c>
      <c r="E22" s="6">
        <v>206.24</v>
      </c>
      <c r="F22" s="6">
        <v>167.86</v>
      </c>
      <c r="G22" s="6">
        <v>188.84</v>
      </c>
      <c r="H22" s="3"/>
    </row>
    <row r="23" spans="1:8" s="4" customFormat="1" ht="25.5">
      <c r="A23" s="116"/>
      <c r="B23" s="8" t="s">
        <v>135</v>
      </c>
      <c r="C23" s="6" t="s">
        <v>115</v>
      </c>
      <c r="D23" s="9">
        <f t="shared" si="0"/>
        <v>233.296</v>
      </c>
      <c r="E23" s="6">
        <v>128.411</v>
      </c>
      <c r="F23" s="6">
        <v>48.995</v>
      </c>
      <c r="G23" s="6">
        <v>55.89</v>
      </c>
      <c r="H23" s="3"/>
    </row>
    <row r="24" spans="1:8" s="4" customFormat="1" ht="25.5">
      <c r="A24" s="116"/>
      <c r="B24" s="8" t="s">
        <v>137</v>
      </c>
      <c r="C24" s="6" t="s">
        <v>149</v>
      </c>
      <c r="D24" s="9">
        <f t="shared" si="0"/>
        <v>78.55699999999999</v>
      </c>
      <c r="E24" s="37">
        <v>39.631</v>
      </c>
      <c r="F24" s="6">
        <v>18.026</v>
      </c>
      <c r="G24" s="6">
        <v>20.9</v>
      </c>
      <c r="H24" s="3"/>
    </row>
    <row r="25" spans="1:8" s="4" customFormat="1" ht="38.25">
      <c r="A25" s="116"/>
      <c r="B25" s="8" t="s">
        <v>173</v>
      </c>
      <c r="C25" s="6" t="s">
        <v>50</v>
      </c>
      <c r="D25" s="18">
        <f t="shared" si="0"/>
        <v>521</v>
      </c>
      <c r="E25" s="23">
        <v>521</v>
      </c>
      <c r="F25" s="6"/>
      <c r="G25" s="6"/>
      <c r="H25" s="3"/>
    </row>
    <row r="26" spans="1:8" s="4" customFormat="1" ht="25.5">
      <c r="A26" s="116"/>
      <c r="B26" s="45" t="s">
        <v>174</v>
      </c>
      <c r="C26" s="6" t="s">
        <v>149</v>
      </c>
      <c r="D26" s="9">
        <f>E26+F26+G26</f>
        <v>102.728</v>
      </c>
      <c r="E26" s="6">
        <v>102.728</v>
      </c>
      <c r="F26" s="6"/>
      <c r="G26" s="6"/>
      <c r="H26" s="3"/>
    </row>
    <row r="27" spans="1:8" s="4" customFormat="1" ht="12.75">
      <c r="A27" s="116"/>
      <c r="B27" s="8" t="s">
        <v>138</v>
      </c>
      <c r="C27" s="6" t="s">
        <v>50</v>
      </c>
      <c r="D27" s="18">
        <f t="shared" si="0"/>
        <v>249</v>
      </c>
      <c r="E27" s="6">
        <v>21</v>
      </c>
      <c r="F27" s="6">
        <v>162</v>
      </c>
      <c r="G27" s="6">
        <v>66</v>
      </c>
      <c r="H27" s="3"/>
    </row>
    <row r="28" spans="1:8" s="4" customFormat="1" ht="21" customHeight="1">
      <c r="A28" s="116"/>
      <c r="B28" s="145" t="s">
        <v>139</v>
      </c>
      <c r="C28" s="6" t="s">
        <v>50</v>
      </c>
      <c r="D28" s="18">
        <f t="shared" si="0"/>
        <v>962</v>
      </c>
      <c r="E28" s="6">
        <v>359</v>
      </c>
      <c r="F28" s="6">
        <v>375</v>
      </c>
      <c r="G28" s="6">
        <v>228</v>
      </c>
      <c r="H28" s="3"/>
    </row>
    <row r="29" spans="1:8" s="4" customFormat="1" ht="18" customHeight="1">
      <c r="A29" s="116"/>
      <c r="B29" s="146"/>
      <c r="C29" s="6" t="s">
        <v>235</v>
      </c>
      <c r="D29" s="18">
        <f t="shared" si="0"/>
        <v>2012</v>
      </c>
      <c r="E29" s="6">
        <v>2012</v>
      </c>
      <c r="F29" s="6"/>
      <c r="G29" s="6"/>
      <c r="H29" s="3"/>
    </row>
    <row r="30" spans="1:8" s="4" customFormat="1" ht="38.25">
      <c r="A30" s="116"/>
      <c r="B30" s="8" t="s">
        <v>175</v>
      </c>
      <c r="C30" s="6" t="s">
        <v>50</v>
      </c>
      <c r="D30" s="18">
        <f t="shared" si="0"/>
        <v>10</v>
      </c>
      <c r="E30" s="6">
        <v>10</v>
      </c>
      <c r="F30" s="6"/>
      <c r="G30" s="6"/>
      <c r="H30" s="3"/>
    </row>
    <row r="31" spans="1:8" s="4" customFormat="1" ht="12.75">
      <c r="A31" s="116"/>
      <c r="B31" s="8" t="s">
        <v>140</v>
      </c>
      <c r="C31" s="6" t="s">
        <v>50</v>
      </c>
      <c r="D31" s="18">
        <f t="shared" si="0"/>
        <v>55</v>
      </c>
      <c r="E31" s="6">
        <v>9</v>
      </c>
      <c r="F31" s="6">
        <v>23</v>
      </c>
      <c r="G31" s="6">
        <v>23</v>
      </c>
      <c r="H31" s="3"/>
    </row>
    <row r="32" spans="1:8" s="4" customFormat="1" ht="12.75">
      <c r="A32" s="116"/>
      <c r="B32" s="8" t="s">
        <v>141</v>
      </c>
      <c r="C32" s="6" t="s">
        <v>50</v>
      </c>
      <c r="D32" s="18">
        <f t="shared" si="0"/>
        <v>264</v>
      </c>
      <c r="E32" s="6">
        <v>32</v>
      </c>
      <c r="F32" s="6">
        <v>116</v>
      </c>
      <c r="G32" s="6">
        <v>116</v>
      </c>
      <c r="H32" s="3"/>
    </row>
    <row r="33" spans="1:8" s="4" customFormat="1" ht="38.25">
      <c r="A33" s="116"/>
      <c r="B33" s="8" t="s">
        <v>142</v>
      </c>
      <c r="C33" s="6" t="s">
        <v>114</v>
      </c>
      <c r="D33" s="18">
        <f t="shared" si="0"/>
        <v>52</v>
      </c>
      <c r="E33" s="6">
        <v>7</v>
      </c>
      <c r="F33" s="6">
        <v>20</v>
      </c>
      <c r="G33" s="6">
        <v>25</v>
      </c>
      <c r="H33" s="3"/>
    </row>
    <row r="34" spans="1:8" s="4" customFormat="1" ht="25.5">
      <c r="A34" s="116"/>
      <c r="B34" s="8" t="s">
        <v>151</v>
      </c>
      <c r="C34" s="6" t="s">
        <v>114</v>
      </c>
      <c r="D34" s="18">
        <f t="shared" si="0"/>
        <v>12</v>
      </c>
      <c r="E34" s="6">
        <v>2</v>
      </c>
      <c r="F34" s="6">
        <v>4</v>
      </c>
      <c r="G34" s="6">
        <v>6</v>
      </c>
      <c r="H34" s="3"/>
    </row>
    <row r="35" spans="1:8" s="4" customFormat="1" ht="12.75">
      <c r="A35" s="116"/>
      <c r="B35" s="8" t="s">
        <v>152</v>
      </c>
      <c r="C35" s="6" t="s">
        <v>50</v>
      </c>
      <c r="D35" s="18">
        <f t="shared" si="0"/>
        <v>7</v>
      </c>
      <c r="E35" s="6">
        <v>5</v>
      </c>
      <c r="F35" s="6">
        <v>2</v>
      </c>
      <c r="G35" s="6"/>
      <c r="H35" s="3"/>
    </row>
    <row r="36" spans="1:8" s="4" customFormat="1" ht="38.25">
      <c r="A36" s="116"/>
      <c r="B36" s="8" t="s">
        <v>143</v>
      </c>
      <c r="C36" s="6" t="s">
        <v>114</v>
      </c>
      <c r="D36" s="18">
        <f t="shared" si="0"/>
        <v>19</v>
      </c>
      <c r="E36" s="6">
        <v>5</v>
      </c>
      <c r="F36" s="6">
        <v>7</v>
      </c>
      <c r="G36" s="6">
        <v>7</v>
      </c>
      <c r="H36" s="3"/>
    </row>
    <row r="37" spans="1:8" s="4" customFormat="1" ht="25.5">
      <c r="A37" s="116"/>
      <c r="B37" s="8" t="s">
        <v>144</v>
      </c>
      <c r="C37" s="6" t="s">
        <v>114</v>
      </c>
      <c r="D37" s="18">
        <f t="shared" si="0"/>
        <v>211</v>
      </c>
      <c r="E37" s="6">
        <v>51</v>
      </c>
      <c r="F37" s="6">
        <v>80</v>
      </c>
      <c r="G37" s="6">
        <v>80</v>
      </c>
      <c r="H37" s="3"/>
    </row>
    <row r="38" spans="1:8" s="4" customFormat="1" ht="38.25">
      <c r="A38" s="115"/>
      <c r="B38" s="8" t="s">
        <v>176</v>
      </c>
      <c r="C38" s="6" t="s">
        <v>118</v>
      </c>
      <c r="D38" s="9">
        <f>E38+F38+G38</f>
        <v>13266.967</v>
      </c>
      <c r="E38" s="9">
        <f>42.142+13119.236+105.589</f>
        <v>13266.967</v>
      </c>
      <c r="F38" s="6"/>
      <c r="G38" s="6"/>
      <c r="H38" s="3"/>
    </row>
    <row r="39" spans="1:8" s="4" customFormat="1" ht="12.75">
      <c r="A39" s="111" t="s">
        <v>104</v>
      </c>
      <c r="B39" s="140"/>
      <c r="C39" s="140"/>
      <c r="D39" s="140"/>
      <c r="E39" s="140"/>
      <c r="F39" s="140"/>
      <c r="G39" s="140"/>
      <c r="H39" s="140"/>
    </row>
    <row r="40" spans="1:8" s="4" customFormat="1" ht="12.75">
      <c r="A40" s="110" t="s">
        <v>49</v>
      </c>
      <c r="B40" s="110"/>
      <c r="C40" s="110"/>
      <c r="D40" s="110"/>
      <c r="E40" s="110"/>
      <c r="F40" s="110"/>
      <c r="G40" s="110"/>
      <c r="H40" s="3"/>
    </row>
    <row r="41" spans="1:8" s="4" customFormat="1" ht="52.5" customHeight="1">
      <c r="A41" s="114" t="s">
        <v>109</v>
      </c>
      <c r="B41" s="8" t="s">
        <v>145</v>
      </c>
      <c r="C41" s="6" t="s">
        <v>115</v>
      </c>
      <c r="D41" s="9">
        <f>E41+F41+G41</f>
        <v>142.857</v>
      </c>
      <c r="E41" s="37">
        <v>142.857</v>
      </c>
      <c r="F41" s="6"/>
      <c r="G41" s="6"/>
      <c r="H41" s="3"/>
    </row>
    <row r="42" spans="1:8" s="4" customFormat="1" ht="89.25">
      <c r="A42" s="116"/>
      <c r="B42" s="8" t="s">
        <v>146</v>
      </c>
      <c r="C42" s="6" t="s">
        <v>117</v>
      </c>
      <c r="D42" s="18">
        <v>7</v>
      </c>
      <c r="E42" s="6">
        <v>7</v>
      </c>
      <c r="F42" s="6">
        <v>7</v>
      </c>
      <c r="G42" s="6">
        <v>7</v>
      </c>
      <c r="H42" s="3"/>
    </row>
    <row r="43" spans="1:8" s="4" customFormat="1" ht="63.75">
      <c r="A43" s="116"/>
      <c r="B43" s="8" t="s">
        <v>180</v>
      </c>
      <c r="C43" s="6" t="s">
        <v>50</v>
      </c>
      <c r="D43" s="18">
        <f aca="true" t="shared" si="1" ref="D43:D54">E43+F43+G43</f>
        <v>16058</v>
      </c>
      <c r="E43" s="6">
        <v>4633</v>
      </c>
      <c r="F43" s="6">
        <v>5700</v>
      </c>
      <c r="G43" s="6">
        <v>5725</v>
      </c>
      <c r="H43" s="3"/>
    </row>
    <row r="44" spans="1:8" s="4" customFormat="1" ht="38.25">
      <c r="A44" s="116"/>
      <c r="B44" s="36" t="s">
        <v>259</v>
      </c>
      <c r="C44" s="6" t="s">
        <v>50</v>
      </c>
      <c r="D44" s="18">
        <v>11</v>
      </c>
      <c r="E44" s="6">
        <v>11</v>
      </c>
      <c r="F44" s="6"/>
      <c r="G44" s="6"/>
      <c r="H44" s="3"/>
    </row>
    <row r="45" spans="1:8" s="4" customFormat="1" ht="38.25">
      <c r="A45" s="116"/>
      <c r="B45" s="36" t="s">
        <v>254</v>
      </c>
      <c r="C45" s="6" t="s">
        <v>24</v>
      </c>
      <c r="D45" s="18">
        <f>E45</f>
        <v>606</v>
      </c>
      <c r="E45" s="6">
        <v>606</v>
      </c>
      <c r="F45" s="6"/>
      <c r="G45" s="6"/>
      <c r="H45" s="3"/>
    </row>
    <row r="46" spans="1:8" s="4" customFormat="1" ht="38.25">
      <c r="A46" s="116"/>
      <c r="B46" s="36" t="s">
        <v>255</v>
      </c>
      <c r="C46" s="6" t="s">
        <v>24</v>
      </c>
      <c r="D46" s="19">
        <f>E46</f>
        <v>1268.11</v>
      </c>
      <c r="E46" s="6">
        <v>1268.11</v>
      </c>
      <c r="F46" s="6"/>
      <c r="G46" s="6"/>
      <c r="H46" s="3"/>
    </row>
    <row r="47" spans="1:8" s="4" customFormat="1" ht="38.25">
      <c r="A47" s="116"/>
      <c r="B47" s="36" t="s">
        <v>181</v>
      </c>
      <c r="C47" s="6" t="s">
        <v>24</v>
      </c>
      <c r="D47" s="43">
        <f t="shared" si="1"/>
        <v>822.8</v>
      </c>
      <c r="E47" s="6">
        <v>822.8</v>
      </c>
      <c r="F47" s="6"/>
      <c r="G47" s="6"/>
      <c r="H47" s="3"/>
    </row>
    <row r="48" spans="1:8" s="4" customFormat="1" ht="38.25">
      <c r="A48" s="116"/>
      <c r="B48" s="36" t="s">
        <v>182</v>
      </c>
      <c r="C48" s="6" t="s">
        <v>24</v>
      </c>
      <c r="D48" s="43">
        <f t="shared" si="1"/>
        <v>636.9</v>
      </c>
      <c r="E48" s="6">
        <v>636.9</v>
      </c>
      <c r="F48" s="6"/>
      <c r="G48" s="6"/>
      <c r="H48" s="3"/>
    </row>
    <row r="49" spans="1:8" s="4" customFormat="1" ht="51">
      <c r="A49" s="116"/>
      <c r="B49" s="36" t="s">
        <v>183</v>
      </c>
      <c r="C49" s="6" t="s">
        <v>24</v>
      </c>
      <c r="D49" s="43">
        <f t="shared" si="1"/>
        <v>2019.2</v>
      </c>
      <c r="E49" s="6">
        <v>2019.2</v>
      </c>
      <c r="F49" s="6"/>
      <c r="G49" s="6"/>
      <c r="H49" s="3"/>
    </row>
    <row r="50" spans="1:8" s="4" customFormat="1" ht="38.25">
      <c r="A50" s="116"/>
      <c r="B50" s="36" t="s">
        <v>184</v>
      </c>
      <c r="C50" s="6" t="s">
        <v>24</v>
      </c>
      <c r="D50" s="43">
        <f t="shared" si="1"/>
        <v>601.7</v>
      </c>
      <c r="E50" s="6">
        <v>601.7</v>
      </c>
      <c r="F50" s="6"/>
      <c r="G50" s="6"/>
      <c r="H50" s="3"/>
    </row>
    <row r="51" spans="1:8" s="4" customFormat="1" ht="38.25">
      <c r="A51" s="116"/>
      <c r="B51" s="36" t="s">
        <v>272</v>
      </c>
      <c r="C51" s="6" t="s">
        <v>24</v>
      </c>
      <c r="D51" s="43">
        <v>250</v>
      </c>
      <c r="E51" s="42">
        <v>250</v>
      </c>
      <c r="F51" s="6"/>
      <c r="G51" s="6"/>
      <c r="H51" s="3"/>
    </row>
    <row r="52" spans="1:8" s="4" customFormat="1" ht="102">
      <c r="A52" s="116"/>
      <c r="B52" s="8" t="s">
        <v>177</v>
      </c>
      <c r="C52" s="6" t="s">
        <v>118</v>
      </c>
      <c r="D52" s="9">
        <f t="shared" si="1"/>
        <v>28.728</v>
      </c>
      <c r="E52" s="9">
        <v>28.728</v>
      </c>
      <c r="F52" s="6"/>
      <c r="G52" s="6"/>
      <c r="H52" s="3"/>
    </row>
    <row r="53" spans="1:8" s="4" customFormat="1" ht="102">
      <c r="A53" s="116"/>
      <c r="B53" s="8" t="s">
        <v>178</v>
      </c>
      <c r="C53" s="6" t="s">
        <v>118</v>
      </c>
      <c r="D53" s="9">
        <f t="shared" si="1"/>
        <v>90.514</v>
      </c>
      <c r="E53" s="9">
        <v>90.514</v>
      </c>
      <c r="F53" s="6"/>
      <c r="G53" s="6"/>
      <c r="H53" s="3"/>
    </row>
    <row r="54" spans="1:8" s="4" customFormat="1" ht="63.75">
      <c r="A54" s="116"/>
      <c r="B54" s="8" t="s">
        <v>179</v>
      </c>
      <c r="C54" s="6" t="s">
        <v>118</v>
      </c>
      <c r="D54" s="9">
        <f t="shared" si="1"/>
        <v>1.398</v>
      </c>
      <c r="E54" s="9">
        <v>1.398</v>
      </c>
      <c r="F54" s="6"/>
      <c r="G54" s="6"/>
      <c r="H54" s="3"/>
    </row>
    <row r="55" spans="1:8" s="4" customFormat="1" ht="12.75">
      <c r="A55" s="111" t="s">
        <v>105</v>
      </c>
      <c r="B55" s="140"/>
      <c r="C55" s="140"/>
      <c r="D55" s="140"/>
      <c r="E55" s="140"/>
      <c r="F55" s="140"/>
      <c r="G55" s="140"/>
      <c r="H55" s="140"/>
    </row>
    <row r="56" spans="1:8" s="4" customFormat="1" ht="12.75">
      <c r="A56" s="110" t="s">
        <v>49</v>
      </c>
      <c r="B56" s="110"/>
      <c r="C56" s="110"/>
      <c r="D56" s="110"/>
      <c r="E56" s="110"/>
      <c r="F56" s="110"/>
      <c r="G56" s="110"/>
      <c r="H56" s="3"/>
    </row>
    <row r="57" spans="1:8" s="4" customFormat="1" ht="12.75" customHeight="1">
      <c r="A57" s="114" t="s">
        <v>110</v>
      </c>
      <c r="B57" s="6"/>
      <c r="C57" s="6"/>
      <c r="D57" s="6"/>
      <c r="E57" s="6"/>
      <c r="F57" s="6"/>
      <c r="G57" s="6"/>
      <c r="H57" s="3"/>
    </row>
    <row r="58" spans="1:8" s="4" customFormat="1" ht="38.25">
      <c r="A58" s="116"/>
      <c r="B58" s="8" t="s">
        <v>147</v>
      </c>
      <c r="C58" s="6" t="s">
        <v>119</v>
      </c>
      <c r="D58" s="18">
        <f>E58+F58+G58</f>
        <v>163</v>
      </c>
      <c r="E58" s="6">
        <v>142</v>
      </c>
      <c r="F58" s="6">
        <v>19</v>
      </c>
      <c r="G58" s="6">
        <v>2</v>
      </c>
      <c r="H58" s="3"/>
    </row>
    <row r="59" spans="1:8" s="4" customFormat="1" ht="38.25">
      <c r="A59" s="116"/>
      <c r="B59" s="8" t="s">
        <v>185</v>
      </c>
      <c r="C59" s="6" t="s">
        <v>118</v>
      </c>
      <c r="D59" s="9">
        <f>E59</f>
        <v>3773.215</v>
      </c>
      <c r="E59" s="9">
        <v>3773.215</v>
      </c>
      <c r="F59" s="6"/>
      <c r="G59" s="6"/>
      <c r="H59" s="3"/>
    </row>
    <row r="60" spans="1:8" s="4" customFormat="1" ht="38.25">
      <c r="A60" s="116"/>
      <c r="B60" s="8" t="s">
        <v>150</v>
      </c>
      <c r="C60" s="6" t="s">
        <v>116</v>
      </c>
      <c r="D60" s="18">
        <f>E60+F60+G60</f>
        <v>7</v>
      </c>
      <c r="E60" s="6">
        <v>7</v>
      </c>
      <c r="F60" s="6"/>
      <c r="G60" s="6"/>
      <c r="H60" s="3"/>
    </row>
    <row r="61" spans="1:8" s="4" customFormat="1" ht="51">
      <c r="A61" s="115"/>
      <c r="B61" s="8" t="s">
        <v>186</v>
      </c>
      <c r="C61" s="6" t="s">
        <v>118</v>
      </c>
      <c r="D61" s="9">
        <f>E61</f>
        <v>154</v>
      </c>
      <c r="E61" s="9">
        <v>154</v>
      </c>
      <c r="F61" s="6"/>
      <c r="G61" s="6"/>
      <c r="H61" s="3"/>
    </row>
    <row r="62" spans="1:8" s="4" customFormat="1" ht="12.75">
      <c r="A62" s="110" t="s">
        <v>120</v>
      </c>
      <c r="B62" s="144"/>
      <c r="C62" s="144"/>
      <c r="D62" s="144"/>
      <c r="E62" s="144"/>
      <c r="F62" s="144"/>
      <c r="G62" s="144"/>
      <c r="H62" s="3"/>
    </row>
    <row r="63" spans="1:8" s="4" customFormat="1" ht="38.25">
      <c r="A63" s="114" t="s">
        <v>105</v>
      </c>
      <c r="B63" s="8" t="s">
        <v>147</v>
      </c>
      <c r="C63" s="6" t="s">
        <v>119</v>
      </c>
      <c r="D63" s="18">
        <f>E63+F63+G63</f>
        <v>10</v>
      </c>
      <c r="E63" s="6">
        <v>10</v>
      </c>
      <c r="F63" s="6"/>
      <c r="G63" s="6"/>
      <c r="H63" s="3"/>
    </row>
    <row r="64" spans="1:8" s="4" customFormat="1" ht="38.25">
      <c r="A64" s="115"/>
      <c r="B64" s="8" t="s">
        <v>185</v>
      </c>
      <c r="C64" s="6" t="s">
        <v>118</v>
      </c>
      <c r="D64" s="9">
        <f>E64+F64+G64</f>
        <v>159.718</v>
      </c>
      <c r="E64" s="9">
        <v>159.718</v>
      </c>
      <c r="F64" s="6"/>
      <c r="G64" s="6"/>
      <c r="H64" s="3"/>
    </row>
    <row r="65" spans="1:8" s="4" customFormat="1" ht="12.75">
      <c r="A65" s="110" t="s">
        <v>121</v>
      </c>
      <c r="B65" s="144"/>
      <c r="C65" s="144"/>
      <c r="D65" s="144"/>
      <c r="E65" s="144"/>
      <c r="F65" s="144"/>
      <c r="G65" s="144"/>
      <c r="H65" s="3"/>
    </row>
    <row r="66" spans="1:8" s="4" customFormat="1" ht="25.5">
      <c r="A66" s="47" t="s">
        <v>105</v>
      </c>
      <c r="B66" s="8" t="s">
        <v>148</v>
      </c>
      <c r="C66" s="6" t="s">
        <v>119</v>
      </c>
      <c r="D66" s="18">
        <f>E66+F66+G66</f>
        <v>2</v>
      </c>
      <c r="E66" s="6">
        <v>2</v>
      </c>
      <c r="F66" s="6"/>
      <c r="G66" s="6"/>
      <c r="H66" s="3"/>
    </row>
    <row r="67" spans="1:8" s="4" customFormat="1" ht="12.75">
      <c r="A67" s="110" t="s">
        <v>98</v>
      </c>
      <c r="B67" s="144"/>
      <c r="C67" s="144"/>
      <c r="D67" s="144"/>
      <c r="E67" s="144"/>
      <c r="F67" s="144"/>
      <c r="G67" s="144"/>
      <c r="H67" s="3"/>
    </row>
    <row r="68" spans="1:8" s="4" customFormat="1" ht="25.5">
      <c r="A68" s="47" t="s">
        <v>105</v>
      </c>
      <c r="B68" s="8" t="s">
        <v>148</v>
      </c>
      <c r="C68" s="6" t="s">
        <v>119</v>
      </c>
      <c r="D68" s="18">
        <f>E68+F68+G68</f>
        <v>1</v>
      </c>
      <c r="E68" s="6">
        <v>1</v>
      </c>
      <c r="F68" s="6"/>
      <c r="G68" s="6"/>
      <c r="H68" s="3"/>
    </row>
    <row r="69" spans="1:8" s="4" customFormat="1" ht="12.75">
      <c r="A69" s="110" t="s">
        <v>99</v>
      </c>
      <c r="B69" s="144"/>
      <c r="C69" s="144"/>
      <c r="D69" s="144"/>
      <c r="E69" s="144"/>
      <c r="F69" s="144"/>
      <c r="G69" s="144"/>
      <c r="H69" s="83"/>
    </row>
    <row r="70" spans="1:8" s="4" customFormat="1" ht="25.5">
      <c r="A70" s="47" t="s">
        <v>105</v>
      </c>
      <c r="B70" s="8" t="s">
        <v>148</v>
      </c>
      <c r="C70" s="6" t="s">
        <v>119</v>
      </c>
      <c r="D70" s="18">
        <f>E70+F70+G70</f>
        <v>1</v>
      </c>
      <c r="E70" s="6">
        <v>1</v>
      </c>
      <c r="F70" s="6"/>
      <c r="G70" s="6"/>
      <c r="H70" s="83"/>
    </row>
    <row r="71" spans="1:8" s="4" customFormat="1" ht="12.75">
      <c r="A71" s="110" t="s">
        <v>100</v>
      </c>
      <c r="B71" s="144"/>
      <c r="C71" s="144"/>
      <c r="D71" s="144"/>
      <c r="E71" s="144"/>
      <c r="F71" s="144"/>
      <c r="G71" s="144"/>
      <c r="H71" s="83"/>
    </row>
    <row r="72" spans="1:8" s="4" customFormat="1" ht="25.5">
      <c r="A72" s="47" t="s">
        <v>105</v>
      </c>
      <c r="B72" s="8" t="s">
        <v>148</v>
      </c>
      <c r="C72" s="6" t="s">
        <v>119</v>
      </c>
      <c r="D72" s="18">
        <f>E72+F72+G72</f>
        <v>1</v>
      </c>
      <c r="E72" s="6">
        <v>1</v>
      </c>
      <c r="F72" s="6"/>
      <c r="G72" s="6"/>
      <c r="H72" s="83"/>
    </row>
    <row r="73" spans="1:8" s="4" customFormat="1" ht="12.75">
      <c r="A73" s="110" t="s">
        <v>101</v>
      </c>
      <c r="B73" s="144"/>
      <c r="C73" s="144"/>
      <c r="D73" s="144"/>
      <c r="E73" s="144"/>
      <c r="F73" s="144"/>
      <c r="G73" s="144"/>
      <c r="H73" s="83"/>
    </row>
    <row r="74" spans="1:8" s="4" customFormat="1" ht="25.5">
      <c r="A74" s="47" t="s">
        <v>105</v>
      </c>
      <c r="B74" s="8" t="s">
        <v>148</v>
      </c>
      <c r="C74" s="6" t="s">
        <v>119</v>
      </c>
      <c r="D74" s="18">
        <f>E74+F74+G74</f>
        <v>1</v>
      </c>
      <c r="E74" s="6">
        <v>1</v>
      </c>
      <c r="F74" s="6"/>
      <c r="G74" s="6"/>
      <c r="H74" s="83"/>
    </row>
    <row r="75" spans="1:8" s="4" customFormat="1" ht="12.75">
      <c r="A75" s="106" t="s">
        <v>231</v>
      </c>
      <c r="B75" s="118"/>
      <c r="C75" s="118"/>
      <c r="D75" s="118"/>
      <c r="E75" s="118"/>
      <c r="F75" s="118"/>
      <c r="G75" s="118"/>
      <c r="H75" s="119"/>
    </row>
    <row r="76" spans="1:8" s="4" customFormat="1" ht="12.75">
      <c r="A76" s="147" t="s">
        <v>49</v>
      </c>
      <c r="B76" s="148"/>
      <c r="C76" s="148"/>
      <c r="D76" s="148"/>
      <c r="E76" s="148"/>
      <c r="F76" s="148"/>
      <c r="G76" s="149"/>
      <c r="H76" s="3"/>
    </row>
    <row r="77" spans="1:8" s="4" customFormat="1" ht="12.75">
      <c r="A77" s="114" t="s">
        <v>232</v>
      </c>
      <c r="B77" s="8"/>
      <c r="C77" s="6"/>
      <c r="D77" s="18"/>
      <c r="E77" s="6"/>
      <c r="F77" s="6"/>
      <c r="G77" s="6"/>
      <c r="H77" s="3"/>
    </row>
    <row r="78" spans="1:8" s="4" customFormat="1" ht="12.75">
      <c r="A78" s="116"/>
      <c r="B78" s="63" t="s">
        <v>233</v>
      </c>
      <c r="C78" s="6" t="s">
        <v>50</v>
      </c>
      <c r="D78" s="18">
        <f>E78+F78+G78</f>
        <v>1</v>
      </c>
      <c r="E78" s="18">
        <v>1</v>
      </c>
      <c r="F78" s="6"/>
      <c r="G78" s="6"/>
      <c r="H78" s="3"/>
    </row>
    <row r="79" spans="1:8" s="4" customFormat="1" ht="36">
      <c r="A79" s="116"/>
      <c r="B79" s="63" t="s">
        <v>234</v>
      </c>
      <c r="C79" s="6" t="s">
        <v>50</v>
      </c>
      <c r="D79" s="18">
        <f>E79</f>
        <v>7</v>
      </c>
      <c r="E79" s="18">
        <v>7</v>
      </c>
      <c r="F79" s="6"/>
      <c r="G79" s="6"/>
      <c r="H79" s="3"/>
    </row>
    <row r="80" spans="1:8" s="4" customFormat="1" ht="12.75" customHeight="1">
      <c r="A80" s="150" t="s">
        <v>122</v>
      </c>
      <c r="B80" s="151"/>
      <c r="C80" s="151"/>
      <c r="D80" s="151"/>
      <c r="E80" s="151"/>
      <c r="F80" s="151"/>
      <c r="G80" s="152"/>
      <c r="H80" s="3"/>
    </row>
    <row r="81" spans="1:8" s="4" customFormat="1" ht="12.75" customHeight="1">
      <c r="A81" s="147" t="s">
        <v>49</v>
      </c>
      <c r="B81" s="148"/>
      <c r="C81" s="148"/>
      <c r="D81" s="148"/>
      <c r="E81" s="148"/>
      <c r="F81" s="148"/>
      <c r="G81" s="149"/>
      <c r="H81" s="3"/>
    </row>
    <row r="82" spans="1:8" s="4" customFormat="1" ht="12.75">
      <c r="A82" s="117" t="s">
        <v>68</v>
      </c>
      <c r="B82" s="6"/>
      <c r="C82" s="3"/>
      <c r="D82" s="3"/>
      <c r="E82" s="3"/>
      <c r="F82" s="3"/>
      <c r="G82" s="3"/>
      <c r="H82" s="3"/>
    </row>
    <row r="83" spans="1:8" s="4" customFormat="1" ht="12.75">
      <c r="A83" s="117"/>
      <c r="B83" s="8" t="s">
        <v>63</v>
      </c>
      <c r="C83" s="6" t="s">
        <v>115</v>
      </c>
      <c r="D83" s="19">
        <v>5323.3</v>
      </c>
      <c r="E83" s="43">
        <v>5323.3</v>
      </c>
      <c r="F83" s="43">
        <v>5323.3</v>
      </c>
      <c r="G83" s="43">
        <v>5323.3</v>
      </c>
      <c r="H83" s="43">
        <v>5323.3</v>
      </c>
    </row>
    <row r="84" spans="1:8" s="4" customFormat="1" ht="25.5">
      <c r="A84" s="117"/>
      <c r="B84" s="10" t="s">
        <v>166</v>
      </c>
      <c r="C84" s="3" t="s">
        <v>50</v>
      </c>
      <c r="D84" s="18">
        <f>E84</f>
        <v>6776</v>
      </c>
      <c r="E84" s="18">
        <v>6776</v>
      </c>
      <c r="F84" s="18">
        <v>6776</v>
      </c>
      <c r="G84" s="18">
        <v>6776</v>
      </c>
      <c r="H84" s="3"/>
    </row>
    <row r="85" spans="1:8" s="4" customFormat="1" ht="25.5">
      <c r="A85" s="117"/>
      <c r="B85" s="10" t="s">
        <v>64</v>
      </c>
      <c r="C85" s="6" t="s">
        <v>50</v>
      </c>
      <c r="D85" s="6">
        <v>41004</v>
      </c>
      <c r="E85" s="6">
        <v>41004</v>
      </c>
      <c r="F85" s="6">
        <v>41004</v>
      </c>
      <c r="G85" s="6">
        <v>41004</v>
      </c>
      <c r="H85" s="3"/>
    </row>
    <row r="86" spans="1:8" s="4" customFormat="1" ht="12.75">
      <c r="A86" s="117"/>
      <c r="B86" s="10" t="s">
        <v>65</v>
      </c>
      <c r="C86" s="6" t="s">
        <v>52</v>
      </c>
      <c r="D86" s="38">
        <v>41.16</v>
      </c>
      <c r="E86" s="38">
        <v>41.16</v>
      </c>
      <c r="F86" s="38">
        <v>41.16</v>
      </c>
      <c r="G86" s="38">
        <v>41.16</v>
      </c>
      <c r="H86" s="3"/>
    </row>
    <row r="87" spans="1:8" s="4" customFormat="1" ht="12.75">
      <c r="A87" s="117"/>
      <c r="B87" s="10" t="s">
        <v>66</v>
      </c>
      <c r="C87" s="6" t="s">
        <v>52</v>
      </c>
      <c r="D87" s="6">
        <v>4.793</v>
      </c>
      <c r="E87" s="6">
        <v>4.793</v>
      </c>
      <c r="F87" s="6">
        <v>4.793</v>
      </c>
      <c r="G87" s="6">
        <v>4.793</v>
      </c>
      <c r="H87" s="3"/>
    </row>
    <row r="88" spans="1:8" s="4" customFormat="1" ht="25.5">
      <c r="A88" s="117"/>
      <c r="B88" s="10" t="s">
        <v>188</v>
      </c>
      <c r="C88" s="6" t="s">
        <v>52</v>
      </c>
      <c r="D88" s="6">
        <v>9.26</v>
      </c>
      <c r="E88" s="6">
        <v>9.26</v>
      </c>
      <c r="F88" s="6"/>
      <c r="G88" s="6"/>
      <c r="H88" s="3"/>
    </row>
    <row r="89" spans="1:8" s="4" customFormat="1" ht="12.75">
      <c r="A89" s="117"/>
      <c r="B89" s="10" t="s">
        <v>28</v>
      </c>
      <c r="C89" s="6" t="s">
        <v>50</v>
      </c>
      <c r="D89" s="6">
        <v>38</v>
      </c>
      <c r="E89" s="6">
        <v>38</v>
      </c>
      <c r="F89" s="6">
        <v>38</v>
      </c>
      <c r="G89" s="6">
        <v>38</v>
      </c>
      <c r="H89" s="3"/>
    </row>
    <row r="90" spans="1:8" s="4" customFormat="1" ht="38.25">
      <c r="A90" s="117"/>
      <c r="B90" s="10" t="s">
        <v>67</v>
      </c>
      <c r="C90" s="6" t="s">
        <v>50</v>
      </c>
      <c r="D90" s="6">
        <v>61</v>
      </c>
      <c r="E90" s="6">
        <f>9+52</f>
        <v>61</v>
      </c>
      <c r="F90" s="6">
        <v>61</v>
      </c>
      <c r="G90" s="6">
        <v>61</v>
      </c>
      <c r="H90" s="3"/>
    </row>
    <row r="91" spans="1:8" s="4" customFormat="1" ht="25.5">
      <c r="A91" s="117"/>
      <c r="B91" s="10" t="s">
        <v>83</v>
      </c>
      <c r="C91" s="6" t="s">
        <v>52</v>
      </c>
      <c r="D91" s="6">
        <v>51.125</v>
      </c>
      <c r="E91" s="6">
        <v>51.125</v>
      </c>
      <c r="F91" s="6">
        <v>51.125</v>
      </c>
      <c r="G91" s="6">
        <v>51.125</v>
      </c>
      <c r="H91" s="3"/>
    </row>
    <row r="92" spans="1:8" s="4" customFormat="1" ht="12.75">
      <c r="A92" s="117"/>
      <c r="B92" s="10" t="s">
        <v>273</v>
      </c>
      <c r="C92" s="6" t="s">
        <v>50</v>
      </c>
      <c r="D92" s="6">
        <v>7</v>
      </c>
      <c r="E92" s="6">
        <v>7</v>
      </c>
      <c r="F92" s="6">
        <v>7</v>
      </c>
      <c r="G92" s="6">
        <v>7</v>
      </c>
      <c r="H92" s="3"/>
    </row>
    <row r="93" spans="1:8" s="4" customFormat="1" ht="38.25">
      <c r="A93" s="117"/>
      <c r="B93" s="10" t="s">
        <v>283</v>
      </c>
      <c r="C93" s="6" t="s">
        <v>50</v>
      </c>
      <c r="D93" s="6">
        <v>38</v>
      </c>
      <c r="E93" s="6">
        <v>38</v>
      </c>
      <c r="F93" s="6">
        <v>38</v>
      </c>
      <c r="G93" s="6">
        <v>38</v>
      </c>
      <c r="H93" s="3"/>
    </row>
    <row r="94" spans="1:8" s="4" customFormat="1" ht="25.5">
      <c r="A94" s="117"/>
      <c r="B94" s="8" t="s">
        <v>187</v>
      </c>
      <c r="C94" s="6" t="s">
        <v>118</v>
      </c>
      <c r="D94" s="9">
        <f>E94</f>
        <v>488.99</v>
      </c>
      <c r="E94" s="9">
        <f>49.24+52.916+6.665+17.71+362.459</f>
        <v>488.99</v>
      </c>
      <c r="F94" s="6"/>
      <c r="G94" s="6"/>
      <c r="H94" s="3"/>
    </row>
    <row r="95" spans="1:8" s="4" customFormat="1" ht="12.75" customHeight="1">
      <c r="A95" s="117" t="s">
        <v>69</v>
      </c>
      <c r="B95" s="10"/>
      <c r="C95" s="3"/>
      <c r="D95" s="3"/>
      <c r="E95" s="3"/>
      <c r="F95" s="3"/>
      <c r="G95" s="3"/>
      <c r="H95" s="3"/>
    </row>
    <row r="96" spans="1:8" s="4" customFormat="1" ht="12.75">
      <c r="A96" s="117"/>
      <c r="B96" s="10" t="s">
        <v>159</v>
      </c>
      <c r="C96" s="6" t="s">
        <v>51</v>
      </c>
      <c r="D96" s="18">
        <f>E96+F96+G96</f>
        <v>45368160</v>
      </c>
      <c r="E96" s="18">
        <v>15122720</v>
      </c>
      <c r="F96" s="18">
        <v>15122720</v>
      </c>
      <c r="G96" s="18">
        <v>15122720</v>
      </c>
      <c r="H96" s="3"/>
    </row>
    <row r="97" spans="1:8" s="4" customFormat="1" ht="25.5">
      <c r="A97" s="117"/>
      <c r="B97" s="8" t="s">
        <v>27</v>
      </c>
      <c r="C97" s="6" t="s">
        <v>51</v>
      </c>
      <c r="D97" s="18">
        <f>E97+F97+G97</f>
        <v>1703190</v>
      </c>
      <c r="E97" s="18">
        <v>567730</v>
      </c>
      <c r="F97" s="18">
        <v>567730</v>
      </c>
      <c r="G97" s="18">
        <v>567730</v>
      </c>
      <c r="H97" s="3"/>
    </row>
    <row r="98" spans="1:8" s="4" customFormat="1" ht="12.75">
      <c r="A98" s="117"/>
      <c r="B98" s="10" t="s">
        <v>70</v>
      </c>
      <c r="C98" s="6" t="s">
        <v>51</v>
      </c>
      <c r="D98" s="19">
        <f>E98+F98+G98</f>
        <v>296430</v>
      </c>
      <c r="E98" s="18">
        <v>98810</v>
      </c>
      <c r="F98" s="18">
        <v>98810</v>
      </c>
      <c r="G98" s="18">
        <v>98810</v>
      </c>
      <c r="H98" s="18">
        <v>98810</v>
      </c>
    </row>
    <row r="99" spans="1:8" s="4" customFormat="1" ht="12.75">
      <c r="A99" s="117"/>
      <c r="B99" s="10" t="s">
        <v>71</v>
      </c>
      <c r="C99" s="6" t="s">
        <v>51</v>
      </c>
      <c r="D99" s="19">
        <f>E99+F99+G99</f>
        <v>152868</v>
      </c>
      <c r="E99" s="18">
        <v>50956</v>
      </c>
      <c r="F99" s="18">
        <v>50956</v>
      </c>
      <c r="G99" s="18">
        <v>50956</v>
      </c>
      <c r="H99" s="18">
        <v>50956</v>
      </c>
    </row>
    <row r="100" spans="1:8" s="4" customFormat="1" ht="12.75">
      <c r="A100" s="117"/>
      <c r="B100" s="10" t="s">
        <v>72</v>
      </c>
      <c r="C100" s="6" t="s">
        <v>51</v>
      </c>
      <c r="D100" s="19">
        <f>E100+F100+G100</f>
        <v>1497600</v>
      </c>
      <c r="E100" s="18">
        <v>499200</v>
      </c>
      <c r="F100" s="18">
        <v>499200</v>
      </c>
      <c r="G100" s="18">
        <v>499200</v>
      </c>
      <c r="H100" s="18">
        <v>499200</v>
      </c>
    </row>
    <row r="101" spans="1:8" s="4" customFormat="1" ht="25.5">
      <c r="A101" s="117"/>
      <c r="B101" s="8" t="s">
        <v>187</v>
      </c>
      <c r="C101" s="6" t="s">
        <v>118</v>
      </c>
      <c r="D101" s="9">
        <f>E101</f>
        <v>22.545</v>
      </c>
      <c r="E101" s="9">
        <f>1.561+20.984</f>
        <v>22.545</v>
      </c>
      <c r="F101" s="19"/>
      <c r="G101" s="19"/>
      <c r="H101" s="3"/>
    </row>
    <row r="102" spans="1:8" s="4" customFormat="1" ht="12.75">
      <c r="A102" s="117" t="s">
        <v>73</v>
      </c>
      <c r="B102" s="10"/>
      <c r="C102" s="3"/>
      <c r="D102" s="3"/>
      <c r="E102" s="3"/>
      <c r="F102" s="3"/>
      <c r="G102" s="3"/>
      <c r="H102" s="3"/>
    </row>
    <row r="103" spans="1:8" s="4" customFormat="1" ht="25.5">
      <c r="A103" s="117"/>
      <c r="B103" s="10" t="s">
        <v>74</v>
      </c>
      <c r="C103" s="6" t="s">
        <v>53</v>
      </c>
      <c r="D103" s="19">
        <f>E103+F103+G103</f>
        <v>4692.93</v>
      </c>
      <c r="E103" s="19">
        <v>1564.31</v>
      </c>
      <c r="F103" s="19">
        <v>1564.31</v>
      </c>
      <c r="G103" s="19">
        <v>1564.31</v>
      </c>
      <c r="H103" s="3"/>
    </row>
    <row r="104" spans="1:8" s="4" customFormat="1" ht="25.5">
      <c r="A104" s="117"/>
      <c r="B104" s="10" t="s">
        <v>75</v>
      </c>
      <c r="C104" s="6" t="s">
        <v>53</v>
      </c>
      <c r="D104" s="19">
        <f>E104+F104+G104</f>
        <v>6426.719999999999</v>
      </c>
      <c r="E104" s="19">
        <v>2142.24</v>
      </c>
      <c r="F104" s="19">
        <v>2142.24</v>
      </c>
      <c r="G104" s="19">
        <v>2142.24</v>
      </c>
      <c r="H104" s="3"/>
    </row>
    <row r="105" spans="1:8" s="4" customFormat="1" ht="25.5">
      <c r="A105" s="117"/>
      <c r="B105" s="10" t="s">
        <v>76</v>
      </c>
      <c r="C105" s="6" t="s">
        <v>53</v>
      </c>
      <c r="D105" s="19">
        <f>E105+F105+G105</f>
        <v>20770.56</v>
      </c>
      <c r="E105" s="19">
        <v>6923.52</v>
      </c>
      <c r="F105" s="19">
        <v>6923.52</v>
      </c>
      <c r="G105" s="19">
        <v>6923.52</v>
      </c>
      <c r="H105" s="3"/>
    </row>
    <row r="106" spans="1:8" s="4" customFormat="1" ht="38.25">
      <c r="A106" s="117"/>
      <c r="B106" s="10" t="s">
        <v>77</v>
      </c>
      <c r="C106" s="6" t="s">
        <v>53</v>
      </c>
      <c r="D106" s="19">
        <f>E106+F106+G106</f>
        <v>2949</v>
      </c>
      <c r="E106" s="19">
        <v>983</v>
      </c>
      <c r="F106" s="19">
        <v>983</v>
      </c>
      <c r="G106" s="19">
        <v>983</v>
      </c>
      <c r="H106" s="3"/>
    </row>
    <row r="107" spans="1:8" s="4" customFormat="1" ht="12.75" customHeight="1">
      <c r="A107" s="114" t="s">
        <v>78</v>
      </c>
      <c r="B107" s="10"/>
      <c r="C107" s="3"/>
      <c r="D107" s="3"/>
      <c r="E107" s="3"/>
      <c r="F107" s="3"/>
      <c r="G107" s="3"/>
      <c r="H107" s="3"/>
    </row>
    <row r="108" spans="1:8" s="4" customFormat="1" ht="12.75">
      <c r="A108" s="116"/>
      <c r="B108" s="10" t="s">
        <v>161</v>
      </c>
      <c r="C108" s="6" t="s">
        <v>24</v>
      </c>
      <c r="D108" s="19">
        <f>E108+F108+G108</f>
        <v>527120.49</v>
      </c>
      <c r="E108" s="19">
        <v>175706.83</v>
      </c>
      <c r="F108" s="19">
        <v>175706.83</v>
      </c>
      <c r="G108" s="19">
        <v>175706.83</v>
      </c>
      <c r="H108" s="3"/>
    </row>
    <row r="109" spans="1:8" s="4" customFormat="1" ht="25.5">
      <c r="A109" s="116"/>
      <c r="B109" s="10" t="s">
        <v>163</v>
      </c>
      <c r="C109" s="6" t="s">
        <v>50</v>
      </c>
      <c r="D109" s="18">
        <f>E109+F109+G109</f>
        <v>75</v>
      </c>
      <c r="E109" s="6">
        <v>25</v>
      </c>
      <c r="F109" s="6">
        <v>25</v>
      </c>
      <c r="G109" s="6">
        <v>25</v>
      </c>
      <c r="H109" s="3"/>
    </row>
    <row r="110" spans="1:8" s="4" customFormat="1" ht="12.75">
      <c r="A110" s="116"/>
      <c r="B110" s="10" t="s">
        <v>23</v>
      </c>
      <c r="C110" s="6" t="s">
        <v>24</v>
      </c>
      <c r="D110" s="18">
        <f>E110+F110+G110</f>
        <v>124068</v>
      </c>
      <c r="E110" s="18">
        <v>41356</v>
      </c>
      <c r="F110" s="18">
        <v>41356</v>
      </c>
      <c r="G110" s="18">
        <v>41356</v>
      </c>
      <c r="H110" s="3"/>
    </row>
    <row r="111" spans="1:8" s="4" customFormat="1" ht="25.5">
      <c r="A111" s="116"/>
      <c r="B111" s="10" t="s">
        <v>79</v>
      </c>
      <c r="C111" s="6" t="s">
        <v>50</v>
      </c>
      <c r="D111" s="6">
        <v>8070</v>
      </c>
      <c r="E111" s="6">
        <v>3800</v>
      </c>
      <c r="F111" s="6">
        <v>3800</v>
      </c>
      <c r="G111" s="6">
        <v>3800</v>
      </c>
      <c r="H111" s="3"/>
    </row>
    <row r="112" spans="1:8" s="4" customFormat="1" ht="38.25">
      <c r="A112" s="116"/>
      <c r="B112" s="10" t="s">
        <v>84</v>
      </c>
      <c r="C112" s="6" t="s">
        <v>50</v>
      </c>
      <c r="D112" s="23">
        <v>383</v>
      </c>
      <c r="E112" s="23">
        <v>383</v>
      </c>
      <c r="F112" s="23">
        <v>383</v>
      </c>
      <c r="G112" s="23">
        <v>383</v>
      </c>
      <c r="H112" s="3"/>
    </row>
    <row r="113" spans="1:8" s="4" customFormat="1" ht="12.75" customHeight="1">
      <c r="A113" s="116"/>
      <c r="B113" s="41" t="s">
        <v>46</v>
      </c>
      <c r="C113" s="6" t="s">
        <v>52</v>
      </c>
      <c r="D113" s="6">
        <v>420.79</v>
      </c>
      <c r="E113" s="6">
        <f>392.6+28.19</f>
        <v>420.79</v>
      </c>
      <c r="F113" s="6">
        <f>392.6+28.19</f>
        <v>420.79</v>
      </c>
      <c r="G113" s="6">
        <f>392.6+28.19</f>
        <v>420.79</v>
      </c>
      <c r="H113" s="3"/>
    </row>
    <row r="114" spans="1:8" s="4" customFormat="1" ht="38.25">
      <c r="A114" s="116"/>
      <c r="B114" s="10" t="s">
        <v>80</v>
      </c>
      <c r="C114" s="6" t="s">
        <v>50</v>
      </c>
      <c r="D114" s="6">
        <v>274</v>
      </c>
      <c r="E114" s="6">
        <v>274</v>
      </c>
      <c r="F114" s="6">
        <v>274</v>
      </c>
      <c r="G114" s="6">
        <v>274</v>
      </c>
      <c r="H114" s="3"/>
    </row>
    <row r="115" spans="1:8" s="4" customFormat="1" ht="38.25">
      <c r="A115" s="116"/>
      <c r="B115" s="10" t="s">
        <v>189</v>
      </c>
      <c r="C115" s="6" t="s">
        <v>24</v>
      </c>
      <c r="D115" s="42">
        <v>500</v>
      </c>
      <c r="E115" s="42">
        <v>500</v>
      </c>
      <c r="F115" s="42">
        <v>500</v>
      </c>
      <c r="G115" s="42">
        <v>500</v>
      </c>
      <c r="H115" s="3"/>
    </row>
    <row r="116" spans="1:8" s="4" customFormat="1" ht="25.5">
      <c r="A116" s="116"/>
      <c r="B116" s="10" t="s">
        <v>81</v>
      </c>
      <c r="C116" s="6" t="s">
        <v>50</v>
      </c>
      <c r="D116" s="6">
        <v>38</v>
      </c>
      <c r="E116" s="6">
        <v>38</v>
      </c>
      <c r="F116" s="6">
        <v>38</v>
      </c>
      <c r="G116" s="6">
        <v>38</v>
      </c>
      <c r="H116" s="3"/>
    </row>
    <row r="117" spans="1:8" s="4" customFormat="1" ht="25.5">
      <c r="A117" s="116"/>
      <c r="B117" s="10" t="s">
        <v>82</v>
      </c>
      <c r="C117" s="6" t="s">
        <v>50</v>
      </c>
      <c r="D117" s="6">
        <v>9</v>
      </c>
      <c r="E117" s="6">
        <v>9</v>
      </c>
      <c r="F117" s="6">
        <v>9</v>
      </c>
      <c r="G117" s="6">
        <v>9</v>
      </c>
      <c r="H117" s="3"/>
    </row>
    <row r="118" spans="1:8" s="4" customFormat="1" ht="25.5">
      <c r="A118" s="116"/>
      <c r="B118" s="8" t="s">
        <v>60</v>
      </c>
      <c r="C118" s="6" t="s">
        <v>50</v>
      </c>
      <c r="D118" s="6">
        <f>E118+F118+G118</f>
        <v>8400</v>
      </c>
      <c r="E118" s="6">
        <v>2800</v>
      </c>
      <c r="F118" s="6">
        <v>2800</v>
      </c>
      <c r="G118" s="6">
        <v>2800</v>
      </c>
      <c r="H118" s="3"/>
    </row>
    <row r="119" spans="1:8" s="4" customFormat="1" ht="25.5">
      <c r="A119" s="116"/>
      <c r="B119" s="8" t="s">
        <v>187</v>
      </c>
      <c r="C119" s="6" t="s">
        <v>118</v>
      </c>
      <c r="D119" s="37">
        <f>E119</f>
        <v>143.84300000000002</v>
      </c>
      <c r="E119" s="9">
        <f>4.055+39.448+22.709+14.53+63.101</f>
        <v>143.84300000000002</v>
      </c>
      <c r="F119" s="6"/>
      <c r="G119" s="6"/>
      <c r="H119" s="3"/>
    </row>
    <row r="120" spans="1:8" s="4" customFormat="1" ht="12.75" customHeight="1">
      <c r="A120" s="114" t="s">
        <v>85</v>
      </c>
      <c r="B120" s="8"/>
      <c r="C120" s="3"/>
      <c r="D120" s="3"/>
      <c r="E120" s="3"/>
      <c r="F120" s="3"/>
      <c r="G120" s="3"/>
      <c r="H120" s="3"/>
    </row>
    <row r="121" spans="1:8" s="4" customFormat="1" ht="51">
      <c r="A121" s="116"/>
      <c r="B121" s="10" t="s">
        <v>267</v>
      </c>
      <c r="C121" s="3" t="s">
        <v>50</v>
      </c>
      <c r="D121" s="18">
        <f aca="true" t="shared" si="2" ref="D121:D128">E121+F121+G121</f>
        <v>13</v>
      </c>
      <c r="E121" s="6">
        <v>13</v>
      </c>
      <c r="F121" s="6"/>
      <c r="G121" s="6"/>
      <c r="H121" s="3"/>
    </row>
    <row r="122" spans="1:8" s="4" customFormat="1" ht="12.75" customHeight="1">
      <c r="A122" s="116"/>
      <c r="B122" s="142" t="s">
        <v>61</v>
      </c>
      <c r="C122" s="6" t="s">
        <v>50</v>
      </c>
      <c r="D122" s="18">
        <f t="shared" si="2"/>
        <v>96</v>
      </c>
      <c r="E122" s="18">
        <v>32</v>
      </c>
      <c r="F122" s="18">
        <v>32</v>
      </c>
      <c r="G122" s="18">
        <v>32</v>
      </c>
      <c r="H122" s="3"/>
    </row>
    <row r="123" spans="1:8" s="4" customFormat="1" ht="12.75" customHeight="1">
      <c r="A123" s="116"/>
      <c r="B123" s="153"/>
      <c r="C123" s="6" t="s">
        <v>24</v>
      </c>
      <c r="D123" s="18">
        <f t="shared" si="2"/>
        <v>880143</v>
      </c>
      <c r="E123" s="18">
        <v>293381</v>
      </c>
      <c r="F123" s="18">
        <v>293381</v>
      </c>
      <c r="G123" s="18">
        <v>293381</v>
      </c>
      <c r="H123" s="3"/>
    </row>
    <row r="124" spans="1:8" s="4" customFormat="1" ht="12.75">
      <c r="A124" s="116"/>
      <c r="B124" s="143"/>
      <c r="C124" s="6" t="s">
        <v>24</v>
      </c>
      <c r="D124" s="18">
        <f t="shared" si="2"/>
        <v>765</v>
      </c>
      <c r="E124" s="18">
        <v>255</v>
      </c>
      <c r="F124" s="18">
        <v>255</v>
      </c>
      <c r="G124" s="18">
        <v>255</v>
      </c>
      <c r="H124" s="3"/>
    </row>
    <row r="125" spans="1:8" s="4" customFormat="1" ht="12.75">
      <c r="A125" s="116"/>
      <c r="B125" s="10" t="s">
        <v>190</v>
      </c>
      <c r="C125" s="6" t="s">
        <v>50</v>
      </c>
      <c r="D125" s="18">
        <f t="shared" si="2"/>
        <v>210</v>
      </c>
      <c r="E125" s="18">
        <v>70</v>
      </c>
      <c r="F125" s="18">
        <v>70</v>
      </c>
      <c r="G125" s="18">
        <v>70</v>
      </c>
      <c r="H125" s="3"/>
    </row>
    <row r="126" spans="1:8" s="4" customFormat="1" ht="12.75">
      <c r="A126" s="116"/>
      <c r="B126" s="10" t="s">
        <v>212</v>
      </c>
      <c r="C126" s="6" t="s">
        <v>50</v>
      </c>
      <c r="D126" s="18">
        <f t="shared" si="2"/>
        <v>1800</v>
      </c>
      <c r="E126" s="18">
        <v>600</v>
      </c>
      <c r="F126" s="18">
        <v>600</v>
      </c>
      <c r="G126" s="18">
        <v>600</v>
      </c>
      <c r="H126" s="18">
        <v>600</v>
      </c>
    </row>
    <row r="127" spans="1:8" s="4" customFormat="1" ht="12.75">
      <c r="A127" s="116"/>
      <c r="B127" s="10" t="s">
        <v>211</v>
      </c>
      <c r="C127" s="6" t="s">
        <v>24</v>
      </c>
      <c r="D127" s="18">
        <f t="shared" si="2"/>
        <v>10914</v>
      </c>
      <c r="E127" s="18">
        <v>3638</v>
      </c>
      <c r="F127" s="18">
        <v>3638</v>
      </c>
      <c r="G127" s="18">
        <v>3638</v>
      </c>
      <c r="H127" s="18">
        <v>3638</v>
      </c>
    </row>
    <row r="128" spans="1:8" s="4" customFormat="1" ht="38.25">
      <c r="A128" s="116"/>
      <c r="B128" s="10" t="s">
        <v>274</v>
      </c>
      <c r="C128" s="6" t="s">
        <v>50</v>
      </c>
      <c r="D128" s="18">
        <f t="shared" si="2"/>
        <v>243</v>
      </c>
      <c r="E128" s="18">
        <v>81</v>
      </c>
      <c r="F128" s="18">
        <v>81</v>
      </c>
      <c r="G128" s="18">
        <v>81</v>
      </c>
      <c r="H128" s="18"/>
    </row>
    <row r="129" spans="1:8" s="4" customFormat="1" ht="25.5">
      <c r="A129" s="116"/>
      <c r="B129" s="8" t="s">
        <v>187</v>
      </c>
      <c r="C129" s="6" t="s">
        <v>118</v>
      </c>
      <c r="D129" s="9">
        <f>E129</f>
        <v>1569.154</v>
      </c>
      <c r="E129" s="9">
        <f>244.024+74.38+2.869+364.436+292.092+591.353</f>
        <v>1569.154</v>
      </c>
      <c r="F129" s="6"/>
      <c r="G129" s="6"/>
      <c r="H129" s="3"/>
    </row>
    <row r="130" spans="1:8" s="4" customFormat="1" ht="12.75">
      <c r="A130" s="110" t="s">
        <v>265</v>
      </c>
      <c r="B130" s="110"/>
      <c r="C130" s="110"/>
      <c r="D130" s="110"/>
      <c r="E130" s="110"/>
      <c r="F130" s="110"/>
      <c r="G130" s="110"/>
      <c r="H130" s="3"/>
    </row>
    <row r="131" spans="1:8" s="4" customFormat="1" ht="12.75">
      <c r="A131" s="117" t="s">
        <v>262</v>
      </c>
      <c r="B131" s="8"/>
      <c r="C131" s="6"/>
      <c r="D131" s="9"/>
      <c r="E131" s="9"/>
      <c r="F131" s="6"/>
      <c r="G131" s="6"/>
      <c r="H131" s="3"/>
    </row>
    <row r="132" spans="1:8" s="4" customFormat="1" ht="165.75">
      <c r="A132" s="117"/>
      <c r="B132" s="8" t="s">
        <v>264</v>
      </c>
      <c r="C132" s="6" t="s">
        <v>118</v>
      </c>
      <c r="D132" s="9">
        <f>E132</f>
        <v>7101.544</v>
      </c>
      <c r="E132" s="9">
        <f>7097.284+4.26</f>
        <v>7101.544</v>
      </c>
      <c r="F132" s="6"/>
      <c r="G132" s="6"/>
      <c r="H132" s="3"/>
    </row>
    <row r="133" spans="1:8" s="4" customFormat="1" ht="12.75">
      <c r="A133" s="110" t="s">
        <v>95</v>
      </c>
      <c r="B133" s="110"/>
      <c r="C133" s="110"/>
      <c r="D133" s="110"/>
      <c r="E133" s="110"/>
      <c r="F133" s="110"/>
      <c r="G133" s="110"/>
      <c r="H133" s="3"/>
    </row>
    <row r="134" spans="1:8" s="4" customFormat="1" ht="12.75" customHeight="1">
      <c r="A134" s="114" t="s">
        <v>68</v>
      </c>
      <c r="B134" s="8"/>
      <c r="C134" s="3"/>
      <c r="D134" s="3"/>
      <c r="E134" s="3"/>
      <c r="F134" s="3"/>
      <c r="G134" s="3"/>
      <c r="H134" s="3"/>
    </row>
    <row r="135" spans="1:8" s="4" customFormat="1" ht="25.5">
      <c r="A135" s="116"/>
      <c r="B135" s="10" t="s">
        <v>46</v>
      </c>
      <c r="C135" s="6" t="s">
        <v>24</v>
      </c>
      <c r="D135" s="23">
        <f>E135+F135+G135</f>
        <v>450000</v>
      </c>
      <c r="E135" s="23">
        <v>150000</v>
      </c>
      <c r="F135" s="23">
        <v>150000</v>
      </c>
      <c r="G135" s="23">
        <v>150000</v>
      </c>
      <c r="H135" s="3"/>
    </row>
    <row r="136" spans="1:8" s="4" customFormat="1" ht="25.5">
      <c r="A136" s="115"/>
      <c r="B136" s="10" t="s">
        <v>154</v>
      </c>
      <c r="C136" s="3" t="s">
        <v>50</v>
      </c>
      <c r="D136" s="23">
        <f>E136+F136+G136</f>
        <v>3</v>
      </c>
      <c r="E136" s="3">
        <v>1</v>
      </c>
      <c r="F136" s="3">
        <v>1</v>
      </c>
      <c r="G136" s="3">
        <v>1</v>
      </c>
      <c r="H136" s="3"/>
    </row>
    <row r="137" spans="1:8" s="4" customFormat="1" ht="12.75">
      <c r="A137" s="114" t="s">
        <v>153</v>
      </c>
      <c r="B137" s="10"/>
      <c r="C137" s="3"/>
      <c r="D137" s="23"/>
      <c r="E137" s="3"/>
      <c r="F137" s="3"/>
      <c r="G137" s="3"/>
      <c r="H137" s="3"/>
    </row>
    <row r="138" spans="1:8" s="4" customFormat="1" ht="25.5">
      <c r="A138" s="115"/>
      <c r="B138" s="10" t="s">
        <v>156</v>
      </c>
      <c r="C138" s="3" t="s">
        <v>57</v>
      </c>
      <c r="D138" s="39">
        <f>E138+F138+G138</f>
        <v>52779</v>
      </c>
      <c r="E138" s="3">
        <v>17593</v>
      </c>
      <c r="F138" s="3">
        <v>17593</v>
      </c>
      <c r="G138" s="3">
        <v>17593</v>
      </c>
      <c r="H138" s="3"/>
    </row>
    <row r="139" spans="1:8" s="4" customFormat="1" ht="12.75">
      <c r="A139" s="114" t="s">
        <v>78</v>
      </c>
      <c r="B139" s="8"/>
      <c r="C139" s="3"/>
      <c r="D139" s="3"/>
      <c r="E139" s="3"/>
      <c r="F139" s="3"/>
      <c r="G139" s="3"/>
      <c r="H139" s="3"/>
    </row>
    <row r="140" spans="1:8" s="4" customFormat="1" ht="12.75">
      <c r="A140" s="116"/>
      <c r="B140" s="142" t="s">
        <v>26</v>
      </c>
      <c r="C140" s="3" t="s">
        <v>24</v>
      </c>
      <c r="D140" s="23">
        <f>E140+F140+G140</f>
        <v>2010</v>
      </c>
      <c r="E140" s="3">
        <v>670</v>
      </c>
      <c r="F140" s="3">
        <v>670</v>
      </c>
      <c r="G140" s="3">
        <v>670</v>
      </c>
      <c r="H140" s="3"/>
    </row>
    <row r="141" spans="1:8" s="4" customFormat="1" ht="12.75">
      <c r="A141" s="116"/>
      <c r="B141" s="143"/>
      <c r="C141" s="6" t="s">
        <v>54</v>
      </c>
      <c r="D141" s="23">
        <f>E141+F141+G141</f>
        <v>3246</v>
      </c>
      <c r="E141" s="23">
        <v>1082</v>
      </c>
      <c r="F141" s="23">
        <v>1082</v>
      </c>
      <c r="G141" s="23">
        <v>1082</v>
      </c>
      <c r="H141" s="3"/>
    </row>
    <row r="142" spans="1:8" s="4" customFormat="1" ht="25.5">
      <c r="A142" s="116"/>
      <c r="B142" s="10" t="s">
        <v>31</v>
      </c>
      <c r="C142" s="6" t="s">
        <v>24</v>
      </c>
      <c r="D142" s="23">
        <f>E142+F142+G142</f>
        <v>3120</v>
      </c>
      <c r="E142" s="23">
        <v>1040</v>
      </c>
      <c r="F142" s="23">
        <v>1040</v>
      </c>
      <c r="G142" s="23">
        <v>1040</v>
      </c>
      <c r="H142" s="3"/>
    </row>
    <row r="143" spans="1:8" s="4" customFormat="1" ht="51">
      <c r="A143" s="116"/>
      <c r="B143" s="10" t="s">
        <v>198</v>
      </c>
      <c r="C143" s="6" t="s">
        <v>50</v>
      </c>
      <c r="D143" s="23">
        <f>E143+F143+G143</f>
        <v>12</v>
      </c>
      <c r="E143" s="23">
        <v>4</v>
      </c>
      <c r="F143" s="23">
        <v>4</v>
      </c>
      <c r="G143" s="23">
        <v>4</v>
      </c>
      <c r="H143" s="3"/>
    </row>
    <row r="144" spans="1:8" s="4" customFormat="1" ht="25.5">
      <c r="A144" s="116"/>
      <c r="B144" s="10" t="s">
        <v>199</v>
      </c>
      <c r="C144" s="6" t="s">
        <v>24</v>
      </c>
      <c r="D144" s="38">
        <f>E144+F144+G144</f>
        <v>666</v>
      </c>
      <c r="E144" s="23">
        <v>222</v>
      </c>
      <c r="F144" s="23">
        <v>222</v>
      </c>
      <c r="G144" s="23">
        <v>222</v>
      </c>
      <c r="H144" s="3"/>
    </row>
    <row r="145" spans="1:8" s="4" customFormat="1" ht="12.75">
      <c r="A145" s="117" t="s">
        <v>87</v>
      </c>
      <c r="B145" s="10"/>
      <c r="C145" s="3"/>
      <c r="D145" s="3"/>
      <c r="E145" s="3"/>
      <c r="F145" s="3"/>
      <c r="G145" s="3"/>
      <c r="H145" s="3"/>
    </row>
    <row r="146" spans="1:8" s="4" customFormat="1" ht="25.5">
      <c r="A146" s="117"/>
      <c r="B146" s="10" t="s">
        <v>32</v>
      </c>
      <c r="C146" s="6" t="s">
        <v>55</v>
      </c>
      <c r="D146" s="6">
        <f>E146+F146+G146</f>
        <v>180</v>
      </c>
      <c r="E146" s="6">
        <v>60</v>
      </c>
      <c r="F146" s="6">
        <v>60</v>
      </c>
      <c r="G146" s="6">
        <v>60</v>
      </c>
      <c r="H146" s="3"/>
    </row>
    <row r="147" spans="1:8" s="4" customFormat="1" ht="12.75">
      <c r="A147" s="117"/>
      <c r="B147" s="10" t="s">
        <v>33</v>
      </c>
      <c r="C147" s="6" t="s">
        <v>56</v>
      </c>
      <c r="D147" s="6">
        <f>E147+F147+G147</f>
        <v>1381.9080000000001</v>
      </c>
      <c r="E147" s="6">
        <v>460.636</v>
      </c>
      <c r="F147" s="6">
        <v>460.636</v>
      </c>
      <c r="G147" s="6">
        <v>460.636</v>
      </c>
      <c r="H147" s="3"/>
    </row>
    <row r="148" spans="1:8" s="4" customFormat="1" ht="17.25" customHeight="1">
      <c r="A148" s="117" t="s">
        <v>86</v>
      </c>
      <c r="B148" s="10"/>
      <c r="C148" s="3"/>
      <c r="D148" s="3"/>
      <c r="E148" s="3"/>
      <c r="F148" s="3"/>
      <c r="G148" s="3"/>
      <c r="H148" s="3"/>
    </row>
    <row r="149" spans="1:8" s="4" customFormat="1" ht="21.75" customHeight="1">
      <c r="A149" s="117"/>
      <c r="B149" s="10" t="s">
        <v>34</v>
      </c>
      <c r="C149" s="6" t="s">
        <v>25</v>
      </c>
      <c r="D149" s="38">
        <f>E149+F149+G149</f>
        <v>25.56</v>
      </c>
      <c r="E149" s="38">
        <v>8.52</v>
      </c>
      <c r="F149" s="38">
        <v>8.52</v>
      </c>
      <c r="G149" s="38">
        <v>8.52</v>
      </c>
      <c r="H149" s="3"/>
    </row>
    <row r="150" spans="1:8" s="4" customFormat="1" ht="12.75">
      <c r="A150" s="112" t="s">
        <v>131</v>
      </c>
      <c r="B150" s="10"/>
      <c r="C150" s="6"/>
      <c r="D150" s="38"/>
      <c r="E150" s="38"/>
      <c r="F150" s="38"/>
      <c r="G150" s="38"/>
      <c r="H150" s="3"/>
    </row>
    <row r="151" spans="1:8" s="4" customFormat="1" ht="25.5">
      <c r="A151" s="113"/>
      <c r="B151" s="8" t="s">
        <v>187</v>
      </c>
      <c r="C151" s="6" t="s">
        <v>118</v>
      </c>
      <c r="D151" s="37">
        <f>E151+F151+G151</f>
        <v>41.737</v>
      </c>
      <c r="E151" s="9">
        <f>41.737</f>
        <v>41.737</v>
      </c>
      <c r="F151" s="38"/>
      <c r="G151" s="38"/>
      <c r="H151" s="3"/>
    </row>
    <row r="152" spans="1:8" s="4" customFormat="1" ht="12.75">
      <c r="A152" s="110" t="s">
        <v>96</v>
      </c>
      <c r="B152" s="110"/>
      <c r="C152" s="110"/>
      <c r="D152" s="110"/>
      <c r="E152" s="110"/>
      <c r="F152" s="110"/>
      <c r="G152" s="110"/>
      <c r="H152" s="3"/>
    </row>
    <row r="153" spans="1:8" s="4" customFormat="1" ht="12.75">
      <c r="A153" s="117" t="s">
        <v>68</v>
      </c>
      <c r="B153" s="10"/>
      <c r="C153" s="3"/>
      <c r="D153" s="3"/>
      <c r="E153" s="3"/>
      <c r="F153" s="3"/>
      <c r="G153" s="3"/>
      <c r="H153" s="3"/>
    </row>
    <row r="154" spans="1:8" s="4" customFormat="1" ht="25.5">
      <c r="A154" s="117"/>
      <c r="B154" s="10" t="s">
        <v>36</v>
      </c>
      <c r="C154" s="6" t="s">
        <v>24</v>
      </c>
      <c r="D154" s="19">
        <f>E154+F154+G154</f>
        <v>608131.83</v>
      </c>
      <c r="E154" s="19">
        <v>202710.61</v>
      </c>
      <c r="F154" s="19">
        <v>202710.61</v>
      </c>
      <c r="G154" s="19">
        <v>202710.61</v>
      </c>
      <c r="H154" s="3"/>
    </row>
    <row r="155" spans="1:8" s="4" customFormat="1" ht="30" customHeight="1">
      <c r="A155" s="117"/>
      <c r="B155" s="142" t="s">
        <v>236</v>
      </c>
      <c r="C155" s="6" t="s">
        <v>52</v>
      </c>
      <c r="D155" s="9">
        <f>E155+F155+G155</f>
        <v>47.115</v>
      </c>
      <c r="E155" s="9">
        <v>15.705</v>
      </c>
      <c r="F155" s="9">
        <v>15.705</v>
      </c>
      <c r="G155" s="9">
        <v>15.705</v>
      </c>
      <c r="H155" s="3"/>
    </row>
    <row r="156" spans="1:8" s="4" customFormat="1" ht="22.5" customHeight="1">
      <c r="A156" s="117"/>
      <c r="B156" s="143"/>
      <c r="C156" s="6" t="s">
        <v>50</v>
      </c>
      <c r="D156" s="18">
        <f>E156+F156+G156</f>
        <v>270</v>
      </c>
      <c r="E156" s="18">
        <v>90</v>
      </c>
      <c r="F156" s="18">
        <v>90</v>
      </c>
      <c r="G156" s="18">
        <v>90</v>
      </c>
      <c r="H156" s="3"/>
    </row>
    <row r="157" spans="1:8" s="4" customFormat="1" ht="12.75">
      <c r="A157" s="114" t="s">
        <v>78</v>
      </c>
      <c r="B157" s="10"/>
      <c r="C157" s="6"/>
      <c r="D157" s="18"/>
      <c r="E157" s="18"/>
      <c r="F157" s="18"/>
      <c r="G157" s="18"/>
      <c r="H157" s="3"/>
    </row>
    <row r="158" spans="1:8" s="4" customFormat="1" ht="25.5">
      <c r="A158" s="116"/>
      <c r="B158" s="10" t="s">
        <v>26</v>
      </c>
      <c r="C158" s="69" t="s">
        <v>24</v>
      </c>
      <c r="D158" s="19">
        <f>E158+F158+G158</f>
        <v>1636.0500000000002</v>
      </c>
      <c r="E158" s="19">
        <v>545.35</v>
      </c>
      <c r="F158" s="19">
        <v>545.35</v>
      </c>
      <c r="G158" s="19">
        <v>545.35</v>
      </c>
      <c r="H158" s="19">
        <v>545.35</v>
      </c>
    </row>
    <row r="159" spans="1:8" s="59" customFormat="1" ht="38.25">
      <c r="A159" s="116"/>
      <c r="B159" s="57" t="s">
        <v>164</v>
      </c>
      <c r="C159" s="70" t="s">
        <v>24</v>
      </c>
      <c r="D159" s="72">
        <f aca="true" t="shared" si="3" ref="D159:D169">E159+F159+G159</f>
        <v>450</v>
      </c>
      <c r="E159" s="72">
        <v>150</v>
      </c>
      <c r="F159" s="72">
        <v>150</v>
      </c>
      <c r="G159" s="72">
        <v>150</v>
      </c>
      <c r="H159" s="72">
        <v>150</v>
      </c>
    </row>
    <row r="160" spans="1:8" s="4" customFormat="1" ht="25.5">
      <c r="A160" s="116"/>
      <c r="B160" s="10" t="s">
        <v>237</v>
      </c>
      <c r="C160" s="69" t="s">
        <v>24</v>
      </c>
      <c r="D160" s="19">
        <f t="shared" si="3"/>
        <v>570</v>
      </c>
      <c r="E160" s="19">
        <v>190</v>
      </c>
      <c r="F160" s="19">
        <v>190</v>
      </c>
      <c r="G160" s="19">
        <v>190</v>
      </c>
      <c r="H160" s="19">
        <v>190</v>
      </c>
    </row>
    <row r="161" spans="1:8" s="59" customFormat="1" ht="38.25">
      <c r="A161" s="116"/>
      <c r="B161" s="57" t="s">
        <v>164</v>
      </c>
      <c r="C161" s="70" t="s">
        <v>24</v>
      </c>
      <c r="D161" s="72">
        <f t="shared" si="3"/>
        <v>570</v>
      </c>
      <c r="E161" s="72">
        <v>190</v>
      </c>
      <c r="F161" s="72">
        <v>190</v>
      </c>
      <c r="G161" s="72">
        <v>190</v>
      </c>
      <c r="H161" s="72">
        <v>190</v>
      </c>
    </row>
    <row r="162" spans="1:8" s="4" customFormat="1" ht="38.25">
      <c r="A162" s="116"/>
      <c r="B162" s="10" t="s">
        <v>45</v>
      </c>
      <c r="C162" s="69" t="s">
        <v>50</v>
      </c>
      <c r="D162" s="18">
        <f t="shared" si="3"/>
        <v>114</v>
      </c>
      <c r="E162" s="18">
        <v>38</v>
      </c>
      <c r="F162" s="18">
        <v>38</v>
      </c>
      <c r="G162" s="18">
        <v>38</v>
      </c>
      <c r="H162" s="18">
        <v>38</v>
      </c>
    </row>
    <row r="163" spans="1:8" s="4" customFormat="1" ht="15">
      <c r="A163" s="116"/>
      <c r="B163" s="10" t="s">
        <v>201</v>
      </c>
      <c r="C163" s="69" t="s">
        <v>24</v>
      </c>
      <c r="D163" s="19">
        <f>E163</f>
        <v>1118.77</v>
      </c>
      <c r="E163" s="19">
        <v>1118.77</v>
      </c>
      <c r="F163" s="18"/>
      <c r="G163" s="18"/>
      <c r="H163" s="18"/>
    </row>
    <row r="164" spans="1:8" s="4" customFormat="1" ht="25.5">
      <c r="A164" s="116"/>
      <c r="B164" s="10" t="s">
        <v>238</v>
      </c>
      <c r="C164" s="69" t="s">
        <v>24</v>
      </c>
      <c r="D164" s="19">
        <f t="shared" si="3"/>
        <v>177.06</v>
      </c>
      <c r="E164" s="19">
        <v>59.02</v>
      </c>
      <c r="F164" s="19">
        <v>59.02</v>
      </c>
      <c r="G164" s="19">
        <v>59.02</v>
      </c>
      <c r="H164" s="19">
        <v>59.02</v>
      </c>
    </row>
    <row r="165" spans="1:8" s="4" customFormat="1" ht="25.5">
      <c r="A165" s="116"/>
      <c r="B165" s="10" t="s">
        <v>239</v>
      </c>
      <c r="C165" s="69" t="s">
        <v>24</v>
      </c>
      <c r="D165" s="19">
        <f t="shared" si="3"/>
        <v>1260.8700000000001</v>
      </c>
      <c r="E165" s="19">
        <v>420.29</v>
      </c>
      <c r="F165" s="19">
        <v>420.29</v>
      </c>
      <c r="G165" s="19">
        <v>420.29</v>
      </c>
      <c r="H165" s="19">
        <v>420.29</v>
      </c>
    </row>
    <row r="166" spans="1:8" s="4" customFormat="1" ht="25.5">
      <c r="A166" s="116"/>
      <c r="B166" s="10" t="s">
        <v>225</v>
      </c>
      <c r="C166" s="69" t="s">
        <v>24</v>
      </c>
      <c r="D166" s="9">
        <f t="shared" si="3"/>
        <v>525.5550000000001</v>
      </c>
      <c r="E166" s="9">
        <v>175.185</v>
      </c>
      <c r="F166" s="9">
        <v>175.185</v>
      </c>
      <c r="G166" s="9">
        <v>175.185</v>
      </c>
      <c r="H166" s="9">
        <v>175.185</v>
      </c>
    </row>
    <row r="167" spans="1:8" s="4" customFormat="1" ht="25.5">
      <c r="A167" s="116"/>
      <c r="B167" s="10" t="s">
        <v>195</v>
      </c>
      <c r="C167" s="69" t="s">
        <v>50</v>
      </c>
      <c r="D167" s="18">
        <f t="shared" si="3"/>
        <v>133</v>
      </c>
      <c r="E167" s="18">
        <v>13</v>
      </c>
      <c r="F167" s="18">
        <v>60</v>
      </c>
      <c r="G167" s="18">
        <v>60</v>
      </c>
      <c r="H167" s="18">
        <v>60</v>
      </c>
    </row>
    <row r="168" spans="1:8" s="59" customFormat="1" ht="38.25">
      <c r="A168" s="116"/>
      <c r="B168" s="57" t="s">
        <v>164</v>
      </c>
      <c r="C168" s="70" t="s">
        <v>50</v>
      </c>
      <c r="D168" s="73">
        <f t="shared" si="3"/>
        <v>133</v>
      </c>
      <c r="E168" s="73">
        <v>13</v>
      </c>
      <c r="F168" s="73">
        <v>60</v>
      </c>
      <c r="G168" s="73">
        <v>60</v>
      </c>
      <c r="H168" s="73">
        <v>60</v>
      </c>
    </row>
    <row r="169" spans="1:8" s="4" customFormat="1" ht="25.5">
      <c r="A169" s="115"/>
      <c r="B169" s="10" t="s">
        <v>240</v>
      </c>
      <c r="C169" s="69" t="s">
        <v>50</v>
      </c>
      <c r="D169" s="18">
        <f t="shared" si="3"/>
        <v>3</v>
      </c>
      <c r="E169" s="18">
        <v>1</v>
      </c>
      <c r="F169" s="18">
        <v>1</v>
      </c>
      <c r="G169" s="18">
        <v>1</v>
      </c>
      <c r="H169" s="18">
        <v>1</v>
      </c>
    </row>
    <row r="170" spans="1:8" s="4" customFormat="1" ht="12.75">
      <c r="A170" s="117" t="s">
        <v>87</v>
      </c>
      <c r="B170" s="8"/>
      <c r="C170" s="3"/>
      <c r="D170" s="3"/>
      <c r="E170" s="3"/>
      <c r="F170" s="3"/>
      <c r="G170" s="3"/>
      <c r="H170" s="3"/>
    </row>
    <row r="171" spans="1:8" s="4" customFormat="1" ht="25.5">
      <c r="A171" s="117"/>
      <c r="B171" s="10" t="s">
        <v>32</v>
      </c>
      <c r="C171" s="6" t="s">
        <v>55</v>
      </c>
      <c r="D171" s="6">
        <f>E171+F171+G171</f>
        <v>144</v>
      </c>
      <c r="E171" s="6">
        <v>48</v>
      </c>
      <c r="F171" s="6">
        <v>48</v>
      </c>
      <c r="G171" s="6">
        <v>48</v>
      </c>
      <c r="H171" s="3"/>
    </row>
    <row r="172" spans="1:8" s="4" customFormat="1" ht="12.75">
      <c r="A172" s="117"/>
      <c r="B172" s="10" t="s">
        <v>132</v>
      </c>
      <c r="C172" s="6" t="s">
        <v>56</v>
      </c>
      <c r="D172" s="6">
        <f>E172+F172+G172</f>
        <v>651.042</v>
      </c>
      <c r="E172" s="6">
        <v>217.014</v>
      </c>
      <c r="F172" s="6">
        <v>217.014</v>
      </c>
      <c r="G172" s="6">
        <v>217.014</v>
      </c>
      <c r="H172" s="3"/>
    </row>
    <row r="173" spans="1:8" s="4" customFormat="1" ht="25.5">
      <c r="A173" s="117"/>
      <c r="B173" s="10" t="s">
        <v>133</v>
      </c>
      <c r="C173" s="6" t="s">
        <v>24</v>
      </c>
      <c r="D173" s="6">
        <f>E173+F173+G173</f>
        <v>233250</v>
      </c>
      <c r="E173" s="6">
        <v>77750</v>
      </c>
      <c r="F173" s="6">
        <v>77750</v>
      </c>
      <c r="G173" s="6">
        <v>77750</v>
      </c>
      <c r="H173" s="3"/>
    </row>
    <row r="174" spans="1:8" s="4" customFormat="1" ht="38.25">
      <c r="A174" s="117"/>
      <c r="B174" s="10" t="s">
        <v>241</v>
      </c>
      <c r="C174" s="6" t="s">
        <v>244</v>
      </c>
      <c r="D174" s="6">
        <f>E174+F174+G174</f>
        <v>323.4</v>
      </c>
      <c r="E174" s="6">
        <v>107.8</v>
      </c>
      <c r="F174" s="6">
        <v>107.8</v>
      </c>
      <c r="G174" s="6">
        <v>107.8</v>
      </c>
      <c r="H174" s="3"/>
    </row>
    <row r="175" spans="1:8" s="59" customFormat="1" ht="38.25">
      <c r="A175" s="117"/>
      <c r="B175" s="57" t="s">
        <v>164</v>
      </c>
      <c r="C175" s="31" t="s">
        <v>244</v>
      </c>
      <c r="D175" s="31">
        <f>E175+F175+G175</f>
        <v>323.4</v>
      </c>
      <c r="E175" s="31">
        <v>107.8</v>
      </c>
      <c r="F175" s="31">
        <v>107.8</v>
      </c>
      <c r="G175" s="31">
        <v>107.8</v>
      </c>
      <c r="H175" s="71"/>
    </row>
    <row r="176" spans="1:8" s="4" customFormat="1" ht="12.75">
      <c r="A176" s="112" t="s">
        <v>242</v>
      </c>
      <c r="B176" s="10"/>
      <c r="C176" s="6"/>
      <c r="D176" s="6"/>
      <c r="E176" s="6"/>
      <c r="F176" s="6"/>
      <c r="G176" s="6"/>
      <c r="H176" s="3"/>
    </row>
    <row r="177" spans="1:8" s="4" customFormat="1" ht="25.5">
      <c r="A177" s="113"/>
      <c r="B177" s="65" t="s">
        <v>243</v>
      </c>
      <c r="C177" s="6" t="s">
        <v>50</v>
      </c>
      <c r="D177" s="6">
        <f>E177+F177+G177</f>
        <v>27</v>
      </c>
      <c r="E177" s="6">
        <v>9</v>
      </c>
      <c r="F177" s="6">
        <v>9</v>
      </c>
      <c r="G177" s="6">
        <v>9</v>
      </c>
      <c r="H177" s="3"/>
    </row>
    <row r="178" spans="1:8" s="4" customFormat="1" ht="12.75" customHeight="1">
      <c r="A178" s="114" t="s">
        <v>125</v>
      </c>
      <c r="B178" s="10"/>
      <c r="C178" s="6"/>
      <c r="D178" s="6"/>
      <c r="E178" s="6"/>
      <c r="F178" s="6"/>
      <c r="G178" s="6"/>
      <c r="H178" s="3"/>
    </row>
    <row r="179" spans="1:8" s="4" customFormat="1" ht="25.5">
      <c r="A179" s="116"/>
      <c r="B179" s="8" t="s">
        <v>187</v>
      </c>
      <c r="C179" s="6" t="s">
        <v>118</v>
      </c>
      <c r="D179" s="6">
        <f>E179</f>
        <v>385.385</v>
      </c>
      <c r="E179" s="9">
        <f>340.866+44.519</f>
        <v>385.385</v>
      </c>
      <c r="F179" s="6"/>
      <c r="G179" s="6"/>
      <c r="H179" s="3"/>
    </row>
    <row r="180" spans="1:8" s="59" customFormat="1" ht="38.25">
      <c r="A180" s="115"/>
      <c r="B180" s="57" t="s">
        <v>164</v>
      </c>
      <c r="C180" s="31" t="s">
        <v>118</v>
      </c>
      <c r="D180" s="22">
        <f>E180</f>
        <v>44.519</v>
      </c>
      <c r="E180" s="22">
        <v>44.519</v>
      </c>
      <c r="F180" s="31"/>
      <c r="G180" s="31"/>
      <c r="H180" s="71"/>
    </row>
    <row r="181" spans="1:8" s="4" customFormat="1" ht="12.75">
      <c r="A181" s="110" t="s">
        <v>97</v>
      </c>
      <c r="B181" s="110"/>
      <c r="C181" s="110"/>
      <c r="D181" s="110"/>
      <c r="E181" s="110"/>
      <c r="F181" s="110"/>
      <c r="G181" s="110"/>
      <c r="H181" s="3"/>
    </row>
    <row r="182" spans="1:8" s="4" customFormat="1" ht="12.75" customHeight="1">
      <c r="A182" s="114" t="s">
        <v>68</v>
      </c>
      <c r="B182" s="10"/>
      <c r="C182" s="3"/>
      <c r="D182" s="3"/>
      <c r="E182" s="3"/>
      <c r="F182" s="3"/>
      <c r="G182" s="3"/>
      <c r="H182" s="3"/>
    </row>
    <row r="183" spans="1:8" s="4" customFormat="1" ht="25.5">
      <c r="A183" s="116"/>
      <c r="B183" s="10" t="s">
        <v>36</v>
      </c>
      <c r="C183" s="6" t="s">
        <v>24</v>
      </c>
      <c r="D183" s="18">
        <f aca="true" t="shared" si="4" ref="D183:D189">E183+F183+G183</f>
        <v>161598</v>
      </c>
      <c r="E183" s="18">
        <v>53866</v>
      </c>
      <c r="F183" s="18">
        <v>53866</v>
      </c>
      <c r="G183" s="18">
        <v>53866</v>
      </c>
      <c r="H183" s="46">
        <v>53866</v>
      </c>
    </row>
    <row r="184" spans="1:8" s="4" customFormat="1" ht="25.5">
      <c r="A184" s="116"/>
      <c r="B184" s="10" t="s">
        <v>215</v>
      </c>
      <c r="C184" s="6" t="s">
        <v>50</v>
      </c>
      <c r="D184" s="6">
        <f t="shared" si="4"/>
        <v>45</v>
      </c>
      <c r="E184" s="18">
        <v>15</v>
      </c>
      <c r="F184" s="18">
        <v>15</v>
      </c>
      <c r="G184" s="18">
        <v>15</v>
      </c>
      <c r="H184" s="3"/>
    </row>
    <row r="185" spans="1:8" s="4" customFormat="1" ht="25.5">
      <c r="A185" s="116"/>
      <c r="B185" s="10" t="s">
        <v>216</v>
      </c>
      <c r="C185" s="3" t="s">
        <v>50</v>
      </c>
      <c r="D185" s="6">
        <f t="shared" si="4"/>
        <v>30</v>
      </c>
      <c r="E185" s="18">
        <v>10</v>
      </c>
      <c r="F185" s="18">
        <v>10</v>
      </c>
      <c r="G185" s="18">
        <v>10</v>
      </c>
      <c r="H185" s="3"/>
    </row>
    <row r="186" spans="1:8" s="4" customFormat="1" ht="12.75">
      <c r="A186" s="116"/>
      <c r="B186" s="10" t="s">
        <v>217</v>
      </c>
      <c r="C186" s="6" t="s">
        <v>50</v>
      </c>
      <c r="D186" s="6">
        <f t="shared" si="4"/>
        <v>30</v>
      </c>
      <c r="E186" s="18">
        <v>10</v>
      </c>
      <c r="F186" s="18">
        <v>10</v>
      </c>
      <c r="G186" s="18">
        <v>10</v>
      </c>
      <c r="H186" s="3"/>
    </row>
    <row r="187" spans="1:8" s="4" customFormat="1" ht="27.75" customHeight="1">
      <c r="A187" s="116"/>
      <c r="B187" s="10" t="s">
        <v>218</v>
      </c>
      <c r="C187" s="6" t="s">
        <v>52</v>
      </c>
      <c r="D187" s="6">
        <f t="shared" si="4"/>
        <v>54</v>
      </c>
      <c r="E187" s="6">
        <v>18</v>
      </c>
      <c r="F187" s="6">
        <v>18</v>
      </c>
      <c r="G187" s="6">
        <v>18</v>
      </c>
      <c r="H187" s="3"/>
    </row>
    <row r="188" spans="1:8" s="4" customFormat="1" ht="25.5">
      <c r="A188" s="116"/>
      <c r="B188" s="10" t="s">
        <v>123</v>
      </c>
      <c r="C188" s="6" t="s">
        <v>50</v>
      </c>
      <c r="D188" s="6">
        <f t="shared" si="4"/>
        <v>36</v>
      </c>
      <c r="E188" s="6">
        <v>12</v>
      </c>
      <c r="F188" s="6">
        <v>12</v>
      </c>
      <c r="G188" s="6">
        <v>12</v>
      </c>
      <c r="H188" s="3"/>
    </row>
    <row r="189" spans="1:8" s="4" customFormat="1" ht="25.5">
      <c r="A189" s="115"/>
      <c r="B189" s="10" t="s">
        <v>154</v>
      </c>
      <c r="C189" s="3" t="s">
        <v>50</v>
      </c>
      <c r="D189" s="23">
        <f t="shared" si="4"/>
        <v>36</v>
      </c>
      <c r="E189" s="3">
        <v>12</v>
      </c>
      <c r="F189" s="3">
        <v>12</v>
      </c>
      <c r="G189" s="3">
        <v>12</v>
      </c>
      <c r="H189" s="3"/>
    </row>
    <row r="190" spans="1:8" s="4" customFormat="1" ht="12.75">
      <c r="A190" s="114" t="s">
        <v>153</v>
      </c>
      <c r="B190" s="10"/>
      <c r="C190" s="3"/>
      <c r="D190" s="23"/>
      <c r="E190" s="3"/>
      <c r="F190" s="3"/>
      <c r="G190" s="3"/>
      <c r="H190" s="3"/>
    </row>
    <row r="191" spans="1:8" s="4" customFormat="1" ht="25.5">
      <c r="A191" s="115"/>
      <c r="B191" s="10" t="s">
        <v>155</v>
      </c>
      <c r="C191" s="3" t="s">
        <v>57</v>
      </c>
      <c r="D191" s="39">
        <f>E191+F191+G191</f>
        <v>63445</v>
      </c>
      <c r="E191" s="3">
        <v>21605</v>
      </c>
      <c r="F191" s="3">
        <v>20920</v>
      </c>
      <c r="G191" s="3">
        <v>20920</v>
      </c>
      <c r="H191" s="3"/>
    </row>
    <row r="192" spans="1:8" s="4" customFormat="1" ht="12.75">
      <c r="A192" s="117" t="s">
        <v>69</v>
      </c>
      <c r="B192" s="10"/>
      <c r="C192" s="3"/>
      <c r="D192" s="3"/>
      <c r="E192" s="3"/>
      <c r="F192" s="3"/>
      <c r="G192" s="3"/>
      <c r="H192" s="3"/>
    </row>
    <row r="193" spans="1:8" s="4" customFormat="1" ht="12.75">
      <c r="A193" s="117"/>
      <c r="B193" s="10" t="s">
        <v>129</v>
      </c>
      <c r="C193" s="6" t="s">
        <v>51</v>
      </c>
      <c r="D193" s="18">
        <f>E193+F193+G193</f>
        <v>13893.744999999999</v>
      </c>
      <c r="E193" s="9">
        <v>4481.745</v>
      </c>
      <c r="F193" s="18">
        <v>4706</v>
      </c>
      <c r="G193" s="18">
        <v>4706</v>
      </c>
      <c r="H193" s="3"/>
    </row>
    <row r="194" spans="1:8" s="4" customFormat="1" ht="12.75">
      <c r="A194" s="117" t="s">
        <v>78</v>
      </c>
      <c r="B194" s="10"/>
      <c r="C194" s="3"/>
      <c r="D194" s="3"/>
      <c r="E194" s="3"/>
      <c r="F194" s="3"/>
      <c r="G194" s="3"/>
      <c r="H194" s="3"/>
    </row>
    <row r="195" spans="1:8" s="4" customFormat="1" ht="25.5">
      <c r="A195" s="117"/>
      <c r="B195" s="10" t="s">
        <v>43</v>
      </c>
      <c r="C195" s="6" t="s">
        <v>24</v>
      </c>
      <c r="D195" s="6">
        <f>E195+F195+G195</f>
        <v>1428</v>
      </c>
      <c r="E195" s="6">
        <v>476</v>
      </c>
      <c r="F195" s="6">
        <v>476</v>
      </c>
      <c r="G195" s="6">
        <v>476</v>
      </c>
      <c r="H195" s="53">
        <v>476</v>
      </c>
    </row>
    <row r="196" spans="1:8" s="4" customFormat="1" ht="25.5">
      <c r="A196" s="117"/>
      <c r="B196" s="10" t="s">
        <v>220</v>
      </c>
      <c r="C196" s="6" t="s">
        <v>24</v>
      </c>
      <c r="D196" s="6">
        <f aca="true" t="shared" si="5" ref="D196:D203">E196+F196+G196</f>
        <v>219.312</v>
      </c>
      <c r="E196" s="6">
        <v>73.104</v>
      </c>
      <c r="F196" s="6">
        <v>73.104</v>
      </c>
      <c r="G196" s="6">
        <v>73.104</v>
      </c>
      <c r="H196" s="53">
        <v>73.104</v>
      </c>
    </row>
    <row r="197" spans="1:8" s="4" customFormat="1" ht="38.25">
      <c r="A197" s="117"/>
      <c r="B197" s="10" t="s">
        <v>221</v>
      </c>
      <c r="C197" s="6" t="s">
        <v>24</v>
      </c>
      <c r="D197" s="6">
        <f t="shared" si="5"/>
        <v>814.185</v>
      </c>
      <c r="E197" s="6">
        <v>271.395</v>
      </c>
      <c r="F197" s="6">
        <v>271.395</v>
      </c>
      <c r="G197" s="6">
        <v>271.395</v>
      </c>
      <c r="H197" s="53">
        <v>271.395</v>
      </c>
    </row>
    <row r="198" spans="1:8" s="4" customFormat="1" ht="25.5">
      <c r="A198" s="117"/>
      <c r="B198" s="10" t="s">
        <v>222</v>
      </c>
      <c r="C198" s="6" t="s">
        <v>50</v>
      </c>
      <c r="D198" s="6">
        <f t="shared" si="5"/>
        <v>240</v>
      </c>
      <c r="E198" s="6">
        <v>80</v>
      </c>
      <c r="F198" s="6">
        <v>80</v>
      </c>
      <c r="G198" s="6">
        <v>80</v>
      </c>
      <c r="H198" s="53">
        <v>80</v>
      </c>
    </row>
    <row r="199" spans="1:8" s="4" customFormat="1" ht="25.5">
      <c r="A199" s="117"/>
      <c r="B199" s="10" t="s">
        <v>219</v>
      </c>
      <c r="C199" s="6" t="s">
        <v>24</v>
      </c>
      <c r="D199" s="6">
        <f t="shared" si="5"/>
        <v>753</v>
      </c>
      <c r="E199" s="6">
        <v>251</v>
      </c>
      <c r="F199" s="6">
        <v>251</v>
      </c>
      <c r="G199" s="6">
        <v>251</v>
      </c>
      <c r="H199" s="53">
        <v>251</v>
      </c>
    </row>
    <row r="200" spans="1:8" s="4" customFormat="1" ht="25.5">
      <c r="A200" s="117"/>
      <c r="B200" s="10" t="s">
        <v>223</v>
      </c>
      <c r="C200" s="6" t="s">
        <v>50</v>
      </c>
      <c r="D200" s="6">
        <f t="shared" si="5"/>
        <v>75</v>
      </c>
      <c r="E200" s="6">
        <v>25</v>
      </c>
      <c r="F200" s="6">
        <v>25</v>
      </c>
      <c r="G200" s="6">
        <v>25</v>
      </c>
      <c r="H200" s="53">
        <v>25</v>
      </c>
    </row>
    <row r="201" spans="1:8" s="4" customFormat="1" ht="25.5">
      <c r="A201" s="117"/>
      <c r="B201" s="10" t="s">
        <v>224</v>
      </c>
      <c r="C201" s="6" t="s">
        <v>50</v>
      </c>
      <c r="D201" s="6">
        <f t="shared" si="5"/>
        <v>75</v>
      </c>
      <c r="E201" s="6">
        <v>25</v>
      </c>
      <c r="F201" s="6">
        <v>25</v>
      </c>
      <c r="G201" s="6">
        <v>25</v>
      </c>
      <c r="H201" s="53">
        <v>25</v>
      </c>
    </row>
    <row r="202" spans="1:8" s="4" customFormat="1" ht="12.75">
      <c r="A202" s="117"/>
      <c r="B202" s="10" t="s">
        <v>213</v>
      </c>
      <c r="C202" s="6" t="s">
        <v>24</v>
      </c>
      <c r="D202" s="6">
        <f t="shared" si="5"/>
        <v>149.04</v>
      </c>
      <c r="E202" s="6">
        <v>49.68</v>
      </c>
      <c r="F202" s="6">
        <v>49.68</v>
      </c>
      <c r="G202" s="6">
        <v>49.68</v>
      </c>
      <c r="H202" s="53">
        <v>49.68</v>
      </c>
    </row>
    <row r="203" spans="1:8" s="4" customFormat="1" ht="25.5">
      <c r="A203" s="117"/>
      <c r="B203" s="10" t="s">
        <v>225</v>
      </c>
      <c r="C203" s="6" t="s">
        <v>24</v>
      </c>
      <c r="D203" s="6">
        <f t="shared" si="5"/>
        <v>450</v>
      </c>
      <c r="E203" s="6">
        <v>150</v>
      </c>
      <c r="F203" s="6">
        <v>150</v>
      </c>
      <c r="G203" s="6">
        <v>150</v>
      </c>
      <c r="H203" s="53">
        <v>150</v>
      </c>
    </row>
    <row r="204" spans="1:8" s="59" customFormat="1" ht="38.25">
      <c r="A204" s="117"/>
      <c r="B204" s="57" t="s">
        <v>164</v>
      </c>
      <c r="C204" s="31" t="s">
        <v>24</v>
      </c>
      <c r="D204" s="61">
        <f>E204+F204+G204</f>
        <v>450</v>
      </c>
      <c r="E204" s="61">
        <v>150</v>
      </c>
      <c r="F204" s="61">
        <v>150</v>
      </c>
      <c r="G204" s="61">
        <v>150</v>
      </c>
      <c r="H204" s="60">
        <v>150</v>
      </c>
    </row>
    <row r="205" spans="1:8" s="4" customFormat="1" ht="12.75">
      <c r="A205" s="117" t="s">
        <v>87</v>
      </c>
      <c r="B205" s="10"/>
      <c r="C205" s="3"/>
      <c r="D205" s="3"/>
      <c r="E205" s="3"/>
      <c r="F205" s="3"/>
      <c r="G205" s="3"/>
      <c r="H205" s="3"/>
    </row>
    <row r="206" spans="1:8" s="4" customFormat="1" ht="25.5">
      <c r="A206" s="117"/>
      <c r="B206" s="10" t="s">
        <v>32</v>
      </c>
      <c r="C206" s="6" t="s">
        <v>55</v>
      </c>
      <c r="D206" s="6">
        <f>E206+F206+G206</f>
        <v>90</v>
      </c>
      <c r="E206" s="6">
        <v>30</v>
      </c>
      <c r="F206" s="6">
        <v>30</v>
      </c>
      <c r="G206" s="6">
        <v>30</v>
      </c>
      <c r="H206" s="3"/>
    </row>
    <row r="207" spans="1:8" s="4" customFormat="1" ht="12.75">
      <c r="A207" s="117"/>
      <c r="B207" s="10" t="s">
        <v>33</v>
      </c>
      <c r="C207" s="6" t="s">
        <v>56</v>
      </c>
      <c r="D207" s="6">
        <f>E207+F207+G207</f>
        <v>480</v>
      </c>
      <c r="E207" s="6">
        <v>160</v>
      </c>
      <c r="F207" s="6">
        <v>160</v>
      </c>
      <c r="G207" s="6">
        <v>160</v>
      </c>
      <c r="H207" s="3"/>
    </row>
    <row r="208" spans="1:8" s="4" customFormat="1" ht="12.75">
      <c r="A208" s="114" t="s">
        <v>228</v>
      </c>
      <c r="B208" s="10"/>
      <c r="C208" s="6"/>
      <c r="D208" s="6"/>
      <c r="E208" s="6"/>
      <c r="F208" s="6"/>
      <c r="G208" s="6"/>
      <c r="H208" s="3"/>
    </row>
    <row r="209" spans="1:8" s="4" customFormat="1" ht="51">
      <c r="A209" s="116"/>
      <c r="B209" s="10" t="s">
        <v>227</v>
      </c>
      <c r="C209" s="6" t="s">
        <v>52</v>
      </c>
      <c r="D209" s="6">
        <f>E209+F209+G209</f>
        <v>20.078</v>
      </c>
      <c r="E209" s="6">
        <v>6.694</v>
      </c>
      <c r="F209" s="6">
        <v>6.692</v>
      </c>
      <c r="G209" s="6">
        <v>6.692</v>
      </c>
      <c r="H209" s="3"/>
    </row>
    <row r="210" spans="1:8" s="4" customFormat="1" ht="12.75">
      <c r="A210" s="115"/>
      <c r="B210" s="8" t="s">
        <v>226</v>
      </c>
      <c r="C210" s="6" t="s">
        <v>50</v>
      </c>
      <c r="D210" s="6">
        <f>E210+F210+G210</f>
        <v>15</v>
      </c>
      <c r="E210" s="6">
        <v>5</v>
      </c>
      <c r="F210" s="6">
        <v>5</v>
      </c>
      <c r="G210" s="6">
        <v>5</v>
      </c>
      <c r="H210" s="3"/>
    </row>
    <row r="211" spans="1:8" s="4" customFormat="1" ht="12.75">
      <c r="A211" s="112" t="s">
        <v>229</v>
      </c>
      <c r="B211" s="10"/>
      <c r="C211" s="6"/>
      <c r="D211" s="6"/>
      <c r="E211" s="6"/>
      <c r="F211" s="6"/>
      <c r="G211" s="6"/>
      <c r="H211" s="3"/>
    </row>
    <row r="212" spans="1:8" s="4" customFormat="1" ht="30" customHeight="1">
      <c r="A212" s="113"/>
      <c r="B212" s="10" t="s">
        <v>230</v>
      </c>
      <c r="C212" s="6" t="s">
        <v>50</v>
      </c>
      <c r="D212" s="6">
        <f>E212+F212+G212</f>
        <v>15</v>
      </c>
      <c r="E212" s="6">
        <v>5</v>
      </c>
      <c r="F212" s="6">
        <v>5</v>
      </c>
      <c r="G212" s="6">
        <v>5</v>
      </c>
      <c r="H212" s="3"/>
    </row>
    <row r="213" spans="1:8" s="4" customFormat="1" ht="12.75">
      <c r="A213" s="114" t="s">
        <v>85</v>
      </c>
      <c r="B213" s="133"/>
      <c r="C213" s="134"/>
      <c r="D213" s="134"/>
      <c r="E213" s="134"/>
      <c r="F213" s="134"/>
      <c r="G213" s="135"/>
      <c r="H213" s="9"/>
    </row>
    <row r="214" spans="1:8" s="4" customFormat="1" ht="30" customHeight="1">
      <c r="A214" s="115"/>
      <c r="B214" s="10" t="s">
        <v>278</v>
      </c>
      <c r="C214" s="6" t="s">
        <v>210</v>
      </c>
      <c r="D214" s="6">
        <v>150</v>
      </c>
      <c r="E214" s="6">
        <v>150</v>
      </c>
      <c r="F214" s="6">
        <v>150</v>
      </c>
      <c r="G214" s="6">
        <v>150</v>
      </c>
      <c r="H214" s="9"/>
    </row>
    <row r="215" spans="1:8" s="4" customFormat="1" ht="12.75">
      <c r="A215" s="100" t="s">
        <v>125</v>
      </c>
      <c r="B215" s="10"/>
      <c r="C215" s="6"/>
      <c r="D215" s="6"/>
      <c r="E215" s="6"/>
      <c r="F215" s="6"/>
      <c r="G215" s="6"/>
      <c r="H215" s="3"/>
    </row>
    <row r="216" spans="1:8" s="4" customFormat="1" ht="25.5">
      <c r="A216" s="100"/>
      <c r="B216" s="8" t="s">
        <v>187</v>
      </c>
      <c r="C216" s="6" t="s">
        <v>118</v>
      </c>
      <c r="D216" s="9">
        <f>E216</f>
        <v>58.341</v>
      </c>
      <c r="E216" s="9">
        <v>58.341</v>
      </c>
      <c r="F216" s="6"/>
      <c r="G216" s="6"/>
      <c r="H216" s="3"/>
    </row>
    <row r="217" spans="1:8" s="4" customFormat="1" ht="12.75">
      <c r="A217" s="110" t="s">
        <v>98</v>
      </c>
      <c r="B217" s="110"/>
      <c r="C217" s="110"/>
      <c r="D217" s="110"/>
      <c r="E217" s="110"/>
      <c r="F217" s="110"/>
      <c r="G217" s="110"/>
      <c r="H217" s="3"/>
    </row>
    <row r="218" spans="1:8" s="4" customFormat="1" ht="12.75">
      <c r="A218" s="114" t="s">
        <v>68</v>
      </c>
      <c r="B218" s="10"/>
      <c r="C218" s="3"/>
      <c r="D218" s="3"/>
      <c r="E218" s="3"/>
      <c r="F218" s="3"/>
      <c r="G218" s="3"/>
      <c r="H218" s="3"/>
    </row>
    <row r="219" spans="1:8" s="4" customFormat="1" ht="25.5">
      <c r="A219" s="116"/>
      <c r="B219" s="8" t="s">
        <v>36</v>
      </c>
      <c r="C219" s="6" t="s">
        <v>24</v>
      </c>
      <c r="D219" s="23">
        <f>E219+F219+G219</f>
        <v>118800</v>
      </c>
      <c r="E219" s="23">
        <v>39600</v>
      </c>
      <c r="F219" s="23">
        <v>39600</v>
      </c>
      <c r="G219" s="23">
        <v>39600</v>
      </c>
      <c r="H219" s="3"/>
    </row>
    <row r="220" spans="1:8" s="4" customFormat="1" ht="38.25">
      <c r="A220" s="116"/>
      <c r="B220" s="10" t="s">
        <v>192</v>
      </c>
      <c r="C220" s="6" t="s">
        <v>52</v>
      </c>
      <c r="D220" s="6">
        <f>E220+F220+G220</f>
        <v>46.875</v>
      </c>
      <c r="E220" s="6">
        <v>15.625</v>
      </c>
      <c r="F220" s="6">
        <v>15.625</v>
      </c>
      <c r="G220" s="6">
        <v>15.625</v>
      </c>
      <c r="H220" s="3"/>
    </row>
    <row r="221" spans="1:8" s="4" customFormat="1" ht="25.5">
      <c r="A221" s="116"/>
      <c r="B221" s="10" t="s">
        <v>193</v>
      </c>
      <c r="C221" s="6" t="s">
        <v>50</v>
      </c>
      <c r="D221" s="6">
        <f>E221+F221+G221</f>
        <v>150</v>
      </c>
      <c r="E221" s="44">
        <v>50</v>
      </c>
      <c r="F221" s="44">
        <v>50</v>
      </c>
      <c r="G221" s="44">
        <v>50</v>
      </c>
      <c r="H221" s="3"/>
    </row>
    <row r="222" spans="1:8" s="4" customFormat="1" ht="12.75">
      <c r="A222" s="116"/>
      <c r="B222" s="10" t="s">
        <v>37</v>
      </c>
      <c r="C222" s="6" t="s">
        <v>50</v>
      </c>
      <c r="D222" s="6">
        <f>E222+F222+G222</f>
        <v>12</v>
      </c>
      <c r="E222" s="44">
        <v>4</v>
      </c>
      <c r="F222" s="44">
        <v>4</v>
      </c>
      <c r="G222" s="44">
        <v>4</v>
      </c>
      <c r="H222" s="3"/>
    </row>
    <row r="223" spans="1:8" s="4" customFormat="1" ht="25.5">
      <c r="A223" s="116"/>
      <c r="B223" s="10" t="s">
        <v>194</v>
      </c>
      <c r="C223" s="6" t="s">
        <v>24</v>
      </c>
      <c r="D223" s="6">
        <f>E223+F223+G223</f>
        <v>2586</v>
      </c>
      <c r="E223" s="6">
        <v>862</v>
      </c>
      <c r="F223" s="6">
        <v>862</v>
      </c>
      <c r="G223" s="6">
        <v>862</v>
      </c>
      <c r="H223" s="3"/>
    </row>
    <row r="224" spans="1:8" s="4" customFormat="1" ht="12.75">
      <c r="A224" s="117" t="s">
        <v>78</v>
      </c>
      <c r="B224" s="8"/>
      <c r="C224" s="3"/>
      <c r="D224" s="3"/>
      <c r="E224" s="3"/>
      <c r="F224" s="3"/>
      <c r="G224" s="3"/>
      <c r="H224" s="3"/>
    </row>
    <row r="225" spans="1:8" s="4" customFormat="1" ht="38.25">
      <c r="A225" s="117"/>
      <c r="B225" s="10" t="s">
        <v>45</v>
      </c>
      <c r="C225" s="6" t="s">
        <v>50</v>
      </c>
      <c r="D225" s="6">
        <f>E225+F225+G225</f>
        <v>195</v>
      </c>
      <c r="E225" s="6">
        <v>65</v>
      </c>
      <c r="F225" s="6">
        <v>65</v>
      </c>
      <c r="G225" s="6">
        <v>65</v>
      </c>
      <c r="H225" s="3"/>
    </row>
    <row r="226" spans="1:8" s="4" customFormat="1" ht="25.5">
      <c r="A226" s="117"/>
      <c r="B226" s="10" t="s">
        <v>165</v>
      </c>
      <c r="C226" s="6" t="s">
        <v>24</v>
      </c>
      <c r="D226" s="23">
        <f>E226+F226+G226</f>
        <v>5520</v>
      </c>
      <c r="E226" s="23">
        <v>1840</v>
      </c>
      <c r="F226" s="23">
        <v>1840</v>
      </c>
      <c r="G226" s="23">
        <v>1840</v>
      </c>
      <c r="H226" s="3"/>
    </row>
    <row r="227" spans="1:8" s="4" customFormat="1" ht="25.5">
      <c r="A227" s="117"/>
      <c r="B227" s="10" t="s">
        <v>195</v>
      </c>
      <c r="C227" s="6" t="s">
        <v>50</v>
      </c>
      <c r="D227" s="6">
        <f>E227+F227+G227</f>
        <v>240</v>
      </c>
      <c r="E227" s="6">
        <v>80</v>
      </c>
      <c r="F227" s="6">
        <v>80</v>
      </c>
      <c r="G227" s="6">
        <v>80</v>
      </c>
      <c r="H227" s="3"/>
    </row>
    <row r="228" spans="1:8" s="4" customFormat="1" ht="12.75">
      <c r="A228" s="117" t="s">
        <v>87</v>
      </c>
      <c r="B228" s="8"/>
      <c r="C228" s="3"/>
      <c r="D228" s="3"/>
      <c r="E228" s="3"/>
      <c r="F228" s="3"/>
      <c r="G228" s="3"/>
      <c r="H228" s="3"/>
    </row>
    <row r="229" spans="1:8" s="4" customFormat="1" ht="25.5">
      <c r="A229" s="117"/>
      <c r="B229" s="10" t="s">
        <v>32</v>
      </c>
      <c r="C229" s="6" t="s">
        <v>55</v>
      </c>
      <c r="D229" s="6">
        <f>E229+F229+G229</f>
        <v>600</v>
      </c>
      <c r="E229" s="6">
        <v>200</v>
      </c>
      <c r="F229" s="6">
        <v>200</v>
      </c>
      <c r="G229" s="6">
        <v>200</v>
      </c>
      <c r="H229" s="3"/>
    </row>
    <row r="230" spans="1:8" s="4" customFormat="1" ht="25.5">
      <c r="A230" s="117"/>
      <c r="B230" s="10" t="s">
        <v>133</v>
      </c>
      <c r="C230" s="6" t="s">
        <v>24</v>
      </c>
      <c r="D230" s="6">
        <f>E230+F230+G230</f>
        <v>163281.816</v>
      </c>
      <c r="E230" s="6">
        <v>54427.272</v>
      </c>
      <c r="F230" s="6">
        <v>54427.272</v>
      </c>
      <c r="G230" s="6">
        <v>54427.272</v>
      </c>
      <c r="H230" s="3"/>
    </row>
    <row r="231" spans="1:8" s="4" customFormat="1" ht="38.25">
      <c r="A231" s="117"/>
      <c r="B231" s="10" t="s">
        <v>134</v>
      </c>
      <c r="C231" s="6" t="s">
        <v>56</v>
      </c>
      <c r="D231" s="6">
        <f>E231+F231+G231</f>
        <v>624</v>
      </c>
      <c r="E231" s="6">
        <v>208</v>
      </c>
      <c r="F231" s="6">
        <v>208</v>
      </c>
      <c r="G231" s="6">
        <v>208</v>
      </c>
      <c r="H231" s="3"/>
    </row>
    <row r="232" spans="1:8" s="4" customFormat="1" ht="12.75">
      <c r="A232" s="114" t="s">
        <v>86</v>
      </c>
      <c r="B232" s="10"/>
      <c r="C232" s="6"/>
      <c r="D232" s="6"/>
      <c r="E232" s="6"/>
      <c r="F232" s="6"/>
      <c r="G232" s="6"/>
      <c r="H232" s="3"/>
    </row>
    <row r="233" spans="1:8" s="4" customFormat="1" ht="25.5">
      <c r="A233" s="115"/>
      <c r="B233" s="10" t="s">
        <v>196</v>
      </c>
      <c r="C233" s="6" t="s">
        <v>197</v>
      </c>
      <c r="D233" s="6">
        <f>E233+F233+G233</f>
        <v>36.222</v>
      </c>
      <c r="E233" s="6">
        <v>12.074</v>
      </c>
      <c r="F233" s="6">
        <v>12.074</v>
      </c>
      <c r="G233" s="6">
        <v>12.074</v>
      </c>
      <c r="H233" s="3"/>
    </row>
    <row r="234" spans="1:8" s="4" customFormat="1" ht="12.75">
      <c r="A234" s="100" t="s">
        <v>125</v>
      </c>
      <c r="B234" s="10"/>
      <c r="C234" s="6"/>
      <c r="D234" s="6"/>
      <c r="E234" s="6"/>
      <c r="F234" s="6"/>
      <c r="G234" s="6"/>
      <c r="H234" s="3"/>
    </row>
    <row r="235" spans="1:8" s="4" customFormat="1" ht="25.5">
      <c r="A235" s="100"/>
      <c r="B235" s="8" t="s">
        <v>187</v>
      </c>
      <c r="C235" s="6" t="s">
        <v>118</v>
      </c>
      <c r="D235" s="6">
        <f>E235</f>
        <v>52.746</v>
      </c>
      <c r="E235" s="9">
        <v>52.746</v>
      </c>
      <c r="F235" s="6"/>
      <c r="G235" s="6"/>
      <c r="H235" s="3"/>
    </row>
    <row r="236" spans="1:8" s="4" customFormat="1" ht="12.75">
      <c r="A236" s="110" t="s">
        <v>99</v>
      </c>
      <c r="B236" s="110"/>
      <c r="C236" s="110"/>
      <c r="D236" s="110"/>
      <c r="E236" s="110"/>
      <c r="F236" s="110"/>
      <c r="G236" s="110"/>
      <c r="H236" s="3"/>
    </row>
    <row r="237" spans="1:8" s="4" customFormat="1" ht="12.75" customHeight="1">
      <c r="A237" s="114" t="s">
        <v>68</v>
      </c>
      <c r="B237" s="8"/>
      <c r="C237" s="3"/>
      <c r="D237" s="3"/>
      <c r="E237" s="3"/>
      <c r="F237" s="3"/>
      <c r="G237" s="3"/>
      <c r="H237" s="3"/>
    </row>
    <row r="238" spans="1:8" s="4" customFormat="1" ht="12.75">
      <c r="A238" s="116"/>
      <c r="B238" s="10" t="s">
        <v>37</v>
      </c>
      <c r="C238" s="6" t="s">
        <v>50</v>
      </c>
      <c r="D238" s="6">
        <f>E238+F238+G238</f>
        <v>12</v>
      </c>
      <c r="E238" s="6">
        <v>4</v>
      </c>
      <c r="F238" s="6">
        <v>4</v>
      </c>
      <c r="G238" s="6">
        <v>4</v>
      </c>
      <c r="H238" s="3"/>
    </row>
    <row r="239" spans="1:8" s="4" customFormat="1" ht="12.75">
      <c r="A239" s="100" t="s">
        <v>78</v>
      </c>
      <c r="B239" s="8"/>
      <c r="C239" s="6"/>
      <c r="D239" s="6"/>
      <c r="E239" s="6"/>
      <c r="F239" s="6"/>
      <c r="G239" s="6"/>
      <c r="H239" s="3"/>
    </row>
    <row r="240" spans="1:8" s="4" customFormat="1" ht="12.75">
      <c r="A240" s="100"/>
      <c r="B240" s="55" t="s">
        <v>213</v>
      </c>
      <c r="C240" s="6" t="s">
        <v>24</v>
      </c>
      <c r="D240" s="6">
        <f>E240+F240+G240</f>
        <v>4829.5199999999995</v>
      </c>
      <c r="E240" s="6">
        <v>1609.84</v>
      </c>
      <c r="F240" s="6">
        <v>1609.84</v>
      </c>
      <c r="G240" s="6">
        <v>1609.84</v>
      </c>
      <c r="H240" s="3"/>
    </row>
    <row r="241" spans="1:8" s="4" customFormat="1" ht="25.5">
      <c r="A241" s="100"/>
      <c r="B241" s="55" t="s">
        <v>31</v>
      </c>
      <c r="C241" s="6" t="s">
        <v>50</v>
      </c>
      <c r="D241" s="6">
        <f>E241+F241+G241</f>
        <v>489</v>
      </c>
      <c r="E241" s="6">
        <v>163</v>
      </c>
      <c r="F241" s="6">
        <v>163</v>
      </c>
      <c r="G241" s="6">
        <v>163</v>
      </c>
      <c r="H241" s="3"/>
    </row>
    <row r="242" spans="1:8" s="4" customFormat="1" ht="25.5">
      <c r="A242" s="100"/>
      <c r="B242" s="56" t="s">
        <v>214</v>
      </c>
      <c r="C242" s="6" t="s">
        <v>24</v>
      </c>
      <c r="D242" s="6">
        <f>E242+F242+G242</f>
        <v>1140</v>
      </c>
      <c r="E242" s="6">
        <v>380</v>
      </c>
      <c r="F242" s="6">
        <v>380</v>
      </c>
      <c r="G242" s="6">
        <v>380</v>
      </c>
      <c r="H242" s="3"/>
    </row>
    <row r="243" spans="1:8" s="4" customFormat="1" ht="12.75">
      <c r="A243" s="117" t="s">
        <v>87</v>
      </c>
      <c r="B243" s="10"/>
      <c r="C243" s="3"/>
      <c r="D243" s="3"/>
      <c r="E243" s="3"/>
      <c r="F243" s="3"/>
      <c r="G243" s="3"/>
      <c r="H243" s="3"/>
    </row>
    <row r="244" spans="1:8" s="4" customFormat="1" ht="25.5">
      <c r="A244" s="117"/>
      <c r="B244" s="10" t="s">
        <v>32</v>
      </c>
      <c r="C244" s="6" t="s">
        <v>55</v>
      </c>
      <c r="D244" s="6">
        <f>E244+F244+G244</f>
        <v>927</v>
      </c>
      <c r="E244" s="6">
        <v>309</v>
      </c>
      <c r="F244" s="6">
        <v>309</v>
      </c>
      <c r="G244" s="6">
        <v>309</v>
      </c>
      <c r="H244" s="3"/>
    </row>
    <row r="245" spans="1:8" s="4" customFormat="1" ht="12.75">
      <c r="A245" s="117"/>
      <c r="B245" s="10" t="s">
        <v>33</v>
      </c>
      <c r="C245" s="6" t="s">
        <v>57</v>
      </c>
      <c r="D245" s="6">
        <f>E245+F245+G245</f>
        <v>1140</v>
      </c>
      <c r="E245" s="6">
        <v>380</v>
      </c>
      <c r="F245" s="6">
        <v>380</v>
      </c>
      <c r="G245" s="6">
        <v>380</v>
      </c>
      <c r="H245" s="3"/>
    </row>
    <row r="246" spans="1:8" s="4" customFormat="1" ht="12.75">
      <c r="A246" s="117" t="s">
        <v>86</v>
      </c>
      <c r="B246" s="10"/>
      <c r="C246" s="3"/>
      <c r="D246" s="3"/>
      <c r="E246" s="3"/>
      <c r="F246" s="3"/>
      <c r="G246" s="3"/>
      <c r="H246" s="3"/>
    </row>
    <row r="247" spans="1:8" s="4" customFormat="1" ht="25.5">
      <c r="A247" s="117"/>
      <c r="B247" s="10" t="s">
        <v>41</v>
      </c>
      <c r="C247" s="6" t="s">
        <v>25</v>
      </c>
      <c r="D247" s="6">
        <f>E247+F247+G247</f>
        <v>35.160000000000004</v>
      </c>
      <c r="E247" s="6">
        <v>11.72</v>
      </c>
      <c r="F247" s="6">
        <v>11.72</v>
      </c>
      <c r="G247" s="6">
        <v>11.72</v>
      </c>
      <c r="H247" s="3"/>
    </row>
    <row r="248" spans="1:8" s="4" customFormat="1" ht="12.75">
      <c r="A248" s="100" t="s">
        <v>125</v>
      </c>
      <c r="B248" s="10"/>
      <c r="C248" s="6"/>
      <c r="D248" s="6"/>
      <c r="E248" s="6"/>
      <c r="F248" s="6"/>
      <c r="G248" s="6"/>
      <c r="H248" s="3"/>
    </row>
    <row r="249" spans="1:8" s="4" customFormat="1" ht="25.5">
      <c r="A249" s="100"/>
      <c r="B249" s="8" t="s">
        <v>187</v>
      </c>
      <c r="C249" s="6" t="s">
        <v>118</v>
      </c>
      <c r="D249" s="6">
        <f>E249</f>
        <v>37.811</v>
      </c>
      <c r="E249" s="9">
        <v>37.811</v>
      </c>
      <c r="F249" s="6"/>
      <c r="G249" s="6"/>
      <c r="H249" s="3"/>
    </row>
    <row r="250" spans="1:8" s="4" customFormat="1" ht="12.75">
      <c r="A250" s="110" t="s">
        <v>100</v>
      </c>
      <c r="B250" s="110"/>
      <c r="C250" s="110"/>
      <c r="D250" s="110"/>
      <c r="E250" s="110"/>
      <c r="F250" s="110"/>
      <c r="G250" s="110"/>
      <c r="H250" s="3"/>
    </row>
    <row r="251" spans="1:8" s="4" customFormat="1" ht="12.75" customHeight="1">
      <c r="A251" s="114" t="s">
        <v>68</v>
      </c>
      <c r="B251" s="10"/>
      <c r="C251" s="3"/>
      <c r="D251" s="3"/>
      <c r="E251" s="3"/>
      <c r="F251" s="3"/>
      <c r="G251" s="3"/>
      <c r="H251" s="3"/>
    </row>
    <row r="252" spans="1:8" s="4" customFormat="1" ht="25.5">
      <c r="A252" s="116"/>
      <c r="B252" s="10" t="s">
        <v>36</v>
      </c>
      <c r="C252" s="6" t="s">
        <v>24</v>
      </c>
      <c r="D252" s="18">
        <f>E252+F252+G252</f>
        <v>1068690</v>
      </c>
      <c r="E252" s="18">
        <v>356230</v>
      </c>
      <c r="F252" s="18">
        <v>356230</v>
      </c>
      <c r="G252" s="18">
        <v>356230</v>
      </c>
      <c r="H252" s="3"/>
    </row>
    <row r="253" spans="1:8" s="4" customFormat="1" ht="38.25">
      <c r="A253" s="116"/>
      <c r="B253" s="10" t="s">
        <v>200</v>
      </c>
      <c r="C253" s="6" t="s">
        <v>52</v>
      </c>
      <c r="D253" s="6">
        <f>E253+F253+G253</f>
        <v>47.817</v>
      </c>
      <c r="E253" s="9">
        <v>15.939</v>
      </c>
      <c r="F253" s="9">
        <v>15.939</v>
      </c>
      <c r="G253" s="9">
        <v>15.939</v>
      </c>
      <c r="H253" s="3"/>
    </row>
    <row r="254" spans="1:8" s="4" customFormat="1" ht="12.75">
      <c r="A254" s="117" t="s">
        <v>78</v>
      </c>
      <c r="B254" s="8"/>
      <c r="C254" s="3"/>
      <c r="D254" s="3"/>
      <c r="E254" s="3"/>
      <c r="F254" s="3"/>
      <c r="G254" s="3"/>
      <c r="H254" s="3"/>
    </row>
    <row r="255" spans="1:8" s="4" customFormat="1" ht="25.5">
      <c r="A255" s="117"/>
      <c r="B255" s="50" t="s">
        <v>43</v>
      </c>
      <c r="C255" s="6" t="s">
        <v>24</v>
      </c>
      <c r="D255" s="23">
        <f>E255+F255+G255</f>
        <v>1425</v>
      </c>
      <c r="E255" s="18">
        <v>475</v>
      </c>
      <c r="F255" s="18">
        <v>475</v>
      </c>
      <c r="G255" s="18">
        <v>475</v>
      </c>
      <c r="H255" s="3"/>
    </row>
    <row r="256" spans="1:8" s="4" customFormat="1" ht="25.5">
      <c r="A256" s="117"/>
      <c r="B256" s="50" t="s">
        <v>163</v>
      </c>
      <c r="C256" s="6" t="s">
        <v>50</v>
      </c>
      <c r="D256" s="23">
        <f>E256+F256+G256</f>
        <v>41</v>
      </c>
      <c r="E256" s="18">
        <v>11</v>
      </c>
      <c r="F256" s="18">
        <v>15</v>
      </c>
      <c r="G256" s="18">
        <v>15</v>
      </c>
      <c r="H256" s="3"/>
    </row>
    <row r="257" spans="1:8" s="4" customFormat="1" ht="12.75">
      <c r="A257" s="117"/>
      <c r="B257" s="50" t="s">
        <v>201</v>
      </c>
      <c r="C257" s="6" t="s">
        <v>24</v>
      </c>
      <c r="D257" s="38">
        <f>E257+F257+G257</f>
        <v>4925.7300000000005</v>
      </c>
      <c r="E257" s="19">
        <v>1641.91</v>
      </c>
      <c r="F257" s="19">
        <v>1641.91</v>
      </c>
      <c r="G257" s="19">
        <v>1641.91</v>
      </c>
      <c r="H257" s="3"/>
    </row>
    <row r="258" spans="1:8" s="4" customFormat="1" ht="25.5">
      <c r="A258" s="117"/>
      <c r="B258" s="50" t="s">
        <v>31</v>
      </c>
      <c r="C258" s="6" t="s">
        <v>24</v>
      </c>
      <c r="D258" s="42">
        <f>E258+F258+G258</f>
        <v>3019.8</v>
      </c>
      <c r="E258" s="43">
        <v>1006.6</v>
      </c>
      <c r="F258" s="43">
        <v>1006.6</v>
      </c>
      <c r="G258" s="43">
        <v>1006.6</v>
      </c>
      <c r="H258" s="3"/>
    </row>
    <row r="259" spans="1:8" s="4" customFormat="1" ht="38.25">
      <c r="A259" s="117"/>
      <c r="B259" s="21" t="s">
        <v>164</v>
      </c>
      <c r="C259" s="31" t="s">
        <v>24</v>
      </c>
      <c r="D259" s="51">
        <f>E259+F259+G259</f>
        <v>3019.8</v>
      </c>
      <c r="E259" s="52">
        <v>1006.6</v>
      </c>
      <c r="F259" s="52">
        <v>1006.6</v>
      </c>
      <c r="G259" s="52">
        <v>1006.6</v>
      </c>
      <c r="H259" s="3"/>
    </row>
    <row r="260" spans="1:8" s="4" customFormat="1" ht="12.75">
      <c r="A260" s="117" t="s">
        <v>87</v>
      </c>
      <c r="B260" s="8"/>
      <c r="C260" s="3"/>
      <c r="D260" s="3"/>
      <c r="E260" s="3"/>
      <c r="F260" s="3"/>
      <c r="G260" s="3"/>
      <c r="H260" s="3"/>
    </row>
    <row r="261" spans="1:8" s="4" customFormat="1" ht="25.5">
      <c r="A261" s="117"/>
      <c r="B261" s="10" t="s">
        <v>32</v>
      </c>
      <c r="C261" s="6" t="s">
        <v>55</v>
      </c>
      <c r="D261" s="6">
        <f>E261+F261+G261</f>
        <v>120</v>
      </c>
      <c r="E261" s="18">
        <v>40</v>
      </c>
      <c r="F261" s="18">
        <v>40</v>
      </c>
      <c r="G261" s="18">
        <v>40</v>
      </c>
      <c r="H261" s="3"/>
    </row>
    <row r="262" spans="1:8" s="4" customFormat="1" ht="12.75">
      <c r="A262" s="117"/>
      <c r="B262" s="10" t="s">
        <v>33</v>
      </c>
      <c r="C262" s="6" t="s">
        <v>56</v>
      </c>
      <c r="D262" s="42">
        <f>E262+F262+G262</f>
        <v>968.4000000000001</v>
      </c>
      <c r="E262" s="43">
        <v>322.8</v>
      </c>
      <c r="F262" s="43">
        <v>322.8</v>
      </c>
      <c r="G262" s="43">
        <v>322.8</v>
      </c>
      <c r="H262" s="3"/>
    </row>
    <row r="263" spans="1:8" s="4" customFormat="1" ht="12.75">
      <c r="A263" s="114" t="s">
        <v>202</v>
      </c>
      <c r="B263" s="10"/>
      <c r="C263" s="6"/>
      <c r="D263" s="38"/>
      <c r="E263" s="19"/>
      <c r="F263" s="19"/>
      <c r="G263" s="19"/>
      <c r="H263" s="3"/>
    </row>
    <row r="264" spans="1:8" s="4" customFormat="1" ht="38.25">
      <c r="A264" s="115"/>
      <c r="B264" s="8" t="s">
        <v>203</v>
      </c>
      <c r="C264" s="6" t="s">
        <v>24</v>
      </c>
      <c r="D264" s="18">
        <f>E264+F264+G264</f>
        <v>72392.7</v>
      </c>
      <c r="E264" s="18">
        <v>29786.7</v>
      </c>
      <c r="F264" s="18">
        <v>21303</v>
      </c>
      <c r="G264" s="18">
        <v>21303</v>
      </c>
      <c r="H264" s="3"/>
    </row>
    <row r="265" spans="1:8" s="4" customFormat="1" ht="12.75">
      <c r="A265" s="114" t="s">
        <v>86</v>
      </c>
      <c r="B265" s="10"/>
      <c r="C265" s="6"/>
      <c r="D265" s="38"/>
      <c r="E265" s="19"/>
      <c r="F265" s="19"/>
      <c r="G265" s="19"/>
      <c r="H265" s="3"/>
    </row>
    <row r="266" spans="1:8" s="4" customFormat="1" ht="25.5">
      <c r="A266" s="115"/>
      <c r="B266" s="48" t="s">
        <v>41</v>
      </c>
      <c r="C266" s="6" t="s">
        <v>197</v>
      </c>
      <c r="D266" s="37">
        <f>E266+F266+G266</f>
        <v>20.102</v>
      </c>
      <c r="E266" s="9">
        <v>6.88</v>
      </c>
      <c r="F266" s="9">
        <v>6.611</v>
      </c>
      <c r="G266" s="9">
        <v>6.611</v>
      </c>
      <c r="H266" s="3"/>
    </row>
    <row r="267" spans="1:8" s="4" customFormat="1" ht="12.75">
      <c r="A267" s="100" t="s">
        <v>125</v>
      </c>
      <c r="B267" s="10"/>
      <c r="C267" s="6"/>
      <c r="D267" s="6"/>
      <c r="E267" s="6"/>
      <c r="F267" s="6"/>
      <c r="G267" s="6"/>
      <c r="H267" s="3"/>
    </row>
    <row r="268" spans="1:8" s="4" customFormat="1" ht="25.5">
      <c r="A268" s="100"/>
      <c r="B268" s="8" t="s">
        <v>187</v>
      </c>
      <c r="C268" s="6" t="s">
        <v>118</v>
      </c>
      <c r="D268" s="37">
        <f>E268</f>
        <v>1.72</v>
      </c>
      <c r="E268" s="37">
        <v>1.72</v>
      </c>
      <c r="F268" s="6"/>
      <c r="G268" s="6"/>
      <c r="H268" s="3"/>
    </row>
    <row r="269" spans="1:8" s="4" customFormat="1" ht="12.75">
      <c r="A269" s="110" t="s">
        <v>101</v>
      </c>
      <c r="B269" s="110"/>
      <c r="C269" s="110"/>
      <c r="D269" s="110"/>
      <c r="E269" s="110"/>
      <c r="F269" s="110"/>
      <c r="G269" s="110"/>
      <c r="H269" s="3"/>
    </row>
    <row r="270" spans="1:8" s="4" customFormat="1" ht="12.75" customHeight="1">
      <c r="A270" s="114" t="s">
        <v>68</v>
      </c>
      <c r="B270" s="10"/>
      <c r="C270" s="3"/>
      <c r="D270" s="3"/>
      <c r="E270" s="3"/>
      <c r="F270" s="3"/>
      <c r="G270" s="3"/>
      <c r="H270" s="3"/>
    </row>
    <row r="271" spans="1:8" s="4" customFormat="1" ht="26.25" customHeight="1">
      <c r="A271" s="116"/>
      <c r="B271" s="10" t="s">
        <v>46</v>
      </c>
      <c r="C271" s="6" t="s">
        <v>52</v>
      </c>
      <c r="D271" s="6">
        <v>374.09799999999996</v>
      </c>
      <c r="E271" s="6">
        <v>120.378</v>
      </c>
      <c r="F271" s="6">
        <v>120.378</v>
      </c>
      <c r="G271" s="6">
        <v>120.378</v>
      </c>
      <c r="H271" s="3"/>
    </row>
    <row r="272" spans="1:8" s="4" customFormat="1" ht="12.75">
      <c r="A272" s="116"/>
      <c r="B272" s="10" t="s">
        <v>204</v>
      </c>
      <c r="C272" s="6" t="s">
        <v>52</v>
      </c>
      <c r="D272" s="38">
        <v>198.47</v>
      </c>
      <c r="E272" s="6">
        <v>11.1281</v>
      </c>
      <c r="F272" s="6">
        <v>11.1281</v>
      </c>
      <c r="G272" s="6">
        <v>11.1281</v>
      </c>
      <c r="H272" s="3"/>
    </row>
    <row r="273" spans="1:8" s="4" customFormat="1" ht="27" customHeight="1">
      <c r="A273" s="116"/>
      <c r="B273" s="10" t="s">
        <v>193</v>
      </c>
      <c r="C273" s="6" t="s">
        <v>50</v>
      </c>
      <c r="D273" s="6">
        <f>E273+F273+G273</f>
        <v>273</v>
      </c>
      <c r="E273" s="6">
        <v>91</v>
      </c>
      <c r="F273" s="6">
        <v>91</v>
      </c>
      <c r="G273" s="6">
        <v>91</v>
      </c>
      <c r="H273" s="3"/>
    </row>
    <row r="274" spans="1:8" s="4" customFormat="1" ht="25.5">
      <c r="A274" s="116"/>
      <c r="B274" s="10" t="s">
        <v>205</v>
      </c>
      <c r="C274" s="6" t="s">
        <v>50</v>
      </c>
      <c r="D274" s="6">
        <f>E274+F274+G274</f>
        <v>3</v>
      </c>
      <c r="E274" s="6">
        <v>1</v>
      </c>
      <c r="F274" s="6">
        <v>1</v>
      </c>
      <c r="G274" s="6">
        <v>1</v>
      </c>
      <c r="H274" s="3"/>
    </row>
    <row r="275" spans="1:8" s="4" customFormat="1" ht="12.75">
      <c r="A275" s="117" t="s">
        <v>78</v>
      </c>
      <c r="B275" s="10"/>
      <c r="C275" s="3"/>
      <c r="D275" s="3"/>
      <c r="E275" s="3"/>
      <c r="F275" s="3"/>
      <c r="G275" s="3"/>
      <c r="H275" s="3"/>
    </row>
    <row r="276" spans="1:8" s="4" customFormat="1" ht="25.5">
      <c r="A276" s="117"/>
      <c r="B276" s="49" t="s">
        <v>43</v>
      </c>
      <c r="C276" s="6" t="s">
        <v>24</v>
      </c>
      <c r="D276" s="38">
        <f>E276+F276+G276</f>
        <v>806.6799999999998</v>
      </c>
      <c r="E276" s="38">
        <v>735.56</v>
      </c>
      <c r="F276" s="38">
        <v>35.56</v>
      </c>
      <c r="G276" s="38">
        <v>35.56</v>
      </c>
      <c r="H276" s="3"/>
    </row>
    <row r="277" spans="1:8" s="4" customFormat="1" ht="38.25">
      <c r="A277" s="117"/>
      <c r="B277" s="10" t="s">
        <v>45</v>
      </c>
      <c r="C277" s="6" t="s">
        <v>50</v>
      </c>
      <c r="D277" s="23">
        <f aca="true" t="shared" si="6" ref="D277:D288">E277+F277+G277</f>
        <v>150</v>
      </c>
      <c r="E277" s="6">
        <v>50</v>
      </c>
      <c r="F277" s="6">
        <v>50</v>
      </c>
      <c r="G277" s="6">
        <v>50</v>
      </c>
      <c r="H277" s="3"/>
    </row>
    <row r="278" spans="1:8" s="4" customFormat="1" ht="25.5">
      <c r="A278" s="117"/>
      <c r="B278" s="10" t="s">
        <v>30</v>
      </c>
      <c r="C278" s="6" t="s">
        <v>24</v>
      </c>
      <c r="D278" s="23">
        <f t="shared" si="6"/>
        <v>3645</v>
      </c>
      <c r="E278" s="23">
        <v>1215</v>
      </c>
      <c r="F278" s="23">
        <v>1215</v>
      </c>
      <c r="G278" s="23">
        <v>1215</v>
      </c>
      <c r="H278" s="3"/>
    </row>
    <row r="279" spans="1:8" s="4" customFormat="1" ht="25.5">
      <c r="A279" s="117"/>
      <c r="B279" s="10" t="s">
        <v>31</v>
      </c>
      <c r="C279" s="6" t="s">
        <v>50</v>
      </c>
      <c r="D279" s="23">
        <f t="shared" si="6"/>
        <v>600</v>
      </c>
      <c r="E279" s="23">
        <v>226</v>
      </c>
      <c r="F279" s="23">
        <v>187</v>
      </c>
      <c r="G279" s="23">
        <v>187</v>
      </c>
      <c r="H279" s="3"/>
    </row>
    <row r="280" spans="1:8" s="4" customFormat="1" ht="25.5">
      <c r="A280" s="117"/>
      <c r="B280" s="10" t="s">
        <v>206</v>
      </c>
      <c r="C280" s="6" t="s">
        <v>24</v>
      </c>
      <c r="D280" s="23">
        <f t="shared" si="6"/>
        <v>3</v>
      </c>
      <c r="E280" s="23">
        <v>1</v>
      </c>
      <c r="F280" s="23">
        <v>1</v>
      </c>
      <c r="G280" s="23">
        <v>1</v>
      </c>
      <c r="H280" s="3"/>
    </row>
    <row r="281" spans="1:8" s="4" customFormat="1" ht="25.5">
      <c r="A281" s="117"/>
      <c r="B281" s="10" t="s">
        <v>207</v>
      </c>
      <c r="C281" s="6" t="s">
        <v>210</v>
      </c>
      <c r="D281" s="23">
        <f t="shared" si="6"/>
        <v>171</v>
      </c>
      <c r="E281" s="23">
        <v>57</v>
      </c>
      <c r="F281" s="23">
        <v>57</v>
      </c>
      <c r="G281" s="23">
        <v>57</v>
      </c>
      <c r="H281" s="3"/>
    </row>
    <row r="282" spans="1:8" s="4" customFormat="1" ht="25.5">
      <c r="A282" s="117"/>
      <c r="B282" s="10" t="s">
        <v>208</v>
      </c>
      <c r="C282" s="6" t="s">
        <v>50</v>
      </c>
      <c r="D282" s="37">
        <f t="shared" si="6"/>
        <v>2534.358</v>
      </c>
      <c r="E282" s="6">
        <v>933.67</v>
      </c>
      <c r="F282" s="6">
        <v>800.344</v>
      </c>
      <c r="G282" s="6">
        <v>800.344</v>
      </c>
      <c r="H282" s="3"/>
    </row>
    <row r="283" spans="1:8" s="4" customFormat="1" ht="25.5">
      <c r="A283" s="96"/>
      <c r="B283" s="10" t="s">
        <v>195</v>
      </c>
      <c r="C283" s="6" t="s">
        <v>50</v>
      </c>
      <c r="D283" s="23">
        <f t="shared" si="6"/>
        <v>42</v>
      </c>
      <c r="E283" s="6">
        <v>14</v>
      </c>
      <c r="F283" s="6">
        <v>14</v>
      </c>
      <c r="G283" s="6">
        <v>14</v>
      </c>
      <c r="H283" s="3"/>
    </row>
    <row r="284" spans="1:8" s="4" customFormat="1" ht="12.75">
      <c r="A284" s="96"/>
      <c r="B284" s="10" t="s">
        <v>279</v>
      </c>
      <c r="C284" s="6" t="s">
        <v>52</v>
      </c>
      <c r="D284" s="38">
        <f t="shared" si="6"/>
        <v>3.75</v>
      </c>
      <c r="E284" s="6">
        <v>1.25</v>
      </c>
      <c r="F284" s="6">
        <v>1.25</v>
      </c>
      <c r="G284" s="6">
        <v>1.25</v>
      </c>
      <c r="H284" s="3"/>
    </row>
    <row r="285" spans="1:8" s="4" customFormat="1" ht="12.75">
      <c r="A285" s="117" t="s">
        <v>87</v>
      </c>
      <c r="B285" s="8"/>
      <c r="C285" s="3"/>
      <c r="D285" s="3"/>
      <c r="E285" s="3"/>
      <c r="F285" s="3"/>
      <c r="G285" s="3"/>
      <c r="H285" s="3"/>
    </row>
    <row r="286" spans="1:8" s="4" customFormat="1" ht="25.5">
      <c r="A286" s="117"/>
      <c r="B286" s="10" t="s">
        <v>47</v>
      </c>
      <c r="C286" s="6" t="s">
        <v>57</v>
      </c>
      <c r="D286" s="42">
        <f t="shared" si="6"/>
        <v>202.5</v>
      </c>
      <c r="E286" s="6">
        <v>67.5</v>
      </c>
      <c r="F286" s="6">
        <v>67.5</v>
      </c>
      <c r="G286" s="6">
        <v>67.5</v>
      </c>
      <c r="H286" s="3"/>
    </row>
    <row r="287" spans="1:8" s="4" customFormat="1" ht="25.5">
      <c r="A287" s="117"/>
      <c r="B287" s="10" t="s">
        <v>32</v>
      </c>
      <c r="C287" s="6" t="s">
        <v>55</v>
      </c>
      <c r="D287" s="23">
        <f t="shared" si="6"/>
        <v>141</v>
      </c>
      <c r="E287" s="6">
        <v>47</v>
      </c>
      <c r="F287" s="6">
        <v>47</v>
      </c>
      <c r="G287" s="6">
        <v>47</v>
      </c>
      <c r="H287" s="3"/>
    </row>
    <row r="288" spans="1:8" s="4" customFormat="1" ht="12.75">
      <c r="A288" s="117"/>
      <c r="B288" s="10" t="s">
        <v>33</v>
      </c>
      <c r="C288" s="6" t="s">
        <v>162</v>
      </c>
      <c r="D288" s="23">
        <f t="shared" si="6"/>
        <v>1182</v>
      </c>
      <c r="E288" s="6">
        <v>394</v>
      </c>
      <c r="F288" s="6">
        <v>394</v>
      </c>
      <c r="G288" s="6">
        <v>394</v>
      </c>
      <c r="H288" s="3"/>
    </row>
    <row r="289" spans="1:8" s="4" customFormat="1" ht="12.75">
      <c r="A289" s="117" t="s">
        <v>73</v>
      </c>
      <c r="B289" s="8"/>
      <c r="C289" s="3"/>
      <c r="D289" s="3"/>
      <c r="E289" s="3"/>
      <c r="F289" s="3"/>
      <c r="G289" s="3"/>
      <c r="H289" s="3"/>
    </row>
    <row r="290" spans="1:8" s="4" customFormat="1" ht="38.25">
      <c r="A290" s="117"/>
      <c r="B290" s="8" t="s">
        <v>48</v>
      </c>
      <c r="C290" s="6" t="s">
        <v>57</v>
      </c>
      <c r="D290" s="6">
        <f>E290+F290+G290</f>
        <v>505.26</v>
      </c>
      <c r="E290" s="6">
        <v>168.42</v>
      </c>
      <c r="F290" s="6">
        <v>168.42</v>
      </c>
      <c r="G290" s="6">
        <v>168.42</v>
      </c>
      <c r="H290" s="6">
        <v>168.42</v>
      </c>
    </row>
    <row r="291" spans="1:8" s="4" customFormat="1" ht="12.75" customHeight="1">
      <c r="A291" s="114" t="s">
        <v>86</v>
      </c>
      <c r="B291" s="10"/>
      <c r="C291" s="6"/>
      <c r="D291" s="6"/>
      <c r="E291" s="6"/>
      <c r="F291" s="6"/>
      <c r="G291" s="6"/>
      <c r="H291" s="6"/>
    </row>
    <row r="292" spans="1:8" s="4" customFormat="1" ht="12.75">
      <c r="A292" s="116"/>
      <c r="B292" s="48" t="s">
        <v>209</v>
      </c>
      <c r="C292" s="6" t="s">
        <v>197</v>
      </c>
      <c r="D292" s="6">
        <f>E292+F292+G292</f>
        <v>9.738900000000001</v>
      </c>
      <c r="E292" s="6">
        <v>3.2463</v>
      </c>
      <c r="F292" s="6">
        <v>3.2463</v>
      </c>
      <c r="G292" s="6">
        <v>3.2463</v>
      </c>
      <c r="H292" s="6"/>
    </row>
    <row r="293" spans="1:8" s="4" customFormat="1" ht="25.5">
      <c r="A293" s="115"/>
      <c r="B293" s="48" t="s">
        <v>275</v>
      </c>
      <c r="C293" s="6" t="s">
        <v>50</v>
      </c>
      <c r="D293" s="6">
        <f>E293+F293+G293</f>
        <v>12</v>
      </c>
      <c r="E293" s="6">
        <v>4</v>
      </c>
      <c r="F293" s="6">
        <v>4</v>
      </c>
      <c r="G293" s="6">
        <v>4</v>
      </c>
      <c r="H293" s="6"/>
    </row>
    <row r="294" spans="1:8" s="4" customFormat="1" ht="25.5">
      <c r="A294" s="97" t="s">
        <v>282</v>
      </c>
      <c r="B294" s="98" t="s">
        <v>280</v>
      </c>
      <c r="C294" s="99" t="s">
        <v>281</v>
      </c>
      <c r="D294" s="99">
        <f>E294+F294+G294</f>
        <v>15</v>
      </c>
      <c r="E294" s="99">
        <v>7</v>
      </c>
      <c r="F294" s="99">
        <v>4</v>
      </c>
      <c r="G294" s="99">
        <v>4</v>
      </c>
      <c r="H294" s="6"/>
    </row>
    <row r="295" spans="1:8" s="4" customFormat="1" ht="12.75" customHeight="1">
      <c r="A295" s="112" t="s">
        <v>125</v>
      </c>
      <c r="B295" s="10"/>
      <c r="C295" s="6"/>
      <c r="D295" s="6"/>
      <c r="E295" s="6"/>
      <c r="F295" s="6"/>
      <c r="G295" s="6"/>
      <c r="H295" s="3"/>
    </row>
    <row r="296" spans="1:8" s="4" customFormat="1" ht="24" customHeight="1">
      <c r="A296" s="113"/>
      <c r="B296" s="8" t="s">
        <v>187</v>
      </c>
      <c r="C296" s="6" t="s">
        <v>118</v>
      </c>
      <c r="D296" s="37">
        <v>431.985</v>
      </c>
      <c r="E296" s="37">
        <v>65.645</v>
      </c>
      <c r="F296" s="6"/>
      <c r="G296" s="6"/>
      <c r="H296" s="3"/>
    </row>
    <row r="297" spans="1:8" s="1" customFormat="1" ht="12.75">
      <c r="A297" s="136" t="s">
        <v>90</v>
      </c>
      <c r="B297" s="136"/>
      <c r="C297" s="136"/>
      <c r="D297" s="136"/>
      <c r="E297" s="136"/>
      <c r="F297" s="136"/>
      <c r="G297" s="136"/>
      <c r="H297" s="8"/>
    </row>
    <row r="298" spans="1:8" s="1" customFormat="1" ht="12.75">
      <c r="A298" s="101" t="s">
        <v>49</v>
      </c>
      <c r="B298" s="101"/>
      <c r="C298" s="101"/>
      <c r="D298" s="101"/>
      <c r="E298" s="101"/>
      <c r="F298" s="101"/>
      <c r="G298" s="101"/>
      <c r="H298" s="8"/>
    </row>
    <row r="299" spans="1:8" s="1" customFormat="1" ht="12.75" customHeight="1">
      <c r="A299" s="141" t="s">
        <v>91</v>
      </c>
      <c r="B299" s="80"/>
      <c r="C299" s="78"/>
      <c r="D299" s="81"/>
      <c r="E299" s="81"/>
      <c r="F299" s="81"/>
      <c r="G299" s="81"/>
      <c r="H299" s="8"/>
    </row>
    <row r="300" spans="1:8" s="1" customFormat="1" ht="36">
      <c r="A300" s="141"/>
      <c r="B300" s="63" t="s">
        <v>92</v>
      </c>
      <c r="C300" s="78" t="s">
        <v>50</v>
      </c>
      <c r="D300" s="78">
        <v>1</v>
      </c>
      <c r="E300" s="78">
        <v>1</v>
      </c>
      <c r="F300" s="78">
        <v>1</v>
      </c>
      <c r="G300" s="78">
        <v>1</v>
      </c>
      <c r="H300" s="8"/>
    </row>
    <row r="301" spans="1:8" s="1" customFormat="1" ht="24">
      <c r="A301" s="141"/>
      <c r="B301" s="63" t="s">
        <v>187</v>
      </c>
      <c r="C301" s="78" t="s">
        <v>118</v>
      </c>
      <c r="D301" s="78">
        <f>E301</f>
        <v>120.622</v>
      </c>
      <c r="E301" s="82">
        <f>13.87+106.752</f>
        <v>120.622</v>
      </c>
      <c r="F301" s="78"/>
      <c r="G301" s="78"/>
      <c r="H301" s="8"/>
    </row>
    <row r="302" spans="1:8" s="1" customFormat="1" ht="12.75">
      <c r="A302" s="136" t="s">
        <v>93</v>
      </c>
      <c r="B302" s="136"/>
      <c r="C302" s="136"/>
      <c r="D302" s="136"/>
      <c r="E302" s="136"/>
      <c r="F302" s="136"/>
      <c r="G302" s="136"/>
      <c r="H302" s="8"/>
    </row>
    <row r="303" spans="1:8" s="1" customFormat="1" ht="12.75">
      <c r="A303" s="101" t="s">
        <v>49</v>
      </c>
      <c r="B303" s="101"/>
      <c r="C303" s="101"/>
      <c r="D303" s="101"/>
      <c r="E303" s="101"/>
      <c r="F303" s="101"/>
      <c r="G303" s="101"/>
      <c r="H303" s="8"/>
    </row>
    <row r="304" spans="1:8" s="1" customFormat="1" ht="12.75" customHeight="1">
      <c r="A304" s="114" t="s">
        <v>94</v>
      </c>
      <c r="B304" s="5"/>
      <c r="C304" s="3"/>
      <c r="D304" s="36"/>
      <c r="E304" s="36"/>
      <c r="F304" s="36"/>
      <c r="G304" s="36"/>
      <c r="H304" s="8"/>
    </row>
    <row r="305" spans="1:8" s="1" customFormat="1" ht="51">
      <c r="A305" s="116"/>
      <c r="B305" s="8" t="s">
        <v>130</v>
      </c>
      <c r="C305" s="6" t="s">
        <v>116</v>
      </c>
      <c r="D305" s="3">
        <f>E305+F305+G305</f>
        <v>5</v>
      </c>
      <c r="E305" s="3">
        <v>5</v>
      </c>
      <c r="F305" s="3"/>
      <c r="G305" s="3"/>
      <c r="H305" s="8"/>
    </row>
    <row r="306" spans="1:8" s="1" customFormat="1" ht="102">
      <c r="A306" s="115"/>
      <c r="B306" s="8" t="s">
        <v>270</v>
      </c>
      <c r="C306" s="6" t="s">
        <v>116</v>
      </c>
      <c r="D306" s="3">
        <f>E306+F306+G306</f>
        <v>1</v>
      </c>
      <c r="E306" s="3">
        <v>1</v>
      </c>
      <c r="F306" s="3"/>
      <c r="G306" s="3"/>
      <c r="H306" s="8"/>
    </row>
    <row r="307" spans="1:8" ht="12.75">
      <c r="A307" s="136" t="s">
        <v>252</v>
      </c>
      <c r="B307" s="136"/>
      <c r="C307" s="136"/>
      <c r="D307" s="136"/>
      <c r="E307" s="136"/>
      <c r="F307" s="136"/>
      <c r="G307" s="136"/>
      <c r="H307" s="36"/>
    </row>
    <row r="308" spans="1:8" ht="12.75">
      <c r="A308" s="101" t="s">
        <v>49</v>
      </c>
      <c r="B308" s="101"/>
      <c r="C308" s="101"/>
      <c r="D308" s="101"/>
      <c r="E308" s="101"/>
      <c r="F308" s="101"/>
      <c r="G308" s="101"/>
      <c r="H308" s="36"/>
    </row>
    <row r="309" spans="1:8" ht="61.5" customHeight="1">
      <c r="A309" s="77" t="s">
        <v>251</v>
      </c>
      <c r="B309" s="63" t="s">
        <v>88</v>
      </c>
      <c r="C309" s="78" t="s">
        <v>58</v>
      </c>
      <c r="D309" s="78">
        <f>E309+F309+G309</f>
        <v>795</v>
      </c>
      <c r="E309" s="78">
        <v>265</v>
      </c>
      <c r="F309" s="78">
        <v>265</v>
      </c>
      <c r="G309" s="78">
        <v>265</v>
      </c>
      <c r="H309" s="40"/>
    </row>
    <row r="310" spans="1:8" ht="12.75">
      <c r="A310" s="136" t="s">
        <v>253</v>
      </c>
      <c r="B310" s="136"/>
      <c r="C310" s="136"/>
      <c r="D310" s="136"/>
      <c r="E310" s="136"/>
      <c r="F310" s="136"/>
      <c r="G310" s="136"/>
      <c r="H310" s="40"/>
    </row>
    <row r="311" spans="1:8" ht="12.75">
      <c r="A311" s="101" t="s">
        <v>49</v>
      </c>
      <c r="B311" s="101"/>
      <c r="C311" s="101"/>
      <c r="D311" s="101"/>
      <c r="E311" s="101"/>
      <c r="F311" s="101"/>
      <c r="G311" s="101"/>
      <c r="H311" s="40"/>
    </row>
    <row r="312" spans="1:8" ht="24">
      <c r="A312" s="77" t="s">
        <v>250</v>
      </c>
      <c r="B312" s="63" t="s">
        <v>191</v>
      </c>
      <c r="C312" s="78" t="s">
        <v>58</v>
      </c>
      <c r="D312" s="78">
        <f>E312+F312+G312</f>
        <v>15</v>
      </c>
      <c r="E312" s="79">
        <v>5</v>
      </c>
      <c r="F312" s="79">
        <v>5</v>
      </c>
      <c r="G312" s="79">
        <v>5</v>
      </c>
      <c r="H312" s="40"/>
    </row>
    <row r="313" spans="1:8" ht="12.75">
      <c r="A313" s="110" t="s">
        <v>95</v>
      </c>
      <c r="B313" s="110"/>
      <c r="C313" s="110"/>
      <c r="D313" s="110"/>
      <c r="E313" s="110"/>
      <c r="F313" s="110"/>
      <c r="G313" s="110"/>
      <c r="H313" s="88"/>
    </row>
    <row r="314" spans="1:8" ht="25.5">
      <c r="A314" s="20" t="s">
        <v>271</v>
      </c>
      <c r="B314" s="8" t="s">
        <v>187</v>
      </c>
      <c r="C314" s="6" t="s">
        <v>118</v>
      </c>
      <c r="D314" s="37">
        <f>E314+F314+G314</f>
        <v>7.822</v>
      </c>
      <c r="E314" s="9">
        <v>7.822</v>
      </c>
      <c r="F314" s="23"/>
      <c r="G314" s="23"/>
      <c r="H314" s="88"/>
    </row>
    <row r="315" spans="1:8" ht="12.75">
      <c r="A315" s="91"/>
      <c r="B315" s="92"/>
      <c r="C315" s="93"/>
      <c r="D315" s="94"/>
      <c r="E315" s="94"/>
      <c r="F315" s="94"/>
      <c r="G315" s="94"/>
      <c r="H315" s="88"/>
    </row>
    <row r="316" spans="1:8" ht="12.75">
      <c r="A316" s="91"/>
      <c r="B316" s="92"/>
      <c r="C316" s="93"/>
      <c r="D316" s="94"/>
      <c r="E316" s="94"/>
      <c r="F316" s="94"/>
      <c r="G316" s="94"/>
      <c r="H316" s="88"/>
    </row>
    <row r="317" spans="1:7" s="32" customFormat="1" ht="18.75">
      <c r="A317" s="32" t="s">
        <v>112</v>
      </c>
      <c r="C317" s="33"/>
      <c r="F317" s="137" t="s">
        <v>113</v>
      </c>
      <c r="G317" s="137"/>
    </row>
    <row r="318" spans="1:7" s="4" customFormat="1" ht="25.5" customHeight="1">
      <c r="A318" s="35"/>
      <c r="B318" s="34"/>
      <c r="D318" s="34"/>
      <c r="E318" s="34"/>
      <c r="F318" s="34"/>
      <c r="G318" s="34"/>
    </row>
    <row r="319" spans="1:7" s="4" customFormat="1" ht="17.25" customHeight="1">
      <c r="A319" s="35"/>
      <c r="B319" s="34"/>
      <c r="D319" s="34"/>
      <c r="E319" s="34"/>
      <c r="F319" s="34"/>
      <c r="G319" s="34"/>
    </row>
    <row r="320" spans="1:7" s="4" customFormat="1" ht="12.75">
      <c r="A320" s="35"/>
      <c r="B320" s="34"/>
      <c r="D320" s="34"/>
      <c r="E320" s="34"/>
      <c r="F320" s="34"/>
      <c r="G320" s="34"/>
    </row>
  </sheetData>
  <sheetProtection/>
  <mergeCells count="108">
    <mergeCell ref="E5:F5"/>
    <mergeCell ref="E6:F6"/>
    <mergeCell ref="E7:F7"/>
    <mergeCell ref="A69:G69"/>
    <mergeCell ref="A295:A296"/>
    <mergeCell ref="A62:G62"/>
    <mergeCell ref="A65:G65"/>
    <mergeCell ref="A170:A175"/>
    <mergeCell ref="A237:A238"/>
    <mergeCell ref="A71:G71"/>
    <mergeCell ref="A55:H55"/>
    <mergeCell ref="A291:A293"/>
    <mergeCell ref="A182:A189"/>
    <mergeCell ref="A208:A210"/>
    <mergeCell ref="A234:A235"/>
    <mergeCell ref="A232:A233"/>
    <mergeCell ref="B122:B124"/>
    <mergeCell ref="A137:A138"/>
    <mergeCell ref="A57:A61"/>
    <mergeCell ref="A56:G56"/>
    <mergeCell ref="A134:A136"/>
    <mergeCell ref="A39:H39"/>
    <mergeCell ref="A145:A147"/>
    <mergeCell ref="A218:A223"/>
    <mergeCell ref="A239:A242"/>
    <mergeCell ref="A73:G73"/>
    <mergeCell ref="A150:A151"/>
    <mergeCell ref="A148:A149"/>
    <mergeCell ref="A181:G181"/>
    <mergeCell ref="A95:A101"/>
    <mergeCell ref="A107:A119"/>
    <mergeCell ref="A75:H75"/>
    <mergeCell ref="A217:G217"/>
    <mergeCell ref="A120:A129"/>
    <mergeCell ref="B28:B29"/>
    <mergeCell ref="B155:B156"/>
    <mergeCell ref="A157:A169"/>
    <mergeCell ref="A176:A177"/>
    <mergeCell ref="A76:G76"/>
    <mergeCell ref="A133:G133"/>
    <mergeCell ref="A205:A207"/>
    <mergeCell ref="B21:B22"/>
    <mergeCell ref="A192:A193"/>
    <mergeCell ref="A81:G81"/>
    <mergeCell ref="A80:G80"/>
    <mergeCell ref="A82:A94"/>
    <mergeCell ref="A102:A106"/>
    <mergeCell ref="A63:A64"/>
    <mergeCell ref="A130:G130"/>
    <mergeCell ref="A139:A144"/>
    <mergeCell ref="A131:A132"/>
    <mergeCell ref="A41:A54"/>
    <mergeCell ref="A313:G313"/>
    <mergeCell ref="B140:B141"/>
    <mergeCell ref="A67:G67"/>
    <mergeCell ref="A270:A274"/>
    <mergeCell ref="A263:A264"/>
    <mergeCell ref="A307:G307"/>
    <mergeCell ref="A311:G311"/>
    <mergeCell ref="A77:A79"/>
    <mergeCell ref="A250:G250"/>
    <mergeCell ref="F317:G317"/>
    <mergeCell ref="A308:G308"/>
    <mergeCell ref="A302:G302"/>
    <mergeCell ref="A299:A301"/>
    <mergeCell ref="E16:G16"/>
    <mergeCell ref="A40:G40"/>
    <mergeCell ref="A20:G20"/>
    <mergeCell ref="B15:B17"/>
    <mergeCell ref="D15:G15"/>
    <mergeCell ref="C15:C17"/>
    <mergeCell ref="A19:H19"/>
    <mergeCell ref="A15:A17"/>
    <mergeCell ref="D16:D17"/>
    <mergeCell ref="A21:A38"/>
    <mergeCell ref="E9:G9"/>
    <mergeCell ref="E10:G10"/>
    <mergeCell ref="A13:G13"/>
    <mergeCell ref="A12:G12"/>
    <mergeCell ref="A310:G310"/>
    <mergeCell ref="A254:A259"/>
    <mergeCell ref="A285:A288"/>
    <mergeCell ref="A260:A262"/>
    <mergeCell ref="A269:G269"/>
    <mergeCell ref="A297:G297"/>
    <mergeCell ref="A303:G303"/>
    <mergeCell ref="A304:A306"/>
    <mergeCell ref="A298:G298"/>
    <mergeCell ref="A289:A290"/>
    <mergeCell ref="A211:A212"/>
    <mergeCell ref="A228:A231"/>
    <mergeCell ref="A152:G152"/>
    <mergeCell ref="A194:A204"/>
    <mergeCell ref="A190:A191"/>
    <mergeCell ref="A178:A180"/>
    <mergeCell ref="A224:A227"/>
    <mergeCell ref="A213:A214"/>
    <mergeCell ref="A153:A156"/>
    <mergeCell ref="B213:G213"/>
    <mergeCell ref="A215:A216"/>
    <mergeCell ref="A248:A249"/>
    <mergeCell ref="A265:A266"/>
    <mergeCell ref="A251:A253"/>
    <mergeCell ref="A243:A245"/>
    <mergeCell ref="A246:A247"/>
    <mergeCell ref="A236:G236"/>
    <mergeCell ref="A267:A268"/>
    <mergeCell ref="A275:A282"/>
  </mergeCells>
  <printOptions/>
  <pageMargins left="1.1811023622047245" right="0.3937007874015748" top="1.1811023622047245" bottom="0.7874015748031497" header="0.7874015748031497" footer="0"/>
  <pageSetup fitToHeight="25" horizontalDpi="600" verticalDpi="600" orientation="landscape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2015-06-04T09:10:01Z</cp:lastPrinted>
  <dcterms:created xsi:type="dcterms:W3CDTF">1996-10-08T23:32:33Z</dcterms:created>
  <dcterms:modified xsi:type="dcterms:W3CDTF">2015-06-22T08:31:27Z</dcterms:modified>
  <cp:category/>
  <cp:version/>
  <cp:contentType/>
  <cp:contentStatus/>
</cp:coreProperties>
</file>