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'лист'!$A$1:$H$470</definedName>
  </definedNames>
  <calcPr fullCalcOnLoad="1"/>
</workbook>
</file>

<file path=xl/sharedStrings.xml><?xml version="1.0" encoding="utf-8"?>
<sst xmlns="http://schemas.openxmlformats.org/spreadsheetml/2006/main" count="2327" uniqueCount="595">
  <si>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</si>
  <si>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</si>
  <si>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</si>
  <si>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</si>
  <si>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</si>
  <si>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</si>
  <si>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</si>
  <si>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</si>
  <si>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</si>
  <si>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</si>
  <si>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</si>
  <si>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</si>
  <si>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</si>
  <si>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</si>
  <si>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</si>
  <si>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</si>
  <si>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</si>
  <si>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</si>
  <si>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</si>
  <si>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</si>
  <si>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</si>
  <si>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</si>
  <si>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</si>
  <si>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</si>
  <si>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</si>
  <si>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</si>
  <si>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</si>
  <si>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</si>
  <si>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</si>
  <si>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</si>
  <si>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</si>
  <si>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</si>
  <si>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</si>
  <si>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</si>
  <si>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</si>
  <si>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</si>
  <si>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</si>
  <si>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</si>
  <si>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</si>
  <si>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</si>
  <si>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</si>
  <si>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</si>
  <si>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</si>
  <si>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</si>
  <si>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</si>
  <si>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</si>
  <si>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</si>
  <si>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</si>
  <si>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</si>
  <si>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</si>
  <si>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</si>
  <si>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</si>
  <si>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</si>
  <si>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</si>
  <si>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</si>
  <si>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</si>
  <si>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</si>
  <si>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</si>
  <si>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</si>
  <si>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</si>
  <si>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</si>
  <si>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</si>
  <si>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</si>
  <si>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</si>
  <si>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</si>
  <si>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</si>
  <si>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</si>
  <si>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</si>
  <si>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</si>
  <si>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</si>
  <si>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</si>
  <si>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</si>
  <si>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</si>
  <si>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</si>
  <si>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</si>
  <si>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</si>
  <si>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</si>
  <si>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</si>
  <si>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</si>
  <si>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</si>
  <si>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</si>
  <si>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</si>
  <si>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</si>
  <si>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</si>
  <si>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</si>
  <si>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</si>
  <si>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</si>
  <si>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</si>
  <si>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</si>
  <si>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</si>
  <si>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</si>
  <si>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</si>
  <si>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</si>
  <si>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</si>
  <si>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</si>
  <si>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</si>
  <si>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</si>
  <si>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</si>
  <si>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</si>
  <si>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</si>
  <si>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</si>
  <si>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</si>
  <si>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</si>
  <si>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</si>
  <si>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</si>
  <si>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</si>
  <si>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</si>
  <si>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>Програма раціонального використання території та комплексного містобудівного розвитку міста, затверджена рішенням міської ради від 31.01.2014 №22  (зі змінами)</t>
  </si>
  <si>
    <t>Служби технічного нагляду за будівництвом та капітальним ремонтом</t>
  </si>
  <si>
    <t xml:space="preserve">Поліклініки і амбулаторії </t>
  </si>
  <si>
    <t>Загальні та спеціалізовані стоматологічні поліклініки (крім спеціалізованих поліклінік та загальних і спеціалізованих стоматологічних поліклінік)</t>
  </si>
  <si>
    <t xml:space="preserve">Міська цільова програма роботи і розвитку газети Запорізької міської ради "Запорозька Січ", затверджена рішенням міської ради від  30.01.2014 № 14 (зі змінами) </t>
  </si>
  <si>
    <t>"Програма розвитку охорони здоров'я міста Запоріжжя" на період 2013-2015 роки, затверджена рішенням міської ради від 31.01.2014 № 26 (зі змінами та доповненнями)</t>
  </si>
  <si>
    <t>Міська програма "Розвиток культури і мистецтв у місті Запоріжжя на 2013-2015 роки", затверджена рішенням міської ради від 30.01.2013 № 40 (зі змінами та доповненнями)</t>
  </si>
  <si>
    <t>Програма "Освіта", затверджена рішенням міської ради від 31.01.2014 № 27 (зі змінами та доповненнями)</t>
  </si>
  <si>
    <t>Програма "Оздоровлення та відпочинок", затверджена рішенням міської ради від  31.01.2014 № 27 (зі змінами та доповненнями)</t>
  </si>
  <si>
    <t>Програма "Позашкільна освіта", затверджена рішенням міської ради від  31.01.2014 № 27 (зі змінами та доповненнями)</t>
  </si>
  <si>
    <t xml:space="preserve">Програма "Оздоровлення та відпочинок", затверджена рішенням міської ради від 31.01.2014 № 27 (зі змінами та доповненнями) </t>
  </si>
  <si>
    <t>Програма "Фізична культура та спорт", затверджена рішенням міської ради від 31.01.2014 № 27 (зі змінами та доповненнями)</t>
  </si>
  <si>
    <t>Програма розвитку туризму у місті Запоріжжя на 2014 - 2016 роки, затверджена рішенням міської ради від 23.04.2014 № 20 (зі змінами та доповненнями)</t>
  </si>
  <si>
    <t>Програма "Розвитку ендопротезування великих суглобів в місті Запоріжжі на 2013-2017 роки" затверджена рішенням міської ради від 24.12.2012 № 54 (зі змінами та доповненнями)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</si>
  <si>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24.12.2012 № 87 (зі змінами) - погашення кредиторської заборгованості за минулий рік</t>
  </si>
  <si>
    <r>
      <t>Програма підтримки сім'ї та молоді м. Запоріжжя, затверджена рішенням міської ради від 31.01.2014  № 27 (зі змінами) -</t>
    </r>
    <r>
      <rPr>
        <sz val="12"/>
        <color indexed="10"/>
        <rFont val="Times New Roman"/>
        <family val="1"/>
      </rPr>
      <t xml:space="preserve">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</si>
  <si>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15.01.2015 № 21</t>
  </si>
  <si>
    <t>Програма підтримки сім'ї та молоді м.Запоріжжя на 2015 рік, затверджена рішенням міської ради від 15.01.2015 № 27</t>
  </si>
  <si>
    <t>Програма використання коштів депутатського фонду у 2015 році, затверджена рішенням міської ради від  15.01.2015 № 5</t>
  </si>
  <si>
    <t xml:space="preserve">Програма економічного і соціального розвитку м.Запоріжжя на 2015 рік, затверджена рішенням міської ради від 15.01.2015 № 4  </t>
  </si>
  <si>
    <r>
      <t>Програма розвитку та утримання житлово-комунального господарства м.Запоріжжя на 2015-2017 роки, затверджена рішенням міської ради від 15.01.2015 № 15  -</t>
    </r>
    <r>
      <rPr>
        <sz val="12"/>
        <color indexed="10"/>
        <rFont val="Times New Roman"/>
        <family val="1"/>
      </rPr>
      <t>погашення кредиторської заборгованості за минулий рік</t>
    </r>
  </si>
  <si>
    <t>Міська комплексна програма соціального захисту населення міста Запоріжжя, затверджена рішенням міської ради від 15.01.2015 № 29</t>
  </si>
  <si>
    <r>
      <t xml:space="preserve">Програма економічного і соціального розвитку м.Запоріжжя на 2014 рік, затверджена рішенням міської ради від 31.01.2014 № 4  - </t>
    </r>
    <r>
      <rPr>
        <sz val="12"/>
        <color indexed="10"/>
        <rFont val="Times New Roman"/>
        <family val="1"/>
      </rPr>
      <t xml:space="preserve">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</si>
  <si>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"Фінансова підтримка комунального спортивно-видовищного підприємства "Юність" на 2015 рік, затверджена рішенням міської ради від 15.01.2015 № 27</t>
  </si>
  <si>
    <t>Міська програма "Загальноміські святкові заходи та акції на 2015 рік", затверджена рішенням міської ради від 15.01.2015 № 30</t>
  </si>
  <si>
    <r>
  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</si>
  <si>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r>
      <rPr>
        <sz val="12"/>
        <rFont val="Times New Roman"/>
        <family val="1"/>
      </rPr>
      <t xml:space="preserve">Міська програма "Загальноміські святкові заходи та акції на 2014 рік", затверджена рішенням міської ради від 31.01.2014 №  25 (зі змінами та доповненнями) - </t>
    </r>
    <r>
      <rPr>
        <sz val="12"/>
        <color indexed="61"/>
        <rFont val="Times New Roman"/>
        <family val="1"/>
      </rPr>
      <t>погашення кредиторської заборгованості за минулий рік</t>
    </r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</si>
  <si>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15.01.2015 № 32</t>
  </si>
  <si>
    <t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 21</t>
  </si>
  <si>
    <t>0111</t>
  </si>
  <si>
    <t>0830</t>
  </si>
  <si>
    <t>0490</t>
  </si>
  <si>
    <t>0133</t>
  </si>
  <si>
    <t>0910</t>
  </si>
  <si>
    <t>0921</t>
  </si>
  <si>
    <t>0960</t>
  </si>
  <si>
    <t>0990</t>
  </si>
  <si>
    <t>1040</t>
  </si>
  <si>
    <t>0810</t>
  </si>
  <si>
    <t>0411</t>
  </si>
  <si>
    <t>0540</t>
  </si>
  <si>
    <t>0511</t>
  </si>
  <si>
    <t>1060</t>
  </si>
  <si>
    <t>0731</t>
  </si>
  <si>
    <t>0733</t>
  </si>
  <si>
    <t>0721</t>
  </si>
  <si>
    <t>0722</t>
  </si>
  <si>
    <t>0726</t>
  </si>
  <si>
    <t>0763</t>
  </si>
  <si>
    <t>1020</t>
  </si>
  <si>
    <t>1030</t>
  </si>
  <si>
    <t>1090</t>
  </si>
  <si>
    <t>1070</t>
  </si>
  <si>
    <t>0821</t>
  </si>
  <si>
    <t>0824</t>
  </si>
  <si>
    <t>0828</t>
  </si>
  <si>
    <t>0829</t>
  </si>
  <si>
    <t>0823</t>
  </si>
  <si>
    <t>0610</t>
  </si>
  <si>
    <t>0620</t>
  </si>
  <si>
    <t>0456</t>
  </si>
  <si>
    <t>0443</t>
  </si>
  <si>
    <t>0455</t>
  </si>
  <si>
    <t>0460</t>
  </si>
  <si>
    <t>0320</t>
  </si>
  <si>
    <t>0621</t>
  </si>
  <si>
    <t>0180</t>
  </si>
  <si>
    <r>
      <rPr>
        <sz val="12"/>
        <rFont val="Times New Roman"/>
        <family val="1"/>
      </rPr>
      <t xml:space="preserve">Міська цільова програма з відзначення в м.Запоріжжі державних пам"ятних дат та історичних подій у 2014 році, затверджена рішенням міської ради від 23.04.2014 № 17 </t>
    </r>
    <r>
      <rPr>
        <sz val="12"/>
        <color indexed="61"/>
        <rFont val="Times New Roman"/>
        <family val="1"/>
      </rPr>
      <t>- погашення кредиторської заборгованості за минулий рік</t>
    </r>
  </si>
  <si>
    <t>150110</t>
  </si>
  <si>
    <t>150112</t>
  </si>
  <si>
    <t>Проведення невідкладних відновлювальних робіт, будівництво та реконструкція загальноосвітініх навчальних закладів</t>
  </si>
  <si>
    <t>Проведення невідкладних відновлювальних робіт, будівництво та реконструкція позашкільних навчальних закладів</t>
  </si>
  <si>
    <t>Міська цільова програма "Забезпечення рівних умов проїзду на автобусних маршрутах загального користування", затверджена рішенням міської ради від 25.03.2015 №</t>
  </si>
  <si>
    <t>Програма  використання коштів цільового фонду міської ради на 2015 рік, затверджена рішенням міської ради від  15.01.2015 № 6 (зі змінами)</t>
  </si>
  <si>
    <t>Програма використання коштів депутатського фонду у 2015 році, затверджена рішенням міської ради від  15.01.2015 № 5 (зі змінами)</t>
  </si>
  <si>
    <t>Програма економічного і соціального розвитку м.Запоріжжя на 2015 рік, затверджена рішенням міської ради від 15.01.2015 № 4 (зі змінами)</t>
  </si>
  <si>
    <t>Міська комплексна програма соціального захисту населення міста Запоріжжя, затверджена рішенням міської ради від 15.01.2015 № 29 (зі змінами)</t>
  </si>
  <si>
    <t>Програма проведення в м.Запоріжжі Покровського ярмарку, затверджена рішенням міської ради від 25.03.2015 № 19</t>
  </si>
  <si>
    <t>Міська цільова програма створення філій Центру надання адміністративних послуг у м. Запоріжжі, затверджена рішенням міської ради від 25.03.2015 № 27</t>
  </si>
  <si>
    <t xml:space="preserve"> Програма сприяння розвитку малого та середнього підприємництва у місті Запоріжжі на 2015-2017 роки, затверджена рішенням міської ради від 15.01.2015 № 18 (зі змінами)</t>
  </si>
  <si>
    <t>Міська цільова програма з відзначення в м.Запоріжжі державних пам"ятних дат та історичних подій у 2015 році, затверджена рішенням міської ради від 15.01.2015 № 14 (зі змінами)</t>
  </si>
  <si>
    <t>Програма "Про забезпечення екологічної безпеки міста на 2015-2017 роки", затверджена рішенням міської ради від  15.01.2015 № 17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</si>
  <si>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</t>
  </si>
  <si>
    <t>Програма економічного і соціального розвитку м.Запоріжжя на 2015 рік, затверджена рішенням міської ради від 15.01.2015 № 4  (зі змінами)</t>
  </si>
  <si>
    <t>Міська цільова програма "Про вирішення невідкладних проблемних питань комунального підприємства Міжнародний аеропорт Запоріжжя", затверджена рішенням від 25.03.2015 № 23</t>
  </si>
  <si>
    <t>Міська цільова програма "Нове будівництво інформаційних систем та телекомунікаційних мереж в м. Запоріжжі", затверджена рішенням від 25.03.2015 № 21</t>
  </si>
  <si>
    <t>Міська цільова програма запобігання і ліквідації надзвичайних ситуацій техногенного та природного характеру, організація рятування на водах на 2015-2017 роки, затверджена рішенням міської ради від 15.01.2015 № 16 (зі змінами)</t>
  </si>
  <si>
    <t>Міська програма "Безпечне місто" на 2015 рік, затверджена рішенням міської ради від 25.03.2015 № 15</t>
  </si>
  <si>
    <t>Програма сприяння органів місцевого самоврядування призову громадян та забезпечення проведення заходів з мобілізації у м.Запоріжжі на 2015 рік, затверджена рішенням міської ради від 15.01.2015 № 31 (зі змінами)</t>
  </si>
  <si>
    <t>Програма  використання коштів цільового фонду міської ради на 2015 рік, затверджена рішенням міської ради від 15.01.2015 № 6 (зі змінами)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</si>
  <si>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 15 (зі змінами)</t>
  </si>
  <si>
    <t xml:space="preserve">Програма розвитку та утримання житлово-комунального господарства м.Запоріжжя на 2015-2017 роки, затверджена рішенням міської ради від 15.01.2015 № 15 (зі змінами) </t>
  </si>
  <si>
    <t>Міська цільова програма забезпечення участі Запорізької міської ради в Асоціації міст України та Запорізькій обласній асоціації органів місцевого самоврядування, затверджена рішенням міської ради від 25.02.2013  № 14 (зі змінами)</t>
  </si>
  <si>
    <t>Програма "Управління та забезпечення збереження майна комунальної власності на 2015 рік", затверджена рішенням від 10.06.2015 № 21</t>
  </si>
  <si>
    <t>Міська цільова програма "Фінансова допомога комунальному підприємству "Управління капітального будівництва" у 2015 році, затверджена рішенням міської ради від 25.03.2015 № 9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</si>
  <si>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 </t>
  </si>
  <si>
    <t xml:space="preserve">Програма економічного і соціального розвитку м.Запоріжжя на 2015 рік, затверджена рішенням міської ради від 15.01.2015 № 4 (зі змінами) </t>
  </si>
  <si>
    <t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</t>
  </si>
  <si>
    <t xml:space="preserve">Програма використання коштів депутатського фонду у 2014 році, затверджена рішенням міської ради від 31.01.2014 № 48 (зі змінами) - погашення кредиторської заборгованості за минулий рік </t>
  </si>
  <si>
    <t xml:space="preserve">Програма використання коштів депутатського фонду у 2014 році, затверджена рішенням міської ради від 31.01.2014 № 48 (зі змінами) </t>
  </si>
  <si>
    <t>Програма використання коштів депутатського фонду у 2014 році, затверджена рішенням міської ради від 31.01.2014 № 48 (зі змінами)  - погашення кредиторської заборгованості за минулий рік</t>
  </si>
  <si>
    <t>Міська цільова програма "Створення статутного капіталу комунального підприємства "Запорізьке енергетичне агентство" Запорізької міської ради", затверджена рішенням міської ради від 26.08.2015 № 6</t>
  </si>
  <si>
    <t>Програма відшкодування відсоткових ставок за залученими в кредитно-фінансових установах короткостроковими кредитами, що надаються об"єднанням співвласників багатоквартирних будинків та житлово-будівельним кооперативам на реалізацію енергозберігаючих та енергоефективних проектів в житлово-комунальному господарстві на 2015-2020 роки, затверджена рішенням міської ради від 26.08.2015 № 56</t>
  </si>
  <si>
    <t>070303</t>
  </si>
  <si>
    <r>
      <t>Дитячі будинки (в т. ч. сімейного типу, прийомні сім</t>
    </r>
    <r>
      <rPr>
        <sz val="12"/>
        <rFont val="Calibri"/>
        <family val="2"/>
      </rPr>
      <t>'</t>
    </r>
    <r>
      <rPr>
        <sz val="9.6"/>
        <rFont val="Times New Roman"/>
        <family val="1"/>
      </rPr>
      <t>ї)</t>
    </r>
  </si>
  <si>
    <t xml:space="preserve">Програма "Охорона і раціональне використання земель", затверджена рішенням міської ради від 07.10.2015 № </t>
  </si>
  <si>
    <t>Програма "Управління та забезпечення збереження майна комунальної власності на 2015 рік", затверджена рішенням від 10.06.2015 № 21 (зі змінами)</t>
  </si>
  <si>
    <t>Міська цільова програма "Забезпечення належної та безперебійної роботи комунального підприємства "Преса", затверджена рішенням міської ради від 07.10.2015 № 22</t>
  </si>
  <si>
    <t xml:space="preserve">Програма "Забезпечення необхідними меблями та предметами тривалого вжитку дітей-сиріт та дітей, позбавлених батьківського піклування, які виховуються в дитячому будинку сімейного типу Зарецьких на 2015 рік, затверджена рішенням міської ради від 07.10.2015 № 19 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</si>
  <si>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15.01.2015 № 9 (зі змінами)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</si>
  <si>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 15.01.2015 № 9 (зі змінами)</t>
  </si>
  <si>
    <t>Міська цільова програма "Фінансова допомога комунальному підприємству "Запорізьке енергетичне агентство Запорізької міської ради" на поповнення обігових коштів для забезпечення стабільної роботи підприємства", затверджена рішенням міської ради від 15.01.2015 № 9 (зі змінами)</t>
  </si>
  <si>
    <t>Міський голова</t>
  </si>
  <si>
    <t>В.В.Буряк</t>
  </si>
  <si>
    <t>17.12.2015 №9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</si>
  <si>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</si>
  <si>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</si>
  <si>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</si>
  <si>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</si>
  <si>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</si>
  <si>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</si>
  <si>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</si>
  <si>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</si>
  <si>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</si>
  <si>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</si>
  <si>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</si>
  <si>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</si>
  <si>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</si>
  <si>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</si>
  <si>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</si>
  <si>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</si>
  <si>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</si>
  <si>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</si>
  <si>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</si>
  <si>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</si>
  <si>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</si>
  <si>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</si>
  <si>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</si>
  <si>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</si>
  <si>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</si>
  <si>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</si>
  <si>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</si>
  <si>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</si>
  <si>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</si>
  <si>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</si>
  <si>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</si>
  <si>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</si>
  <si>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</si>
  <si>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</si>
  <si>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</si>
  <si>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</si>
  <si>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</si>
  <si>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</si>
  <si>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</si>
  <si>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</si>
  <si>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</si>
  <si>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</si>
  <si>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</si>
  <si>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</si>
  <si>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</si>
  <si>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</si>
  <si>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</si>
  <si>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</si>
  <si>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</si>
  <si>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</si>
  <si>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</si>
  <si>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</si>
  <si>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</si>
  <si>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</si>
  <si>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</si>
  <si>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</si>
  <si>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</si>
  <si>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</si>
  <si>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</si>
  <si>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</si>
  <si>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</si>
  <si>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</si>
  <si>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</si>
  <si>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</si>
  <si>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</si>
  <si>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</si>
  <si>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</si>
  <si>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</si>
  <si>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</si>
  <si>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</si>
  <si>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</si>
  <si>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</si>
  <si>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</si>
  <si>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</si>
  <si>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</si>
  <si>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</si>
  <si>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</si>
  <si>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</si>
  <si>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</si>
  <si>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</si>
  <si>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</si>
  <si>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</si>
  <si>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</si>
  <si>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</si>
  <si>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</si>
  <si>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</si>
  <si>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</si>
  <si>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</si>
  <si>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</si>
  <si>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</si>
  <si>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</si>
  <si>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</si>
  <si>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</si>
  <si>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</si>
  <si>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</si>
  <si>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</si>
  <si>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</si>
  <si>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</si>
  <si>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</si>
  <si>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</si>
  <si>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</si>
  <si>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</si>
  <si>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</si>
  <si>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</si>
  <si>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</si>
  <si>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</si>
  <si>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</si>
  <si>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</si>
  <si>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</si>
  <si>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</si>
  <si>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</si>
  <si>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</si>
  <si>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</si>
  <si>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</si>
  <si>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</si>
  <si>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</si>
  <si>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</si>
  <si>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</si>
  <si>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</si>
  <si>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</si>
  <si>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</si>
  <si>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</si>
  <si>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</si>
  <si>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</si>
  <si>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</si>
  <si>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</si>
  <si>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</si>
  <si>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</si>
  <si>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</si>
  <si>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Інші заклади освіти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</si>
  <si>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</si>
  <si>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</si>
  <si>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</si>
  <si>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</si>
  <si>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</si>
  <si>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</si>
  <si>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</si>
  <si>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.  .2015 №</t>
  </si>
  <si>
    <t>(тис.грн.)/грн.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</si>
  <si>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</si>
  <si>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</si>
  <si>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</si>
  <si>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</si>
  <si>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</si>
  <si>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</si>
  <si>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 міської ради</t>
  </si>
  <si>
    <t xml:space="preserve">Додаток 7                           </t>
  </si>
  <si>
    <t>Перелік місцевих (регіональних) програм, які фінансуватимуться за рахунок коштів бюджету міста у 2015 році</t>
  </si>
  <si>
    <t>Програма економічного і соціального розвитку м.Запоріжжя на 2014 рік, затверджена рішенням міської ради від          №</t>
  </si>
  <si>
    <t>070806</t>
  </si>
  <si>
    <t>погашення кредиторської заборгованості за минулий рік</t>
  </si>
  <si>
    <t>виконання заходів поточного року</t>
  </si>
  <si>
    <t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</t>
  </si>
  <si>
    <r>
  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</si>
  <si>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 (зі змінами)</t>
  </si>
  <si>
    <r>
  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</si>
  <si>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 xml:space="preserve">Програма підтримки муніципального кредитного рейтингу, затверджена рішенням міської ради від 31.01.2014  № 6 </t>
  </si>
  <si>
    <r>
  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  </r>
    <r>
      <rPr>
        <sz val="12"/>
        <color indexed="60"/>
        <rFont val="Times New Roman"/>
        <family val="1"/>
      </rPr>
      <t xml:space="preserve">- погашення кредиторської заборгованості за минулий рік </t>
    </r>
  </si>
  <si>
    <t>Центри здоров'я і заходи у сфері санітарної освіти</t>
  </si>
  <si>
    <r>
      <t xml:space="preserve">"Програма розвитку охорони здоров'я міста Запоріжжя" на період 2013-2015 роки, затверджена рішенням міської ради від 31.01.2014 № 26 (зі змінами)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</si>
  <si>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   №  (зі змінами)</t>
  </si>
  <si>
    <r>
      <t>"Програма розвитку охорони здоров'я міста Запоріжжя" на період 2013-2015 роки, затверджена рішенням міської ради від 31.01.2014 № 26 (зі змінами) -</t>
    </r>
    <r>
      <rPr>
        <sz val="12"/>
        <color indexed="60"/>
        <rFont val="Times New Roman"/>
        <family val="1"/>
      </rPr>
      <t xml:space="preserve"> погашення кредиторської заборгованості за минулий рік</t>
    </r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</si>
  <si>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 25</t>
  </si>
  <si>
    <t xml:space="preserve">Програма "Перевезення небіжчиків" на 2015-2019 роки, затверджена рішенням міської ради від 10.12.2014 №13 </t>
  </si>
  <si>
    <t>Інші природоохоронні заходи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</si>
  <si>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 № 12 (зі змінами)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</si>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</sst>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Arial Cyr"/>
      <family val="0"/>
    </font>
    <font>
      <sz val="20"/>
      <name val="Arial"/>
      <family val="2"/>
    </font>
    <font>
      <sz val="12"/>
      <name val="Calibri"/>
      <family val="2"/>
    </font>
    <font>
      <sz val="9.6"/>
      <name val="Times New Roman"/>
      <family val="1"/>
    </font>
    <font>
      <sz val="2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1" fillId="25" borderId="11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2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1" fillId="25" borderId="12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49" fontId="1" fillId="25" borderId="10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9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 wrapText="1"/>
    </xf>
    <xf numFmtId="0" fontId="1" fillId="25" borderId="11" xfId="0" applyFont="1" applyFill="1" applyBorder="1" applyAlignment="1">
      <alignment vertical="center" wrapText="1"/>
    </xf>
    <xf numFmtId="0" fontId="30" fillId="25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0" fontId="29" fillId="25" borderId="0" xfId="0" applyFont="1" applyFill="1" applyAlignment="1">
      <alignment/>
    </xf>
    <xf numFmtId="1" fontId="51" fillId="25" borderId="10" xfId="0" applyNumberFormat="1" applyFont="1" applyFill="1" applyBorder="1" applyAlignment="1">
      <alignment horizontal="right" vertical="center" wrapText="1"/>
    </xf>
    <xf numFmtId="1" fontId="51" fillId="25" borderId="10" xfId="0" applyNumberFormat="1" applyFont="1" applyFill="1" applyBorder="1" applyAlignment="1">
      <alignment vertical="center" wrapText="1"/>
    </xf>
    <xf numFmtId="0" fontId="51" fillId="25" borderId="10" xfId="0" applyFont="1" applyFill="1" applyBorder="1" applyAlignment="1">
      <alignment vertical="center" wrapText="1"/>
    </xf>
    <xf numFmtId="1" fontId="51" fillId="25" borderId="12" xfId="0" applyNumberFormat="1" applyFont="1" applyFill="1" applyBorder="1" applyAlignment="1">
      <alignment horizontal="right" vertical="center"/>
    </xf>
    <xf numFmtId="0" fontId="52" fillId="25" borderId="0" xfId="0" applyFont="1" applyFill="1" applyAlignment="1">
      <alignment horizontal="center" vertical="center" wrapText="1"/>
    </xf>
    <xf numFmtId="0" fontId="51" fillId="25" borderId="0" xfId="0" applyFont="1" applyFill="1" applyAlignment="1">
      <alignment horizontal="center" vertical="center" wrapText="1"/>
    </xf>
    <xf numFmtId="1" fontId="51" fillId="25" borderId="10" xfId="0" applyNumberFormat="1" applyFont="1" applyFill="1" applyBorder="1" applyAlignment="1">
      <alignment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9" fontId="1" fillId="25" borderId="10" xfId="58" applyFont="1" applyFill="1" applyBorder="1" applyAlignment="1">
      <alignment vertical="center" wrapText="1"/>
    </xf>
    <xf numFmtId="0" fontId="33" fillId="0" borderId="24" xfId="0" applyFont="1" applyBorder="1" applyAlignment="1">
      <alignment horizontal="left"/>
    </xf>
    <xf numFmtId="1" fontId="2" fillId="25" borderId="0" xfId="0" applyNumberFormat="1" applyFont="1" applyFill="1" applyBorder="1" applyAlignment="1">
      <alignment vertical="center" wrapText="1"/>
    </xf>
    <xf numFmtId="0" fontId="1" fillId="25" borderId="22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49" fontId="1" fillId="25" borderId="12" xfId="0" applyNumberFormat="1" applyFont="1" applyFill="1" applyBorder="1" applyAlignment="1">
      <alignment vertical="center" wrapText="1"/>
    </xf>
    <xf numFmtId="49" fontId="1" fillId="25" borderId="15" xfId="0" applyNumberFormat="1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49" fontId="1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" fillId="25" borderId="16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0" fillId="25" borderId="14" xfId="0" applyFill="1" applyBorder="1" applyAlignment="1">
      <alignment wrapText="1"/>
    </xf>
    <xf numFmtId="0" fontId="1" fillId="25" borderId="21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0" fillId="25" borderId="15" xfId="0" applyFill="1" applyBorder="1" applyAlignment="1">
      <alignment/>
    </xf>
    <xf numFmtId="0" fontId="0" fillId="25" borderId="14" xfId="0" applyFill="1" applyBorder="1" applyAlignment="1">
      <alignment/>
    </xf>
    <xf numFmtId="1" fontId="1" fillId="25" borderId="12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200" fontId="1" fillId="25" borderId="12" xfId="0" applyNumberFormat="1" applyFont="1" applyFill="1" applyBorder="1" applyAlignment="1">
      <alignment horizontal="center" vertical="center" wrapText="1"/>
    </xf>
    <xf numFmtId="200" fontId="1" fillId="25" borderId="15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53" fillId="25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0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140625" defaultRowHeight="12.75"/>
  <cols>
    <col min="1" max="1" width="10.8515625" style="101" customWidth="1"/>
    <col min="2" max="2" width="10.57421875" style="101" customWidth="1"/>
    <col min="3" max="3" width="12.140625" style="101" customWidth="1"/>
    <col min="4" max="4" width="51.28125" style="101" customWidth="1"/>
    <col min="5" max="5" width="67.140625" style="101" customWidth="1"/>
    <col min="6" max="6" width="20.28125" style="101" customWidth="1"/>
    <col min="7" max="7" width="23.421875" style="101" customWidth="1"/>
    <col min="8" max="8" width="23.7109375" style="101" customWidth="1"/>
    <col min="9" max="9" width="12.7109375" style="101" customWidth="1"/>
    <col min="10" max="16384" width="9.140625" style="101" customWidth="1"/>
  </cols>
  <sheetData>
    <row r="1" spans="6:8" ht="41.25" customHeight="1">
      <c r="F1" s="177" t="s">
        <v>368</v>
      </c>
      <c r="G1" s="127"/>
      <c r="H1" s="127"/>
    </row>
    <row r="2" spans="6:8" ht="30" customHeight="1">
      <c r="F2" s="177" t="s">
        <v>367</v>
      </c>
      <c r="G2" s="127"/>
      <c r="H2" s="127"/>
    </row>
    <row r="3" spans="6:8" ht="28.5" customHeight="1">
      <c r="F3" s="254" t="s">
        <v>221</v>
      </c>
      <c r="G3" s="127"/>
      <c r="H3" s="127"/>
    </row>
    <row r="4" spans="5:8" ht="27" customHeight="1">
      <c r="E4" s="173"/>
      <c r="H4" s="127"/>
    </row>
    <row r="6" spans="1:8" s="128" customFormat="1" ht="51.75" customHeight="1">
      <c r="A6" s="201" t="s">
        <v>369</v>
      </c>
      <c r="B6" s="201"/>
      <c r="C6" s="201"/>
      <c r="D6" s="201"/>
      <c r="E6" s="201"/>
      <c r="F6" s="201"/>
      <c r="G6" s="201"/>
      <c r="H6" s="201"/>
    </row>
    <row r="7" ht="20.25" customHeight="1" hidden="1"/>
    <row r="8" ht="16.5" customHeight="1">
      <c r="H8" s="129" t="s">
        <v>360</v>
      </c>
    </row>
    <row r="9" spans="1:8" s="121" customFormat="1" ht="98.25" customHeight="1">
      <c r="A9" s="130" t="s">
        <v>361</v>
      </c>
      <c r="B9" s="130" t="s">
        <v>362</v>
      </c>
      <c r="C9" s="130" t="s">
        <v>363</v>
      </c>
      <c r="D9" s="166" t="s">
        <v>364</v>
      </c>
      <c r="E9" s="166" t="s">
        <v>365</v>
      </c>
      <c r="F9" s="126" t="s">
        <v>292</v>
      </c>
      <c r="G9" s="126" t="s">
        <v>295</v>
      </c>
      <c r="H9" s="166" t="s">
        <v>366</v>
      </c>
    </row>
    <row r="10" spans="1:8" s="121" customFormat="1" ht="16.5" customHeight="1">
      <c r="A10" s="162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</row>
    <row r="11" spans="1:8" s="121" customFormat="1" ht="15.75">
      <c r="A11" s="102"/>
      <c r="B11" s="102" t="s">
        <v>394</v>
      </c>
      <c r="C11" s="102"/>
      <c r="D11" s="103" t="s">
        <v>270</v>
      </c>
      <c r="E11" s="166"/>
      <c r="F11" s="82">
        <f>F12+F16+F20+F24+F25+F28+F32+F33+F19</f>
        <v>6296328</v>
      </c>
      <c r="G11" s="82">
        <f>G12+G20+G21+G19</f>
        <v>3644769</v>
      </c>
      <c r="H11" s="82">
        <f>H12+H16+H20+H21+H24+H25+H28+H32+H33+H19</f>
        <v>9941097</v>
      </c>
    </row>
    <row r="12" spans="1:8" s="121" customFormat="1" ht="48.75" customHeight="1">
      <c r="A12" s="102"/>
      <c r="B12" s="225" t="s">
        <v>426</v>
      </c>
      <c r="C12" s="225" t="s">
        <v>136</v>
      </c>
      <c r="D12" s="218" t="s">
        <v>427</v>
      </c>
      <c r="E12" s="163" t="s">
        <v>182</v>
      </c>
      <c r="F12" s="82"/>
      <c r="G12" s="75">
        <f>G14+G15</f>
        <v>3443577</v>
      </c>
      <c r="H12" s="75">
        <f>G12+F12</f>
        <v>3443577</v>
      </c>
    </row>
    <row r="13" spans="1:8" s="121" customFormat="1" ht="47.25" customHeight="1" hidden="1">
      <c r="A13" s="149"/>
      <c r="B13" s="221"/>
      <c r="C13" s="221"/>
      <c r="D13" s="219"/>
      <c r="E13" s="163" t="s">
        <v>359</v>
      </c>
      <c r="F13" s="78"/>
      <c r="G13" s="75"/>
      <c r="H13" s="75">
        <f aca="true" t="shared" si="0" ref="H13:H33">G13+F13</f>
        <v>0</v>
      </c>
    </row>
    <row r="14" spans="1:8" s="121" customFormat="1" ht="21" customHeight="1">
      <c r="A14" s="149"/>
      <c r="B14" s="221"/>
      <c r="C14" s="221"/>
      <c r="D14" s="219"/>
      <c r="E14" s="164" t="s">
        <v>373</v>
      </c>
      <c r="F14" s="78"/>
      <c r="G14" s="75">
        <f>3148103-99631+33430+(245922)+115011</f>
        <v>3442835</v>
      </c>
      <c r="H14" s="75">
        <f>G14+F14</f>
        <v>3442835</v>
      </c>
    </row>
    <row r="15" spans="1:8" s="121" customFormat="1" ht="18.75" customHeight="1">
      <c r="A15" s="149"/>
      <c r="B15" s="222"/>
      <c r="C15" s="222"/>
      <c r="D15" s="220"/>
      <c r="E15" s="104" t="s">
        <v>372</v>
      </c>
      <c r="F15" s="78"/>
      <c r="G15" s="75">
        <v>742</v>
      </c>
      <c r="H15" s="75">
        <f>G15+F15</f>
        <v>742</v>
      </c>
    </row>
    <row r="16" spans="1:8" s="121" customFormat="1" ht="47.25">
      <c r="A16" s="157"/>
      <c r="B16" s="228" t="s">
        <v>310</v>
      </c>
      <c r="C16" s="228" t="s">
        <v>137</v>
      </c>
      <c r="D16" s="218" t="s">
        <v>336</v>
      </c>
      <c r="E16" s="163" t="s">
        <v>111</v>
      </c>
      <c r="F16" s="78">
        <f>F17+F18</f>
        <v>606132</v>
      </c>
      <c r="G16" s="78"/>
      <c r="H16" s="75">
        <f t="shared" si="0"/>
        <v>606132</v>
      </c>
    </row>
    <row r="17" spans="1:8" s="121" customFormat="1" ht="15.75">
      <c r="A17" s="158"/>
      <c r="B17" s="229"/>
      <c r="C17" s="229"/>
      <c r="D17" s="219"/>
      <c r="E17" s="164" t="s">
        <v>373</v>
      </c>
      <c r="F17" s="78">
        <v>552000</v>
      </c>
      <c r="G17" s="91"/>
      <c r="H17" s="75">
        <f t="shared" si="0"/>
        <v>552000</v>
      </c>
    </row>
    <row r="18" spans="1:8" s="121" customFormat="1" ht="15.75">
      <c r="A18" s="158"/>
      <c r="B18" s="229"/>
      <c r="C18" s="229"/>
      <c r="D18" s="219"/>
      <c r="E18" s="76" t="s">
        <v>372</v>
      </c>
      <c r="F18" s="88">
        <v>54132</v>
      </c>
      <c r="G18" s="88"/>
      <c r="H18" s="88">
        <f t="shared" si="0"/>
        <v>54132</v>
      </c>
    </row>
    <row r="19" spans="1:8" s="121" customFormat="1" ht="52.5" customHeight="1">
      <c r="A19" s="159"/>
      <c r="B19" s="230"/>
      <c r="C19" s="230"/>
      <c r="D19" s="220"/>
      <c r="E19" s="107" t="s">
        <v>181</v>
      </c>
      <c r="F19" s="85"/>
      <c r="G19" s="85">
        <f>11800</f>
        <v>11800</v>
      </c>
      <c r="H19" s="85">
        <f t="shared" si="0"/>
        <v>11800</v>
      </c>
    </row>
    <row r="20" spans="1:8" s="121" customFormat="1" ht="72" customHeight="1">
      <c r="A20" s="149"/>
      <c r="B20" s="155" t="s">
        <v>330</v>
      </c>
      <c r="C20" s="158" t="s">
        <v>138</v>
      </c>
      <c r="D20" s="161" t="s">
        <v>488</v>
      </c>
      <c r="E20" s="164" t="s">
        <v>387</v>
      </c>
      <c r="F20" s="78"/>
      <c r="G20" s="75">
        <f>24546-8259</f>
        <v>16287</v>
      </c>
      <c r="H20" s="80">
        <f t="shared" si="0"/>
        <v>16287</v>
      </c>
    </row>
    <row r="21" spans="1:8" s="121" customFormat="1" ht="49.5" customHeight="1">
      <c r="A21" s="152"/>
      <c r="B21" s="202">
        <v>240900</v>
      </c>
      <c r="C21" s="225" t="s">
        <v>139</v>
      </c>
      <c r="D21" s="218" t="s">
        <v>485</v>
      </c>
      <c r="E21" s="163" t="s">
        <v>180</v>
      </c>
      <c r="F21" s="81"/>
      <c r="G21" s="75">
        <f>G22+G23</f>
        <v>173105</v>
      </c>
      <c r="H21" s="75">
        <f t="shared" si="0"/>
        <v>173105</v>
      </c>
    </row>
    <row r="22" spans="1:8" s="121" customFormat="1" ht="15.75">
      <c r="A22" s="169"/>
      <c r="B22" s="203"/>
      <c r="C22" s="221"/>
      <c r="D22" s="219"/>
      <c r="E22" s="164" t="s">
        <v>373</v>
      </c>
      <c r="F22" s="81"/>
      <c r="G22" s="75">
        <f>78422+(135240)-27405+70000-104730</f>
        <v>151527</v>
      </c>
      <c r="H22" s="75">
        <f t="shared" si="0"/>
        <v>151527</v>
      </c>
    </row>
    <row r="23" spans="1:8" s="121" customFormat="1" ht="15.75">
      <c r="A23" s="153"/>
      <c r="B23" s="204"/>
      <c r="C23" s="221"/>
      <c r="D23" s="220"/>
      <c r="E23" s="76" t="s">
        <v>372</v>
      </c>
      <c r="F23" s="81"/>
      <c r="G23" s="75">
        <v>21578</v>
      </c>
      <c r="H23" s="75">
        <f t="shared" si="0"/>
        <v>21578</v>
      </c>
    </row>
    <row r="24" spans="1:9" s="121" customFormat="1" ht="63">
      <c r="A24" s="189"/>
      <c r="B24" s="191">
        <v>250404</v>
      </c>
      <c r="C24" s="225" t="s">
        <v>139</v>
      </c>
      <c r="D24" s="239" t="s">
        <v>324</v>
      </c>
      <c r="E24" s="166" t="s">
        <v>199</v>
      </c>
      <c r="F24" s="77">
        <f>306507+19000</f>
        <v>325507</v>
      </c>
      <c r="G24" s="96"/>
      <c r="H24" s="75">
        <f t="shared" si="0"/>
        <v>325507</v>
      </c>
      <c r="I24" s="131"/>
    </row>
    <row r="25" spans="1:8" s="121" customFormat="1" ht="63">
      <c r="A25" s="189"/>
      <c r="B25" s="191"/>
      <c r="C25" s="221"/>
      <c r="D25" s="239"/>
      <c r="E25" s="166" t="s">
        <v>387</v>
      </c>
      <c r="F25" s="78">
        <f>F26+F27</f>
        <v>285870</v>
      </c>
      <c r="G25" s="78"/>
      <c r="H25" s="75">
        <f t="shared" si="0"/>
        <v>285870</v>
      </c>
    </row>
    <row r="26" spans="1:8" s="121" customFormat="1" ht="15.75">
      <c r="A26" s="189"/>
      <c r="B26" s="191"/>
      <c r="C26" s="221"/>
      <c r="D26" s="239"/>
      <c r="E26" s="164" t="s">
        <v>373</v>
      </c>
      <c r="F26" s="78">
        <f>182607+53804+7462</f>
        <v>243873</v>
      </c>
      <c r="G26" s="75"/>
      <c r="H26" s="75">
        <f t="shared" si="0"/>
        <v>243873</v>
      </c>
    </row>
    <row r="27" spans="1:8" s="121" customFormat="1" ht="15.75">
      <c r="A27" s="189"/>
      <c r="B27" s="191"/>
      <c r="C27" s="221"/>
      <c r="D27" s="239"/>
      <c r="E27" s="104" t="s">
        <v>372</v>
      </c>
      <c r="F27" s="78">
        <v>41997</v>
      </c>
      <c r="G27" s="75"/>
      <c r="H27" s="75">
        <f t="shared" si="0"/>
        <v>41997</v>
      </c>
    </row>
    <row r="28" spans="1:8" s="121" customFormat="1" ht="66" customHeight="1">
      <c r="A28" s="189"/>
      <c r="B28" s="191"/>
      <c r="C28" s="221"/>
      <c r="D28" s="239"/>
      <c r="E28" s="166" t="s">
        <v>376</v>
      </c>
      <c r="F28" s="78">
        <f>F29+F30</f>
        <v>5039042</v>
      </c>
      <c r="G28" s="78"/>
      <c r="H28" s="75">
        <f t="shared" si="0"/>
        <v>5039042</v>
      </c>
    </row>
    <row r="29" spans="1:8" s="121" customFormat="1" ht="15.75">
      <c r="A29" s="189"/>
      <c r="B29" s="191"/>
      <c r="C29" s="221"/>
      <c r="D29" s="239"/>
      <c r="E29" s="164" t="s">
        <v>373</v>
      </c>
      <c r="F29" s="78">
        <f>4204513+182000+260625+(290930)+83600</f>
        <v>5021668</v>
      </c>
      <c r="G29" s="75"/>
      <c r="H29" s="75">
        <f t="shared" si="0"/>
        <v>5021668</v>
      </c>
    </row>
    <row r="30" spans="1:8" s="121" customFormat="1" ht="15.75">
      <c r="A30" s="189"/>
      <c r="B30" s="191"/>
      <c r="C30" s="221"/>
      <c r="D30" s="239"/>
      <c r="E30" s="104" t="s">
        <v>372</v>
      </c>
      <c r="F30" s="78">
        <v>17374</v>
      </c>
      <c r="G30" s="75"/>
      <c r="H30" s="75">
        <f t="shared" si="0"/>
        <v>17374</v>
      </c>
    </row>
    <row r="31" spans="1:8" s="121" customFormat="1" ht="51.75" customHeight="1" hidden="1">
      <c r="A31" s="189"/>
      <c r="B31" s="191"/>
      <c r="C31" s="221"/>
      <c r="D31" s="239"/>
      <c r="E31" s="166" t="s">
        <v>94</v>
      </c>
      <c r="F31" s="78"/>
      <c r="G31" s="75"/>
      <c r="H31" s="75">
        <f t="shared" si="0"/>
        <v>0</v>
      </c>
    </row>
    <row r="32" spans="1:8" s="121" customFormat="1" ht="66" customHeight="1">
      <c r="A32" s="189"/>
      <c r="B32" s="191"/>
      <c r="C32" s="221"/>
      <c r="D32" s="239"/>
      <c r="E32" s="166" t="s">
        <v>187</v>
      </c>
      <c r="F32" s="78">
        <v>35700</v>
      </c>
      <c r="G32" s="75"/>
      <c r="H32" s="75">
        <f t="shared" si="0"/>
        <v>35700</v>
      </c>
    </row>
    <row r="33" spans="1:8" s="121" customFormat="1" ht="62.25" customHeight="1">
      <c r="A33" s="215"/>
      <c r="B33" s="192"/>
      <c r="C33" s="222"/>
      <c r="D33" s="240"/>
      <c r="E33" s="104" t="s">
        <v>174</v>
      </c>
      <c r="F33" s="78">
        <v>4077</v>
      </c>
      <c r="G33" s="75"/>
      <c r="H33" s="75">
        <f t="shared" si="0"/>
        <v>4077</v>
      </c>
    </row>
    <row r="34" spans="1:8" s="121" customFormat="1" ht="31.5">
      <c r="A34" s="105"/>
      <c r="B34" s="105" t="s">
        <v>402</v>
      </c>
      <c r="C34" s="115"/>
      <c r="D34" s="106" t="s">
        <v>281</v>
      </c>
      <c r="E34" s="166"/>
      <c r="F34" s="82">
        <f>F35+F36+F38+F41+F42+F43+F44+F47+F48+F49+F50+F51+F52+F53+F54+F55+F58+F59+F61+F62+F63+F64+F65+F66+F67+F68+F70+F71+F74+F76+F77+F80+F81+F84+F85+F86+F87+F89+F90+F93+F96+F104+F107+F109+F110+F73+F75+F108+F97+F100+F103+F72+F88+F60+F37</f>
        <v>123817660</v>
      </c>
      <c r="G34" s="82">
        <f>G35+G36+G38+G41+G42+G43+G44+G47+G48+G49+G50+G51+G52+G53+G54+G55+G58+G59+G61+G62+G63+G64+G65+G66+G67+G68+G70+G71+G74+G76+G77+G80+G81+G84+G85+G86+G87+G89+G90+G93+G96+G104+G107+G109+G110+G73+G75+G108+G97+G100+G103+G72+G88+G60+G37</f>
        <v>56018434</v>
      </c>
      <c r="H34" s="82">
        <f>H35+H36+H38+H41+H42+H43+H44+H47+H48+H49+H50+H51+H52+H53+H54+H55+H58+H59+H61+H62+H63+H64+H65+H66+H67+H68+H70+H71+H74+H76+H77+H80+H81+H84+H85+H86+H87+H89+H90+H93+H96+H104+H107+H109+H110+H73+H75+H108+H97+H100+H103+H72+H88+H60+H37</f>
        <v>179836094</v>
      </c>
    </row>
    <row r="35" spans="1:8" s="121" customFormat="1" ht="43.5" customHeight="1" hidden="1">
      <c r="A35" s="170"/>
      <c r="B35" s="170" t="s">
        <v>426</v>
      </c>
      <c r="C35" s="148"/>
      <c r="D35" s="218" t="s">
        <v>427</v>
      </c>
      <c r="E35" s="163" t="s">
        <v>370</v>
      </c>
      <c r="F35" s="78"/>
      <c r="G35" s="75"/>
      <c r="H35" s="75">
        <f aca="true" t="shared" si="1" ref="H35:H110">F35+G35</f>
        <v>0</v>
      </c>
    </row>
    <row r="36" spans="1:8" s="121" customFormat="1" ht="62.25" customHeight="1">
      <c r="A36" s="221"/>
      <c r="B36" s="223">
        <v>10116</v>
      </c>
      <c r="C36" s="225" t="s">
        <v>136</v>
      </c>
      <c r="D36" s="219"/>
      <c r="E36" s="166" t="s">
        <v>123</v>
      </c>
      <c r="F36" s="78">
        <f>339-239</f>
        <v>100</v>
      </c>
      <c r="G36" s="166"/>
      <c r="H36" s="75">
        <f t="shared" si="1"/>
        <v>100</v>
      </c>
    </row>
    <row r="37" spans="1:8" s="121" customFormat="1" ht="62.25" customHeight="1">
      <c r="A37" s="222"/>
      <c r="B37" s="224"/>
      <c r="C37" s="221"/>
      <c r="D37" s="220"/>
      <c r="E37" s="163" t="s">
        <v>182</v>
      </c>
      <c r="F37" s="78"/>
      <c r="G37" s="80">
        <v>109150</v>
      </c>
      <c r="H37" s="75">
        <f t="shared" si="1"/>
        <v>109150</v>
      </c>
    </row>
    <row r="38" spans="1:8" s="121" customFormat="1" ht="33" customHeight="1">
      <c r="A38" s="231"/>
      <c r="B38" s="228" t="s">
        <v>299</v>
      </c>
      <c r="C38" s="225" t="s">
        <v>140</v>
      </c>
      <c r="D38" s="237" t="s">
        <v>339</v>
      </c>
      <c r="E38" s="166" t="s">
        <v>114</v>
      </c>
      <c r="F38" s="78">
        <f>F39+F40</f>
        <v>31146837</v>
      </c>
      <c r="G38" s="78">
        <f>G39+G40</f>
        <v>9522652</v>
      </c>
      <c r="H38" s="75">
        <f t="shared" si="1"/>
        <v>40669489</v>
      </c>
    </row>
    <row r="39" spans="1:8" s="121" customFormat="1" ht="21.75" customHeight="1">
      <c r="A39" s="231"/>
      <c r="B39" s="229"/>
      <c r="C39" s="221"/>
      <c r="D39" s="237"/>
      <c r="E39" s="164" t="s">
        <v>373</v>
      </c>
      <c r="F39" s="78">
        <f>24811873+341350+4782022-51500-10858+100000+80788+(696170)+52992+93000+190000</f>
        <v>31085837</v>
      </c>
      <c r="G39" s="75">
        <f>2515882+(4600730)+237400+382570-382570+19537+(18200)+15000-15000+58630-334584+800000</f>
        <v>7915795</v>
      </c>
      <c r="H39" s="75">
        <f t="shared" si="1"/>
        <v>39001632</v>
      </c>
    </row>
    <row r="40" spans="1:8" s="121" customFormat="1" ht="23.25" customHeight="1">
      <c r="A40" s="231"/>
      <c r="B40" s="229"/>
      <c r="C40" s="221"/>
      <c r="D40" s="237"/>
      <c r="E40" s="104" t="s">
        <v>372</v>
      </c>
      <c r="F40" s="78">
        <v>61000</v>
      </c>
      <c r="G40" s="75">
        <v>1606857</v>
      </c>
      <c r="H40" s="75">
        <f t="shared" si="1"/>
        <v>1667857</v>
      </c>
    </row>
    <row r="41" spans="1:8" s="121" customFormat="1" ht="63">
      <c r="A41" s="231"/>
      <c r="B41" s="229"/>
      <c r="C41" s="221"/>
      <c r="D41" s="237"/>
      <c r="E41" s="104" t="s">
        <v>204</v>
      </c>
      <c r="F41" s="83"/>
      <c r="G41" s="79">
        <f>120852-18200</f>
        <v>102652</v>
      </c>
      <c r="H41" s="79">
        <f t="shared" si="1"/>
        <v>102652</v>
      </c>
    </row>
    <row r="42" spans="1:8" s="121" customFormat="1" ht="47.25">
      <c r="A42" s="231"/>
      <c r="B42" s="229"/>
      <c r="C42" s="221"/>
      <c r="D42" s="237"/>
      <c r="E42" s="107" t="s">
        <v>181</v>
      </c>
      <c r="F42" s="85">
        <f>590000-200000-2892-10000-36055</f>
        <v>341053</v>
      </c>
      <c r="G42" s="108">
        <f>400000-20000</f>
        <v>380000</v>
      </c>
      <c r="H42" s="75">
        <f t="shared" si="1"/>
        <v>721053</v>
      </c>
    </row>
    <row r="43" spans="1:8" s="121" customFormat="1" ht="64.5" customHeight="1">
      <c r="A43" s="231"/>
      <c r="B43" s="229"/>
      <c r="C43" s="222"/>
      <c r="D43" s="237"/>
      <c r="E43" s="166" t="s">
        <v>123</v>
      </c>
      <c r="F43" s="78">
        <f>151646-70719</f>
        <v>80927</v>
      </c>
      <c r="G43" s="75"/>
      <c r="H43" s="75">
        <f t="shared" si="1"/>
        <v>80927</v>
      </c>
    </row>
    <row r="44" spans="1:8" s="121" customFormat="1" ht="31.5">
      <c r="A44" s="231"/>
      <c r="B44" s="225" t="s">
        <v>300</v>
      </c>
      <c r="C44" s="225" t="s">
        <v>141</v>
      </c>
      <c r="D44" s="245" t="s">
        <v>340</v>
      </c>
      <c r="E44" s="166" t="s">
        <v>114</v>
      </c>
      <c r="F44" s="78">
        <f>F45+F46</f>
        <v>37670425</v>
      </c>
      <c r="G44" s="78">
        <f>G45+G46</f>
        <v>17569644</v>
      </c>
      <c r="H44" s="75">
        <f t="shared" si="1"/>
        <v>55240069</v>
      </c>
    </row>
    <row r="45" spans="1:8" s="121" customFormat="1" ht="15.75">
      <c r="A45" s="231"/>
      <c r="B45" s="221"/>
      <c r="C45" s="221"/>
      <c r="D45" s="245"/>
      <c r="E45" s="164" t="s">
        <v>373</v>
      </c>
      <c r="F45" s="78">
        <f>34854232+1464275+555078+49890+(458090)+110706+146556</f>
        <v>37638827</v>
      </c>
      <c r="G45" s="75">
        <f>3437757+179202+(3160580)+3534036-3534036+499679+414852+(10000)+4235515+19620+2589164+136000+1000000+96271+936974</f>
        <v>16715614</v>
      </c>
      <c r="H45" s="75">
        <f t="shared" si="1"/>
        <v>54354441</v>
      </c>
    </row>
    <row r="46" spans="1:8" s="121" customFormat="1" ht="15.75">
      <c r="A46" s="231"/>
      <c r="B46" s="221"/>
      <c r="C46" s="221"/>
      <c r="D46" s="245"/>
      <c r="E46" s="104" t="s">
        <v>372</v>
      </c>
      <c r="F46" s="78">
        <v>31598</v>
      </c>
      <c r="G46" s="75">
        <v>854030</v>
      </c>
      <c r="H46" s="75">
        <f t="shared" si="1"/>
        <v>885628</v>
      </c>
    </row>
    <row r="47" spans="1:8" s="121" customFormat="1" ht="57" customHeight="1">
      <c r="A47" s="231"/>
      <c r="B47" s="221"/>
      <c r="C47" s="221"/>
      <c r="D47" s="245"/>
      <c r="E47" s="166" t="s">
        <v>115</v>
      </c>
      <c r="F47" s="78">
        <f>556974-110706</f>
        <v>446268</v>
      </c>
      <c r="G47" s="75">
        <v>126032</v>
      </c>
      <c r="H47" s="75">
        <f t="shared" si="1"/>
        <v>572300</v>
      </c>
    </row>
    <row r="48" spans="1:8" s="121" customFormat="1" ht="66" customHeight="1">
      <c r="A48" s="231"/>
      <c r="B48" s="221"/>
      <c r="C48" s="221"/>
      <c r="D48" s="245"/>
      <c r="E48" s="104" t="s">
        <v>205</v>
      </c>
      <c r="F48" s="83"/>
      <c r="G48" s="83">
        <f>293353-10000</f>
        <v>283353</v>
      </c>
      <c r="H48" s="83">
        <f>F48+G48</f>
        <v>283353</v>
      </c>
    </row>
    <row r="49" spans="1:8" s="121" customFormat="1" ht="47.25">
      <c r="A49" s="231"/>
      <c r="B49" s="221"/>
      <c r="C49" s="221"/>
      <c r="D49" s="245"/>
      <c r="E49" s="107" t="s">
        <v>181</v>
      </c>
      <c r="F49" s="85">
        <f>995300+(50000)</f>
        <v>1045300</v>
      </c>
      <c r="G49" s="109">
        <f>965000-6000-50000</f>
        <v>909000</v>
      </c>
      <c r="H49" s="75">
        <f t="shared" si="1"/>
        <v>1954300</v>
      </c>
    </row>
    <row r="50" spans="1:8" s="121" customFormat="1" ht="61.5" customHeight="1">
      <c r="A50" s="228"/>
      <c r="B50" s="222"/>
      <c r="C50" s="222"/>
      <c r="D50" s="245"/>
      <c r="E50" s="166" t="s">
        <v>123</v>
      </c>
      <c r="F50" s="78">
        <f>313147-6044</f>
        <v>307103</v>
      </c>
      <c r="G50" s="79"/>
      <c r="H50" s="75">
        <f t="shared" si="1"/>
        <v>307103</v>
      </c>
    </row>
    <row r="51" spans="1:8" s="121" customFormat="1" ht="35.25" customHeight="1">
      <c r="A51" s="225"/>
      <c r="B51" s="225" t="s">
        <v>301</v>
      </c>
      <c r="C51" s="225" t="s">
        <v>141</v>
      </c>
      <c r="D51" s="218" t="s">
        <v>341</v>
      </c>
      <c r="E51" s="166" t="s">
        <v>114</v>
      </c>
      <c r="F51" s="78">
        <f>19786+1872+1610</f>
        <v>23268</v>
      </c>
      <c r="G51" s="75">
        <f>17000+(88550)</f>
        <v>105550</v>
      </c>
      <c r="H51" s="75">
        <f t="shared" si="1"/>
        <v>128818</v>
      </c>
    </row>
    <row r="52" spans="1:8" s="121" customFormat="1" ht="63.75" customHeight="1">
      <c r="A52" s="221"/>
      <c r="B52" s="221"/>
      <c r="C52" s="221"/>
      <c r="D52" s="219"/>
      <c r="E52" s="166" t="s">
        <v>123</v>
      </c>
      <c r="F52" s="78">
        <f>4360-471</f>
        <v>3889</v>
      </c>
      <c r="G52" s="75"/>
      <c r="H52" s="75">
        <f t="shared" si="1"/>
        <v>3889</v>
      </c>
    </row>
    <row r="53" spans="1:8" s="121" customFormat="1" ht="63">
      <c r="A53" s="221"/>
      <c r="B53" s="221"/>
      <c r="C53" s="221"/>
      <c r="D53" s="219"/>
      <c r="E53" s="104" t="s">
        <v>204</v>
      </c>
      <c r="F53" s="83"/>
      <c r="G53" s="83">
        <v>4500</v>
      </c>
      <c r="H53" s="83">
        <f t="shared" si="1"/>
        <v>4500</v>
      </c>
    </row>
    <row r="54" spans="1:8" s="121" customFormat="1" ht="47.25" customHeight="1">
      <c r="A54" s="222"/>
      <c r="B54" s="222"/>
      <c r="C54" s="222"/>
      <c r="D54" s="220"/>
      <c r="E54" s="107" t="s">
        <v>181</v>
      </c>
      <c r="F54" s="85">
        <f>10000</f>
        <v>10000</v>
      </c>
      <c r="G54" s="109">
        <f>50000-(14229)-10771</f>
        <v>25000</v>
      </c>
      <c r="H54" s="75">
        <f t="shared" si="1"/>
        <v>35000</v>
      </c>
    </row>
    <row r="55" spans="1:8" s="121" customFormat="1" ht="39" customHeight="1">
      <c r="A55" s="245"/>
      <c r="B55" s="225" t="s">
        <v>258</v>
      </c>
      <c r="C55" s="225" t="s">
        <v>142</v>
      </c>
      <c r="D55" s="244" t="s">
        <v>259</v>
      </c>
      <c r="E55" s="166" t="s">
        <v>116</v>
      </c>
      <c r="F55" s="78">
        <f>F56+F57</f>
        <v>38415991</v>
      </c>
      <c r="G55" s="78">
        <f>G56+G57</f>
        <v>1125847</v>
      </c>
      <c r="H55" s="75">
        <f t="shared" si="1"/>
        <v>39541838</v>
      </c>
    </row>
    <row r="56" spans="1:8" s="121" customFormat="1" ht="18" customHeight="1">
      <c r="A56" s="222"/>
      <c r="B56" s="221"/>
      <c r="C56" s="221"/>
      <c r="D56" s="220"/>
      <c r="E56" s="164" t="s">
        <v>373</v>
      </c>
      <c r="F56" s="78">
        <f>34374429+878450+2991+81200-248400+(3208248)+38579</f>
        <v>38335497</v>
      </c>
      <c r="G56" s="75">
        <f>387070+185900+(112120)+163961-163961+163961-2974+219796</f>
        <v>1065873</v>
      </c>
      <c r="H56" s="75">
        <f t="shared" si="1"/>
        <v>39401370</v>
      </c>
    </row>
    <row r="57" spans="1:8" s="121" customFormat="1" ht="19.5" customHeight="1">
      <c r="A57" s="222"/>
      <c r="B57" s="221"/>
      <c r="C57" s="221"/>
      <c r="D57" s="220"/>
      <c r="E57" s="104" t="s">
        <v>372</v>
      </c>
      <c r="F57" s="78">
        <v>80494</v>
      </c>
      <c r="G57" s="75">
        <v>59974</v>
      </c>
      <c r="H57" s="75">
        <f t="shared" si="1"/>
        <v>140468</v>
      </c>
    </row>
    <row r="58" spans="1:9" s="121" customFormat="1" ht="47.25">
      <c r="A58" s="245"/>
      <c r="B58" s="221"/>
      <c r="C58" s="221"/>
      <c r="D58" s="244"/>
      <c r="E58" s="104" t="s">
        <v>206</v>
      </c>
      <c r="F58" s="79"/>
      <c r="G58" s="79">
        <v>4000</v>
      </c>
      <c r="H58" s="83">
        <f t="shared" si="1"/>
        <v>4000</v>
      </c>
      <c r="I58" s="131"/>
    </row>
    <row r="59" spans="1:9" s="121" customFormat="1" ht="47.25">
      <c r="A59" s="245"/>
      <c r="B59" s="221"/>
      <c r="C59" s="221"/>
      <c r="D59" s="244"/>
      <c r="E59" s="107" t="s">
        <v>181</v>
      </c>
      <c r="F59" s="97">
        <f>50000+10000-(20000)</f>
        <v>40000</v>
      </c>
      <c r="G59" s="97">
        <f>75000</f>
        <v>75000</v>
      </c>
      <c r="H59" s="97">
        <f t="shared" si="1"/>
        <v>115000</v>
      </c>
      <c r="I59" s="131"/>
    </row>
    <row r="60" spans="1:9" s="121" customFormat="1" ht="54.75" customHeight="1">
      <c r="A60" s="245"/>
      <c r="B60" s="221"/>
      <c r="C60" s="221"/>
      <c r="D60" s="244"/>
      <c r="E60" s="166" t="s">
        <v>242</v>
      </c>
      <c r="F60" s="75">
        <f>146141</f>
        <v>146141</v>
      </c>
      <c r="G60" s="146"/>
      <c r="H60" s="97">
        <f t="shared" si="1"/>
        <v>146141</v>
      </c>
      <c r="I60" s="131"/>
    </row>
    <row r="61" spans="1:8" s="121" customFormat="1" ht="66.75" customHeight="1">
      <c r="A61" s="245"/>
      <c r="B61" s="222"/>
      <c r="C61" s="222"/>
      <c r="D61" s="244"/>
      <c r="E61" s="166" t="s">
        <v>123</v>
      </c>
      <c r="F61" s="75">
        <f>13221-9321</f>
        <v>3900</v>
      </c>
      <c r="G61" s="79"/>
      <c r="H61" s="75">
        <f t="shared" si="1"/>
        <v>3900</v>
      </c>
    </row>
    <row r="62" spans="1:8" s="121" customFormat="1" ht="63.75" customHeight="1">
      <c r="A62" s="225"/>
      <c r="B62" s="225" t="s">
        <v>542</v>
      </c>
      <c r="C62" s="225" t="s">
        <v>143</v>
      </c>
      <c r="D62" s="218" t="s">
        <v>541</v>
      </c>
      <c r="E62" s="166" t="s">
        <v>123</v>
      </c>
      <c r="F62" s="75">
        <f>678-478</f>
        <v>200</v>
      </c>
      <c r="G62" s="79"/>
      <c r="H62" s="75">
        <f t="shared" si="1"/>
        <v>200</v>
      </c>
    </row>
    <row r="63" spans="1:8" s="121" customFormat="1" ht="33" customHeight="1">
      <c r="A63" s="222"/>
      <c r="B63" s="222"/>
      <c r="C63" s="222"/>
      <c r="D63" s="220"/>
      <c r="E63" s="166" t="s">
        <v>114</v>
      </c>
      <c r="F63" s="80">
        <f>94133</f>
        <v>94133</v>
      </c>
      <c r="G63" s="75">
        <v>15000</v>
      </c>
      <c r="H63" s="75">
        <f t="shared" si="1"/>
        <v>109133</v>
      </c>
    </row>
    <row r="64" spans="1:8" s="121" customFormat="1" ht="39" customHeight="1">
      <c r="A64" s="225"/>
      <c r="B64" s="225" t="s">
        <v>40</v>
      </c>
      <c r="C64" s="148" t="s">
        <v>143</v>
      </c>
      <c r="D64" s="218" t="s">
        <v>108</v>
      </c>
      <c r="E64" s="166" t="s">
        <v>114</v>
      </c>
      <c r="F64" s="75"/>
      <c r="G64" s="75">
        <v>17400</v>
      </c>
      <c r="H64" s="75">
        <f t="shared" si="1"/>
        <v>17400</v>
      </c>
    </row>
    <row r="65" spans="1:8" s="121" customFormat="1" ht="63.75" customHeight="1" hidden="1">
      <c r="A65" s="222"/>
      <c r="B65" s="222"/>
      <c r="C65" s="151"/>
      <c r="D65" s="220"/>
      <c r="E65" s="166" t="s">
        <v>356</v>
      </c>
      <c r="F65" s="75"/>
      <c r="G65" s="75"/>
      <c r="H65" s="75">
        <f t="shared" si="1"/>
        <v>0</v>
      </c>
    </row>
    <row r="66" spans="1:8" s="121" customFormat="1" ht="31.5">
      <c r="A66" s="225"/>
      <c r="B66" s="225" t="s">
        <v>549</v>
      </c>
      <c r="C66" s="225" t="s">
        <v>143</v>
      </c>
      <c r="D66" s="218" t="s">
        <v>550</v>
      </c>
      <c r="E66" s="166" t="s">
        <v>114</v>
      </c>
      <c r="F66" s="75">
        <f>(30000)+41646</f>
        <v>71646</v>
      </c>
      <c r="G66" s="75">
        <f>197485+1747</f>
        <v>199232</v>
      </c>
      <c r="H66" s="75">
        <f t="shared" si="1"/>
        <v>270878</v>
      </c>
    </row>
    <row r="67" spans="1:8" s="121" customFormat="1" ht="47.25">
      <c r="A67" s="221"/>
      <c r="B67" s="221"/>
      <c r="C67" s="222"/>
      <c r="D67" s="219"/>
      <c r="E67" s="166" t="s">
        <v>123</v>
      </c>
      <c r="F67" s="75">
        <f>3165-1653</f>
        <v>1512</v>
      </c>
      <c r="G67" s="75"/>
      <c r="H67" s="75">
        <f t="shared" si="1"/>
        <v>1512</v>
      </c>
    </row>
    <row r="68" spans="1:8" s="121" customFormat="1" ht="65.25" customHeight="1">
      <c r="A68" s="228"/>
      <c r="B68" s="225" t="s">
        <v>543</v>
      </c>
      <c r="C68" s="225" t="s">
        <v>143</v>
      </c>
      <c r="D68" s="218" t="s">
        <v>544</v>
      </c>
      <c r="E68" s="166" t="s">
        <v>123</v>
      </c>
      <c r="F68" s="75">
        <f>8407-1726</f>
        <v>6681</v>
      </c>
      <c r="G68" s="79"/>
      <c r="H68" s="75">
        <f t="shared" si="1"/>
        <v>6681</v>
      </c>
    </row>
    <row r="69" spans="1:8" s="121" customFormat="1" ht="50.25" customHeight="1" hidden="1">
      <c r="A69" s="229"/>
      <c r="B69" s="221"/>
      <c r="C69" s="221"/>
      <c r="D69" s="219"/>
      <c r="E69" s="163"/>
      <c r="F69" s="75"/>
      <c r="G69" s="86">
        <f>16000-16000</f>
        <v>0</v>
      </c>
      <c r="H69" s="75">
        <f t="shared" si="1"/>
        <v>0</v>
      </c>
    </row>
    <row r="70" spans="1:8" s="121" customFormat="1" ht="36" customHeight="1">
      <c r="A70" s="158"/>
      <c r="B70" s="221"/>
      <c r="C70" s="222"/>
      <c r="D70" s="220"/>
      <c r="E70" s="166" t="s">
        <v>114</v>
      </c>
      <c r="F70" s="75">
        <f>21375</f>
        <v>21375</v>
      </c>
      <c r="G70" s="75">
        <f>58710+(77300)-40000</f>
        <v>96010</v>
      </c>
      <c r="H70" s="75">
        <f t="shared" si="1"/>
        <v>117385</v>
      </c>
    </row>
    <row r="71" spans="1:8" s="121" customFormat="1" ht="33.75" customHeight="1">
      <c r="A71" s="148"/>
      <c r="B71" s="232" t="s">
        <v>371</v>
      </c>
      <c r="C71" s="225" t="s">
        <v>143</v>
      </c>
      <c r="D71" s="218" t="s">
        <v>351</v>
      </c>
      <c r="E71" s="166" t="s">
        <v>114</v>
      </c>
      <c r="F71" s="75">
        <v>142000</v>
      </c>
      <c r="G71" s="75">
        <f>10000+(88320)</f>
        <v>98320</v>
      </c>
      <c r="H71" s="75">
        <f t="shared" si="1"/>
        <v>240320</v>
      </c>
    </row>
    <row r="72" spans="1:8" s="121" customFormat="1" ht="51" customHeight="1">
      <c r="A72" s="149"/>
      <c r="B72" s="233"/>
      <c r="C72" s="221"/>
      <c r="D72" s="219"/>
      <c r="E72" s="107" t="s">
        <v>181</v>
      </c>
      <c r="F72" s="75"/>
      <c r="G72" s="97">
        <v>6000</v>
      </c>
      <c r="H72" s="97">
        <f t="shared" si="1"/>
        <v>6000</v>
      </c>
    </row>
    <row r="73" spans="1:8" s="121" customFormat="1" ht="62.25" customHeight="1">
      <c r="A73" s="149"/>
      <c r="B73" s="233"/>
      <c r="C73" s="222"/>
      <c r="D73" s="219"/>
      <c r="E73" s="166" t="s">
        <v>123</v>
      </c>
      <c r="F73" s="75">
        <f>6134-146</f>
        <v>5988</v>
      </c>
      <c r="G73" s="86"/>
      <c r="H73" s="75">
        <f t="shared" si="1"/>
        <v>5988</v>
      </c>
    </row>
    <row r="74" spans="1:8" s="121" customFormat="1" ht="31.5">
      <c r="A74" s="199"/>
      <c r="B74" s="199" t="s">
        <v>313</v>
      </c>
      <c r="C74" s="226" t="s">
        <v>144</v>
      </c>
      <c r="D74" s="218" t="s">
        <v>260</v>
      </c>
      <c r="E74" s="163" t="s">
        <v>124</v>
      </c>
      <c r="F74" s="77">
        <f>393846-10480</f>
        <v>383366</v>
      </c>
      <c r="G74" s="77"/>
      <c r="H74" s="75">
        <f t="shared" si="1"/>
        <v>383366</v>
      </c>
    </row>
    <row r="75" spans="1:8" s="121" customFormat="1" ht="51.75" customHeight="1">
      <c r="A75" s="200"/>
      <c r="B75" s="200"/>
      <c r="C75" s="227"/>
      <c r="D75" s="220"/>
      <c r="E75" s="163" t="s">
        <v>122</v>
      </c>
      <c r="F75" s="77">
        <v>63704</v>
      </c>
      <c r="G75" s="110"/>
      <c r="H75" s="75">
        <f t="shared" si="1"/>
        <v>63704</v>
      </c>
    </row>
    <row r="76" spans="1:9" s="121" customFormat="1" ht="78.75">
      <c r="A76" s="149"/>
      <c r="B76" s="149" t="s">
        <v>302</v>
      </c>
      <c r="C76" s="149" t="s">
        <v>144</v>
      </c>
      <c r="D76" s="161" t="s">
        <v>335</v>
      </c>
      <c r="E76" s="166" t="s">
        <v>117</v>
      </c>
      <c r="F76" s="78">
        <f>5276598+2010185-(248976)</f>
        <v>7037807</v>
      </c>
      <c r="G76" s="91"/>
      <c r="H76" s="75">
        <f t="shared" si="1"/>
        <v>7037807</v>
      </c>
      <c r="I76" s="131"/>
    </row>
    <row r="77" spans="1:8" s="121" customFormat="1" ht="31.5">
      <c r="A77" s="148"/>
      <c r="B77" s="232" t="s">
        <v>418</v>
      </c>
      <c r="C77" s="225" t="s">
        <v>145</v>
      </c>
      <c r="D77" s="238" t="s">
        <v>419</v>
      </c>
      <c r="E77" s="163" t="s">
        <v>118</v>
      </c>
      <c r="F77" s="78">
        <f>F78+F79</f>
        <v>199537</v>
      </c>
      <c r="G77" s="91"/>
      <c r="H77" s="75">
        <f t="shared" si="1"/>
        <v>199537</v>
      </c>
    </row>
    <row r="78" spans="1:8" s="121" customFormat="1" ht="15.75">
      <c r="A78" s="149"/>
      <c r="B78" s="233"/>
      <c r="C78" s="221"/>
      <c r="D78" s="239"/>
      <c r="E78" s="164" t="s">
        <v>373</v>
      </c>
      <c r="F78" s="78">
        <f>172717+20000</f>
        <v>192717</v>
      </c>
      <c r="G78" s="91"/>
      <c r="H78" s="75">
        <f t="shared" si="1"/>
        <v>192717</v>
      </c>
    </row>
    <row r="79" spans="1:8" s="121" customFormat="1" ht="15.75">
      <c r="A79" s="151"/>
      <c r="B79" s="234"/>
      <c r="C79" s="222"/>
      <c r="D79" s="240"/>
      <c r="E79" s="104" t="s">
        <v>372</v>
      </c>
      <c r="F79" s="78">
        <v>6820</v>
      </c>
      <c r="G79" s="91"/>
      <c r="H79" s="75">
        <f t="shared" si="1"/>
        <v>6820</v>
      </c>
    </row>
    <row r="80" spans="1:8" s="121" customFormat="1" ht="31.5">
      <c r="A80" s="150"/>
      <c r="B80" s="150" t="s">
        <v>502</v>
      </c>
      <c r="C80" s="150" t="s">
        <v>145</v>
      </c>
      <c r="D80" s="166" t="s">
        <v>503</v>
      </c>
      <c r="E80" s="163" t="s">
        <v>118</v>
      </c>
      <c r="F80" s="78">
        <f>60233+10000</f>
        <v>70233</v>
      </c>
      <c r="G80" s="75"/>
      <c r="H80" s="75">
        <f t="shared" si="1"/>
        <v>70233</v>
      </c>
    </row>
    <row r="81" spans="1:8" s="121" customFormat="1" ht="31.5" customHeight="1">
      <c r="A81" s="193"/>
      <c r="B81" s="225">
        <v>130107</v>
      </c>
      <c r="C81" s="225" t="s">
        <v>145</v>
      </c>
      <c r="D81" s="218" t="s">
        <v>452</v>
      </c>
      <c r="E81" s="163" t="s">
        <v>118</v>
      </c>
      <c r="F81" s="78">
        <f>F82+F83</f>
        <v>777466</v>
      </c>
      <c r="G81" s="78">
        <f>G82+G83</f>
        <v>212400</v>
      </c>
      <c r="H81" s="75">
        <f t="shared" si="1"/>
        <v>989866</v>
      </c>
    </row>
    <row r="82" spans="1:8" s="121" customFormat="1" ht="21" customHeight="1">
      <c r="A82" s="194"/>
      <c r="B82" s="221"/>
      <c r="C82" s="221"/>
      <c r="D82" s="219"/>
      <c r="E82" s="164" t="s">
        <v>373</v>
      </c>
      <c r="F82" s="78">
        <f>273276+70000+349900+83290</f>
        <v>776466</v>
      </c>
      <c r="G82" s="75">
        <f>(97400)+107000</f>
        <v>204400</v>
      </c>
      <c r="H82" s="75">
        <f t="shared" si="1"/>
        <v>980866</v>
      </c>
    </row>
    <row r="83" spans="1:8" s="121" customFormat="1" ht="21.75" customHeight="1">
      <c r="A83" s="194"/>
      <c r="B83" s="221"/>
      <c r="C83" s="221"/>
      <c r="D83" s="219"/>
      <c r="E83" s="104" t="s">
        <v>372</v>
      </c>
      <c r="F83" s="78">
        <v>1000</v>
      </c>
      <c r="G83" s="75">
        <v>8000</v>
      </c>
      <c r="H83" s="75">
        <f t="shared" si="1"/>
        <v>9000</v>
      </c>
    </row>
    <row r="84" spans="1:8" s="121" customFormat="1" ht="63" customHeight="1">
      <c r="A84" s="195"/>
      <c r="B84" s="221"/>
      <c r="C84" s="221"/>
      <c r="D84" s="208"/>
      <c r="E84" s="104" t="s">
        <v>204</v>
      </c>
      <c r="F84" s="79"/>
      <c r="G84" s="79">
        <v>13000</v>
      </c>
      <c r="H84" s="79">
        <f t="shared" si="1"/>
        <v>13000</v>
      </c>
    </row>
    <row r="85" spans="1:8" s="121" customFormat="1" ht="45" customHeight="1" hidden="1">
      <c r="A85" s="195"/>
      <c r="B85" s="221"/>
      <c r="C85" s="221"/>
      <c r="D85" s="208"/>
      <c r="E85" s="107" t="s">
        <v>125</v>
      </c>
      <c r="F85" s="79"/>
      <c r="G85" s="79"/>
      <c r="H85" s="79"/>
    </row>
    <row r="86" spans="1:8" s="121" customFormat="1" ht="63.75" customHeight="1">
      <c r="A86" s="196"/>
      <c r="B86" s="221"/>
      <c r="C86" s="222"/>
      <c r="D86" s="209"/>
      <c r="E86" s="166" t="s">
        <v>123</v>
      </c>
      <c r="F86" s="75">
        <f>9826-8126</f>
        <v>1700</v>
      </c>
      <c r="G86" s="79"/>
      <c r="H86" s="75">
        <f t="shared" si="1"/>
        <v>1700</v>
      </c>
    </row>
    <row r="87" spans="1:8" s="121" customFormat="1" ht="47.25">
      <c r="A87" s="157"/>
      <c r="B87" s="225" t="s">
        <v>416</v>
      </c>
      <c r="C87" s="225" t="s">
        <v>145</v>
      </c>
      <c r="D87" s="161" t="s">
        <v>417</v>
      </c>
      <c r="E87" s="166" t="s">
        <v>130</v>
      </c>
      <c r="F87" s="78">
        <f>981666+67700-68483</f>
        <v>980883</v>
      </c>
      <c r="G87" s="75"/>
      <c r="H87" s="75">
        <f t="shared" si="1"/>
        <v>980883</v>
      </c>
    </row>
    <row r="88" spans="1:8" s="121" customFormat="1" ht="31.5">
      <c r="A88" s="159"/>
      <c r="B88" s="222"/>
      <c r="C88" s="222"/>
      <c r="D88" s="161"/>
      <c r="E88" s="163" t="s">
        <v>118</v>
      </c>
      <c r="F88" s="78">
        <f>225568</f>
        <v>225568</v>
      </c>
      <c r="G88" s="75"/>
      <c r="H88" s="75">
        <f>F88+G88</f>
        <v>225568</v>
      </c>
    </row>
    <row r="89" spans="1:9" s="121" customFormat="1" ht="47.25">
      <c r="A89" s="214"/>
      <c r="B89" s="207">
        <v>130112</v>
      </c>
      <c r="C89" s="225" t="s">
        <v>145</v>
      </c>
      <c r="D89" s="218" t="s">
        <v>324</v>
      </c>
      <c r="E89" s="166" t="s">
        <v>123</v>
      </c>
      <c r="F89" s="78">
        <f>339-239</f>
        <v>100</v>
      </c>
      <c r="G89" s="75"/>
      <c r="H89" s="75">
        <f t="shared" si="1"/>
        <v>100</v>
      </c>
      <c r="I89" s="131"/>
    </row>
    <row r="90" spans="1:8" s="121" customFormat="1" ht="37.5" customHeight="1">
      <c r="A90" s="189"/>
      <c r="B90" s="207"/>
      <c r="C90" s="221"/>
      <c r="D90" s="219"/>
      <c r="E90" s="163" t="s">
        <v>118</v>
      </c>
      <c r="F90" s="77">
        <f>F91+F92</f>
        <v>612951</v>
      </c>
      <c r="G90" s="77">
        <f>G91+G92</f>
        <v>47760</v>
      </c>
      <c r="H90" s="75">
        <f t="shared" si="1"/>
        <v>660711</v>
      </c>
    </row>
    <row r="91" spans="1:8" s="121" customFormat="1" ht="20.25" customHeight="1">
      <c r="A91" s="169"/>
      <c r="B91" s="207"/>
      <c r="C91" s="221"/>
      <c r="D91" s="161"/>
      <c r="E91" s="164" t="s">
        <v>373</v>
      </c>
      <c r="F91" s="77">
        <f>510432+17100+(26900)+58483</f>
        <v>612915</v>
      </c>
      <c r="G91" s="96">
        <v>47760</v>
      </c>
      <c r="H91" s="75">
        <f t="shared" si="1"/>
        <v>660675</v>
      </c>
    </row>
    <row r="92" spans="1:8" s="121" customFormat="1" ht="21.75" customHeight="1">
      <c r="A92" s="169"/>
      <c r="B92" s="207"/>
      <c r="C92" s="222"/>
      <c r="D92" s="161"/>
      <c r="E92" s="76" t="s">
        <v>372</v>
      </c>
      <c r="F92" s="77">
        <v>36</v>
      </c>
      <c r="G92" s="96"/>
      <c r="H92" s="75">
        <f t="shared" si="1"/>
        <v>36</v>
      </c>
    </row>
    <row r="93" spans="1:8" s="121" customFormat="1" ht="34.5" customHeight="1">
      <c r="A93" s="225"/>
      <c r="B93" s="232" t="s">
        <v>316</v>
      </c>
      <c r="C93" s="225" t="s">
        <v>138</v>
      </c>
      <c r="D93" s="238" t="s">
        <v>317</v>
      </c>
      <c r="E93" s="166" t="s">
        <v>114</v>
      </c>
      <c r="F93" s="80"/>
      <c r="G93" s="96">
        <f>G94+G95</f>
        <v>16811667</v>
      </c>
      <c r="H93" s="75">
        <f t="shared" si="1"/>
        <v>16811667</v>
      </c>
    </row>
    <row r="94" spans="1:8" s="121" customFormat="1" ht="24.75" customHeight="1">
      <c r="A94" s="221"/>
      <c r="B94" s="233"/>
      <c r="C94" s="221"/>
      <c r="D94" s="239"/>
      <c r="E94" s="164" t="s">
        <v>373</v>
      </c>
      <c r="F94" s="80"/>
      <c r="G94" s="96">
        <f>28170020-2685000+1893000+1369646-(18069004)+8820000-219423-5130136-2662065-596000+65946+5435130</f>
        <v>16392114</v>
      </c>
      <c r="H94" s="75">
        <f t="shared" si="1"/>
        <v>16392114</v>
      </c>
    </row>
    <row r="95" spans="1:8" s="121" customFormat="1" ht="27.75" customHeight="1">
      <c r="A95" s="221"/>
      <c r="B95" s="233"/>
      <c r="C95" s="221"/>
      <c r="D95" s="239"/>
      <c r="E95" s="76" t="s">
        <v>372</v>
      </c>
      <c r="F95" s="80"/>
      <c r="G95" s="96">
        <f>541722-122169</f>
        <v>419553</v>
      </c>
      <c r="H95" s="75">
        <f t="shared" si="1"/>
        <v>419553</v>
      </c>
    </row>
    <row r="96" spans="1:8" s="121" customFormat="1" ht="34.5" customHeight="1">
      <c r="A96" s="221"/>
      <c r="B96" s="233"/>
      <c r="C96" s="221"/>
      <c r="D96" s="239"/>
      <c r="E96" s="166" t="s">
        <v>116</v>
      </c>
      <c r="F96" s="80"/>
      <c r="G96" s="96">
        <f>250000+347347-250000+(235519)-111000</f>
        <v>471866</v>
      </c>
      <c r="H96" s="75">
        <f t="shared" si="1"/>
        <v>471866</v>
      </c>
    </row>
    <row r="97" spans="1:8" s="121" customFormat="1" ht="34.5" customHeight="1">
      <c r="A97" s="221"/>
      <c r="B97" s="233"/>
      <c r="C97" s="221"/>
      <c r="D97" s="239"/>
      <c r="E97" s="163" t="s">
        <v>118</v>
      </c>
      <c r="F97" s="80"/>
      <c r="G97" s="80">
        <f>G98+G99</f>
        <v>5675196</v>
      </c>
      <c r="H97" s="75">
        <f t="shared" si="1"/>
        <v>5675196</v>
      </c>
    </row>
    <row r="98" spans="1:8" s="121" customFormat="1" ht="26.25" customHeight="1">
      <c r="A98" s="149"/>
      <c r="B98" s="233"/>
      <c r="C98" s="221"/>
      <c r="D98" s="239"/>
      <c r="E98" s="164" t="s">
        <v>373</v>
      </c>
      <c r="F98" s="80"/>
      <c r="G98" s="80">
        <f>9687132-1628085+95782+2662065-5324130</f>
        <v>5492764</v>
      </c>
      <c r="H98" s="75">
        <f t="shared" si="1"/>
        <v>5492764</v>
      </c>
    </row>
    <row r="99" spans="1:8" s="121" customFormat="1" ht="27" customHeight="1">
      <c r="A99" s="149"/>
      <c r="B99" s="233"/>
      <c r="C99" s="221"/>
      <c r="D99" s="239"/>
      <c r="E99" s="76" t="s">
        <v>372</v>
      </c>
      <c r="F99" s="80"/>
      <c r="G99" s="80">
        <v>182432</v>
      </c>
      <c r="H99" s="75">
        <f t="shared" si="1"/>
        <v>182432</v>
      </c>
    </row>
    <row r="100" spans="1:8" s="121" customFormat="1" ht="33.75" customHeight="1">
      <c r="A100" s="148"/>
      <c r="B100" s="232" t="s">
        <v>175</v>
      </c>
      <c r="C100" s="228" t="s">
        <v>141</v>
      </c>
      <c r="D100" s="218" t="s">
        <v>177</v>
      </c>
      <c r="E100" s="163" t="s">
        <v>114</v>
      </c>
      <c r="F100" s="80"/>
      <c r="G100" s="80">
        <f>G101+G102</f>
        <v>582402</v>
      </c>
      <c r="H100" s="75">
        <f>G100+F100</f>
        <v>582402</v>
      </c>
    </row>
    <row r="101" spans="1:8" s="121" customFormat="1" ht="20.25" customHeight="1">
      <c r="A101" s="149"/>
      <c r="B101" s="233"/>
      <c r="C101" s="229"/>
      <c r="D101" s="219"/>
      <c r="E101" s="164" t="s">
        <v>373</v>
      </c>
      <c r="F101" s="80"/>
      <c r="G101" s="80">
        <f>2685000-2000000+2000000-(782868)+1389164-2589164-241899</f>
        <v>460233</v>
      </c>
      <c r="H101" s="75">
        <f>G101+F101</f>
        <v>460233</v>
      </c>
    </row>
    <row r="102" spans="1:8" s="121" customFormat="1" ht="19.5" customHeight="1">
      <c r="A102" s="151"/>
      <c r="B102" s="234"/>
      <c r="C102" s="230"/>
      <c r="D102" s="220"/>
      <c r="E102" s="76" t="s">
        <v>372</v>
      </c>
      <c r="F102" s="80"/>
      <c r="G102" s="80">
        <v>122169</v>
      </c>
      <c r="H102" s="75">
        <f>G102+F102</f>
        <v>122169</v>
      </c>
    </row>
    <row r="103" spans="1:8" s="121" customFormat="1" ht="53.25" customHeight="1">
      <c r="A103" s="151"/>
      <c r="B103" s="156" t="s">
        <v>176</v>
      </c>
      <c r="C103" s="151" t="s">
        <v>142</v>
      </c>
      <c r="D103" s="167" t="s">
        <v>178</v>
      </c>
      <c r="E103" s="166" t="s">
        <v>116</v>
      </c>
      <c r="F103" s="80"/>
      <c r="G103" s="80">
        <f>250000-102053</f>
        <v>147947</v>
      </c>
      <c r="H103" s="75">
        <f>G103+F103</f>
        <v>147947</v>
      </c>
    </row>
    <row r="104" spans="1:8" s="121" customFormat="1" ht="52.5" customHeight="1">
      <c r="A104" s="149"/>
      <c r="B104" s="233" t="s">
        <v>468</v>
      </c>
      <c r="C104" s="221" t="s">
        <v>146</v>
      </c>
      <c r="D104" s="219" t="s">
        <v>469</v>
      </c>
      <c r="E104" s="163" t="s">
        <v>119</v>
      </c>
      <c r="F104" s="80">
        <f>F105+F106</f>
        <v>326276</v>
      </c>
      <c r="G104" s="80"/>
      <c r="H104" s="75">
        <f t="shared" si="1"/>
        <v>326276</v>
      </c>
    </row>
    <row r="105" spans="1:8" s="121" customFormat="1" ht="18" customHeight="1">
      <c r="A105" s="149"/>
      <c r="B105" s="233"/>
      <c r="C105" s="221"/>
      <c r="D105" s="219"/>
      <c r="E105" s="164" t="s">
        <v>373</v>
      </c>
      <c r="F105" s="80">
        <v>293851</v>
      </c>
      <c r="G105" s="96"/>
      <c r="H105" s="75">
        <f t="shared" si="1"/>
        <v>293851</v>
      </c>
    </row>
    <row r="106" spans="1:8" s="121" customFormat="1" ht="18.75" customHeight="1">
      <c r="A106" s="151"/>
      <c r="B106" s="234"/>
      <c r="C106" s="222"/>
      <c r="D106" s="220"/>
      <c r="E106" s="76" t="s">
        <v>372</v>
      </c>
      <c r="F106" s="80">
        <v>32425</v>
      </c>
      <c r="G106" s="96"/>
      <c r="H106" s="75">
        <f t="shared" si="1"/>
        <v>32425</v>
      </c>
    </row>
    <row r="107" spans="1:8" s="121" customFormat="1" ht="52.5" customHeight="1">
      <c r="A107" s="162"/>
      <c r="B107" s="162">
        <v>200700</v>
      </c>
      <c r="C107" s="148" t="s">
        <v>147</v>
      </c>
      <c r="D107" s="162" t="s">
        <v>386</v>
      </c>
      <c r="E107" s="166" t="s">
        <v>188</v>
      </c>
      <c r="F107" s="80">
        <f>24500</f>
        <v>24500</v>
      </c>
      <c r="G107" s="78">
        <f>6000</f>
        <v>6000</v>
      </c>
      <c r="H107" s="75">
        <f t="shared" si="1"/>
        <v>30500</v>
      </c>
    </row>
    <row r="108" spans="1:8" s="121" customFormat="1" ht="52.5" customHeight="1">
      <c r="A108" s="162"/>
      <c r="B108" s="162">
        <v>240601</v>
      </c>
      <c r="C108" s="150" t="s">
        <v>148</v>
      </c>
      <c r="D108" s="162" t="s">
        <v>338</v>
      </c>
      <c r="E108" s="160" t="s">
        <v>188</v>
      </c>
      <c r="F108" s="80">
        <f>98000-98000</f>
        <v>0</v>
      </c>
      <c r="G108" s="78">
        <f>540000+98000</f>
        <v>638000</v>
      </c>
      <c r="H108" s="75">
        <f t="shared" si="1"/>
        <v>638000</v>
      </c>
    </row>
    <row r="109" spans="1:8" s="121" customFormat="1" ht="47.25">
      <c r="A109" s="111"/>
      <c r="B109" s="111" t="s">
        <v>256</v>
      </c>
      <c r="C109" s="111" t="s">
        <v>149</v>
      </c>
      <c r="D109" s="166" t="s">
        <v>257</v>
      </c>
      <c r="E109" s="218" t="s">
        <v>236</v>
      </c>
      <c r="F109" s="81">
        <v>2988832</v>
      </c>
      <c r="G109" s="110">
        <f>84592+(553262)</f>
        <v>637854</v>
      </c>
      <c r="H109" s="75">
        <f t="shared" si="1"/>
        <v>3626686</v>
      </c>
    </row>
    <row r="110" spans="1:9" s="121" customFormat="1" ht="63">
      <c r="A110" s="111"/>
      <c r="B110" s="111" t="s">
        <v>568</v>
      </c>
      <c r="C110" s="111" t="s">
        <v>149</v>
      </c>
      <c r="D110" s="166" t="s">
        <v>569</v>
      </c>
      <c r="E110" s="220"/>
      <c r="F110" s="81">
        <v>100000</v>
      </c>
      <c r="G110" s="110"/>
      <c r="H110" s="75">
        <f t="shared" si="1"/>
        <v>100000</v>
      </c>
      <c r="I110" s="131"/>
    </row>
    <row r="111" spans="1:8" s="121" customFormat="1" ht="46.5" customHeight="1">
      <c r="A111" s="105"/>
      <c r="B111" s="105" t="s">
        <v>403</v>
      </c>
      <c r="C111" s="105"/>
      <c r="D111" s="106" t="s">
        <v>282</v>
      </c>
      <c r="E111" s="166"/>
      <c r="F111" s="82">
        <f>F112+F113+F114+F117+F118+F119+F121+F122+F125+F126+F127+F128+F129+F130+F131+F132+F134+F137+F138+F140+F141+F142+F143+F144+F133+F139+F120</f>
        <v>67029948</v>
      </c>
      <c r="G111" s="82">
        <f>G112+G113+G114+G117+G118+G119+G121+G122+G125+G126+G127+G128+G129+G130+G131+G132+G134+G137+G138+G140+G141+G142+G143+G144+G133+G139+G120</f>
        <v>67443684</v>
      </c>
      <c r="H111" s="82">
        <f>F111+G111</f>
        <v>134473632</v>
      </c>
    </row>
    <row r="112" spans="1:8" s="121" customFormat="1" ht="48" customHeight="1">
      <c r="A112" s="225"/>
      <c r="B112" s="225" t="s">
        <v>426</v>
      </c>
      <c r="C112" s="225" t="s">
        <v>136</v>
      </c>
      <c r="D112" s="218" t="s">
        <v>427</v>
      </c>
      <c r="E112" s="163" t="s">
        <v>182</v>
      </c>
      <c r="F112" s="82"/>
      <c r="G112" s="75">
        <f>78056+28309+(218503)</f>
        <v>324868</v>
      </c>
      <c r="H112" s="75">
        <f>G112+F112</f>
        <v>324868</v>
      </c>
    </row>
    <row r="113" spans="1:8" s="121" customFormat="1" ht="68.25" customHeight="1">
      <c r="A113" s="222"/>
      <c r="B113" s="222"/>
      <c r="C113" s="222"/>
      <c r="D113" s="220"/>
      <c r="E113" s="166" t="s">
        <v>132</v>
      </c>
      <c r="F113" s="78">
        <v>1174</v>
      </c>
      <c r="G113" s="166"/>
      <c r="H113" s="75">
        <f aca="true" t="shared" si="2" ref="H113:H146">G113+F113</f>
        <v>1174</v>
      </c>
    </row>
    <row r="114" spans="1:8" s="121" customFormat="1" ht="52.5" customHeight="1">
      <c r="A114" s="245"/>
      <c r="B114" s="231" t="s">
        <v>304</v>
      </c>
      <c r="C114" s="225" t="s">
        <v>150</v>
      </c>
      <c r="D114" s="237" t="s">
        <v>251</v>
      </c>
      <c r="E114" s="166" t="s">
        <v>112</v>
      </c>
      <c r="F114" s="78">
        <f>F115+F116</f>
        <v>21256996</v>
      </c>
      <c r="G114" s="78">
        <f>G115+G116</f>
        <v>34315234</v>
      </c>
      <c r="H114" s="75">
        <f t="shared" si="2"/>
        <v>55572230</v>
      </c>
    </row>
    <row r="115" spans="1:8" s="121" customFormat="1" ht="27.75" customHeight="1">
      <c r="A115" s="245"/>
      <c r="B115" s="231"/>
      <c r="C115" s="221"/>
      <c r="D115" s="237"/>
      <c r="E115" s="164" t="s">
        <v>373</v>
      </c>
      <c r="F115" s="78">
        <f>15572517+(1375485)+3458800+500000-57652+50000+50000+87000+220846</f>
        <v>21256996</v>
      </c>
      <c r="G115" s="75">
        <f>13132441+391285+17727115+160351+1245773-138210-28309+2271184-(242315)+153807-354943-801374-685519</f>
        <v>32831286</v>
      </c>
      <c r="H115" s="75">
        <f t="shared" si="2"/>
        <v>54088282</v>
      </c>
    </row>
    <row r="116" spans="1:8" s="121" customFormat="1" ht="18.75" customHeight="1">
      <c r="A116" s="245"/>
      <c r="B116" s="231"/>
      <c r="C116" s="221"/>
      <c r="D116" s="237"/>
      <c r="E116" s="104" t="s">
        <v>372</v>
      </c>
      <c r="F116" s="78"/>
      <c r="G116" s="75">
        <f>1483947+1</f>
        <v>1483948</v>
      </c>
      <c r="H116" s="75">
        <f t="shared" si="2"/>
        <v>1483948</v>
      </c>
    </row>
    <row r="117" spans="1:8" s="121" customFormat="1" ht="52.5" customHeight="1">
      <c r="A117" s="245"/>
      <c r="B117" s="231"/>
      <c r="C117" s="221"/>
      <c r="D117" s="237"/>
      <c r="E117" s="166" t="s">
        <v>120</v>
      </c>
      <c r="F117" s="78">
        <v>1000000</v>
      </c>
      <c r="G117" s="75"/>
      <c r="H117" s="75">
        <f t="shared" si="2"/>
        <v>1000000</v>
      </c>
    </row>
    <row r="118" spans="1:8" s="121" customFormat="1" ht="72" customHeight="1">
      <c r="A118" s="245"/>
      <c r="B118" s="231"/>
      <c r="C118" s="221"/>
      <c r="D118" s="237"/>
      <c r="E118" s="104" t="s">
        <v>204</v>
      </c>
      <c r="F118" s="83">
        <v>23480</v>
      </c>
      <c r="G118" s="83">
        <v>238898</v>
      </c>
      <c r="H118" s="83">
        <f t="shared" si="2"/>
        <v>262378</v>
      </c>
    </row>
    <row r="119" spans="1:10" s="121" customFormat="1" ht="48" customHeight="1">
      <c r="A119" s="245"/>
      <c r="B119" s="231"/>
      <c r="C119" s="221"/>
      <c r="D119" s="237"/>
      <c r="E119" s="107" t="s">
        <v>181</v>
      </c>
      <c r="F119" s="84">
        <f>600000-100000-13889-17000+28000+17000</f>
        <v>514111</v>
      </c>
      <c r="G119" s="108">
        <f>605000+100000+110000+300000+35000+33971-28000+10000</f>
        <v>1165971</v>
      </c>
      <c r="H119" s="75">
        <f t="shared" si="2"/>
        <v>1680082</v>
      </c>
      <c r="I119" s="132"/>
      <c r="J119" s="132"/>
    </row>
    <row r="120" spans="1:10" s="121" customFormat="1" ht="31.5" customHeight="1">
      <c r="A120" s="225"/>
      <c r="B120" s="228"/>
      <c r="C120" s="221"/>
      <c r="D120" s="238"/>
      <c r="E120" s="166" t="s">
        <v>385</v>
      </c>
      <c r="F120" s="78">
        <v>909945</v>
      </c>
      <c r="G120" s="108"/>
      <c r="H120" s="75">
        <f t="shared" si="2"/>
        <v>909945</v>
      </c>
      <c r="I120" s="132"/>
      <c r="J120" s="132"/>
    </row>
    <row r="121" spans="1:8" s="121" customFormat="1" ht="47.25">
      <c r="A121" s="225"/>
      <c r="B121" s="228"/>
      <c r="C121" s="222"/>
      <c r="D121" s="238"/>
      <c r="E121" s="166" t="s">
        <v>123</v>
      </c>
      <c r="F121" s="78">
        <f>15000+4200</f>
        <v>19200</v>
      </c>
      <c r="G121" s="75"/>
      <c r="H121" s="75">
        <f t="shared" si="2"/>
        <v>19200</v>
      </c>
    </row>
    <row r="122" spans="1:8" s="121" customFormat="1" ht="50.25" customHeight="1">
      <c r="A122" s="225"/>
      <c r="B122" s="225" t="s">
        <v>343</v>
      </c>
      <c r="C122" s="225" t="s">
        <v>151</v>
      </c>
      <c r="D122" s="218" t="s">
        <v>493</v>
      </c>
      <c r="E122" s="163" t="s">
        <v>112</v>
      </c>
      <c r="F122" s="78">
        <f>F123+F124</f>
        <v>1766044</v>
      </c>
      <c r="G122" s="78">
        <f>G123+G124</f>
        <v>2862291</v>
      </c>
      <c r="H122" s="75">
        <f t="shared" si="2"/>
        <v>4628335</v>
      </c>
    </row>
    <row r="123" spans="1:8" s="121" customFormat="1" ht="29.25" customHeight="1">
      <c r="A123" s="221"/>
      <c r="B123" s="221"/>
      <c r="C123" s="221"/>
      <c r="D123" s="219"/>
      <c r="E123" s="164" t="s">
        <v>373</v>
      </c>
      <c r="F123" s="78">
        <f>1626004+38179+101861</f>
        <v>1766044</v>
      </c>
      <c r="G123" s="75">
        <f>542003+(1653658)+212265+1779-(10146)+450188</f>
        <v>2849747</v>
      </c>
      <c r="H123" s="75">
        <f t="shared" si="2"/>
        <v>4615791</v>
      </c>
    </row>
    <row r="124" spans="1:8" s="121" customFormat="1" ht="28.5" customHeight="1">
      <c r="A124" s="221"/>
      <c r="B124" s="221"/>
      <c r="C124" s="221"/>
      <c r="D124" s="219"/>
      <c r="E124" s="104" t="s">
        <v>372</v>
      </c>
      <c r="F124" s="78"/>
      <c r="G124" s="75">
        <f>13149-605</f>
        <v>12544</v>
      </c>
      <c r="H124" s="75">
        <f t="shared" si="2"/>
        <v>12544</v>
      </c>
    </row>
    <row r="125" spans="1:8" s="121" customFormat="1" ht="50.25" customHeight="1">
      <c r="A125" s="221"/>
      <c r="B125" s="221"/>
      <c r="C125" s="221"/>
      <c r="D125" s="219"/>
      <c r="E125" s="107" t="s">
        <v>181</v>
      </c>
      <c r="F125" s="85">
        <f>100000-52000-26000</f>
        <v>22000</v>
      </c>
      <c r="G125" s="108">
        <f>200000+59000-50000+130000-35000-20000</f>
        <v>284000</v>
      </c>
      <c r="H125" s="75">
        <f t="shared" si="2"/>
        <v>306000</v>
      </c>
    </row>
    <row r="126" spans="1:8" s="121" customFormat="1" ht="64.5" customHeight="1" hidden="1">
      <c r="A126" s="222"/>
      <c r="B126" s="222"/>
      <c r="C126" s="222"/>
      <c r="D126" s="220"/>
      <c r="E126" s="104" t="s">
        <v>374</v>
      </c>
      <c r="F126" s="79"/>
      <c r="G126" s="79">
        <f>4000-4000</f>
        <v>0</v>
      </c>
      <c r="H126" s="79">
        <f t="shared" si="2"/>
        <v>0</v>
      </c>
    </row>
    <row r="127" spans="1:8" s="121" customFormat="1" ht="52.5" customHeight="1">
      <c r="A127" s="225"/>
      <c r="B127" s="225" t="s">
        <v>305</v>
      </c>
      <c r="C127" s="225" t="s">
        <v>152</v>
      </c>
      <c r="D127" s="218" t="s">
        <v>109</v>
      </c>
      <c r="E127" s="163" t="s">
        <v>112</v>
      </c>
      <c r="F127" s="78">
        <f>105539+(270935)-87164+87064</f>
        <v>376374</v>
      </c>
      <c r="G127" s="75"/>
      <c r="H127" s="75">
        <f t="shared" si="2"/>
        <v>376374</v>
      </c>
    </row>
    <row r="128" spans="1:8" s="121" customFormat="1" ht="70.5" customHeight="1">
      <c r="A128" s="221"/>
      <c r="B128" s="221"/>
      <c r="C128" s="221"/>
      <c r="D128" s="219"/>
      <c r="E128" s="104" t="s">
        <v>204</v>
      </c>
      <c r="F128" s="79"/>
      <c r="G128" s="79">
        <v>4400</v>
      </c>
      <c r="H128" s="79">
        <f>G128+F128</f>
        <v>4400</v>
      </c>
    </row>
    <row r="129" spans="1:8" s="121" customFormat="1" ht="54" customHeight="1" hidden="1">
      <c r="A129" s="222"/>
      <c r="B129" s="222"/>
      <c r="C129" s="222"/>
      <c r="D129" s="220"/>
      <c r="E129" s="107" t="s">
        <v>125</v>
      </c>
      <c r="F129" s="86"/>
      <c r="G129" s="86"/>
      <c r="H129" s="75">
        <f t="shared" si="2"/>
        <v>0</v>
      </c>
    </row>
    <row r="130" spans="1:8" s="121" customFormat="1" ht="50.25" customHeight="1">
      <c r="A130" s="225"/>
      <c r="B130" s="225" t="s">
        <v>306</v>
      </c>
      <c r="C130" s="225" t="s">
        <v>153</v>
      </c>
      <c r="D130" s="218" t="s">
        <v>110</v>
      </c>
      <c r="E130" s="166" t="s">
        <v>112</v>
      </c>
      <c r="F130" s="78">
        <f>2764114+(70505)-1</f>
        <v>2834618</v>
      </c>
      <c r="G130" s="78">
        <f>325895+66110+88500+(51267)-51267+230668</f>
        <v>711173</v>
      </c>
      <c r="H130" s="75">
        <f t="shared" si="2"/>
        <v>3545791</v>
      </c>
    </row>
    <row r="131" spans="1:8" s="121" customFormat="1" ht="63">
      <c r="A131" s="221"/>
      <c r="B131" s="221"/>
      <c r="C131" s="221"/>
      <c r="D131" s="219"/>
      <c r="E131" s="104" t="s">
        <v>204</v>
      </c>
      <c r="F131" s="79"/>
      <c r="G131" s="79">
        <v>23400</v>
      </c>
      <c r="H131" s="79">
        <f t="shared" si="2"/>
        <v>23400</v>
      </c>
    </row>
    <row r="132" spans="1:8" s="121" customFormat="1" ht="47.25" customHeight="1">
      <c r="A132" s="236"/>
      <c r="B132" s="236"/>
      <c r="C132" s="222"/>
      <c r="D132" s="236"/>
      <c r="E132" s="107" t="s">
        <v>181</v>
      </c>
      <c r="F132" s="78"/>
      <c r="G132" s="108">
        <f>45000+10000-18000</f>
        <v>37000</v>
      </c>
      <c r="H132" s="75">
        <f t="shared" si="2"/>
        <v>37000</v>
      </c>
    </row>
    <row r="133" spans="1:8" s="121" customFormat="1" ht="75.75" customHeight="1" hidden="1">
      <c r="A133" s="112"/>
      <c r="B133" s="111">
        <v>80704</v>
      </c>
      <c r="C133" s="113"/>
      <c r="D133" s="148" t="s">
        <v>380</v>
      </c>
      <c r="E133" s="166" t="s">
        <v>381</v>
      </c>
      <c r="F133" s="78"/>
      <c r="G133" s="78"/>
      <c r="H133" s="75">
        <f t="shared" si="2"/>
        <v>0</v>
      </c>
    </row>
    <row r="134" spans="1:8" s="121" customFormat="1" ht="50.25" customHeight="1">
      <c r="A134" s="225"/>
      <c r="B134" s="225" t="s">
        <v>551</v>
      </c>
      <c r="C134" s="225" t="s">
        <v>154</v>
      </c>
      <c r="D134" s="218" t="s">
        <v>552</v>
      </c>
      <c r="E134" s="163" t="s">
        <v>112</v>
      </c>
      <c r="F134" s="78">
        <f>F135+F136</f>
        <v>11529821</v>
      </c>
      <c r="G134" s="78">
        <f>G135+G136</f>
        <v>10743453</v>
      </c>
      <c r="H134" s="75">
        <f t="shared" si="2"/>
        <v>22273274</v>
      </c>
    </row>
    <row r="135" spans="1:8" s="121" customFormat="1" ht="25.5" customHeight="1">
      <c r="A135" s="221"/>
      <c r="B135" s="221"/>
      <c r="C135" s="221"/>
      <c r="D135" s="219"/>
      <c r="E135" s="164" t="s">
        <v>373</v>
      </c>
      <c r="F135" s="78">
        <f>5016988+(2941543)+113125-8669+1+144816-137064+360000+(205325)+785534+4000+794075-6671+2034+167454+114048+403525+355123+274634</f>
        <v>11529821</v>
      </c>
      <c r="G135" s="75">
        <f>894732+(2149900)-4036+1768380-(57606)+255200+5359300</f>
        <v>10365870</v>
      </c>
      <c r="H135" s="75">
        <f t="shared" si="2"/>
        <v>21895691</v>
      </c>
    </row>
    <row r="136" spans="1:8" s="121" customFormat="1" ht="18.75" customHeight="1">
      <c r="A136" s="221"/>
      <c r="B136" s="221"/>
      <c r="C136" s="221"/>
      <c r="D136" s="219"/>
      <c r="E136" s="76" t="s">
        <v>372</v>
      </c>
      <c r="F136" s="78"/>
      <c r="G136" s="75">
        <v>377583</v>
      </c>
      <c r="H136" s="75">
        <f t="shared" si="2"/>
        <v>377583</v>
      </c>
    </row>
    <row r="137" spans="1:8" s="121" customFormat="1" ht="72" customHeight="1">
      <c r="A137" s="221"/>
      <c r="B137" s="221"/>
      <c r="C137" s="221"/>
      <c r="D137" s="219"/>
      <c r="E137" s="76" t="s">
        <v>204</v>
      </c>
      <c r="F137" s="79"/>
      <c r="G137" s="79">
        <v>40893</v>
      </c>
      <c r="H137" s="79">
        <f>G137+F137</f>
        <v>40893</v>
      </c>
    </row>
    <row r="138" spans="1:8" s="121" customFormat="1" ht="57" customHeight="1">
      <c r="A138" s="221"/>
      <c r="B138" s="221"/>
      <c r="C138" s="221"/>
      <c r="D138" s="219"/>
      <c r="E138" s="107" t="s">
        <v>181</v>
      </c>
      <c r="F138" s="85">
        <f>200000-49000-(50000)</f>
        <v>101000</v>
      </c>
      <c r="G138" s="108">
        <f>300000-60000-(39000)-5600</f>
        <v>195400</v>
      </c>
      <c r="H138" s="75">
        <f t="shared" si="2"/>
        <v>296400</v>
      </c>
    </row>
    <row r="139" spans="1:8" s="121" customFormat="1" ht="63.75" customHeight="1" hidden="1">
      <c r="A139" s="151"/>
      <c r="B139" s="222"/>
      <c r="C139" s="222"/>
      <c r="D139" s="220"/>
      <c r="E139" s="166" t="s">
        <v>123</v>
      </c>
      <c r="F139" s="140">
        <f>4581-4581</f>
        <v>0</v>
      </c>
      <c r="G139" s="108"/>
      <c r="H139" s="75">
        <f t="shared" si="2"/>
        <v>0</v>
      </c>
    </row>
    <row r="140" spans="1:8" s="121" customFormat="1" ht="47.25">
      <c r="A140" s="170"/>
      <c r="B140" s="225" t="s">
        <v>344</v>
      </c>
      <c r="C140" s="150" t="s">
        <v>155</v>
      </c>
      <c r="D140" s="218" t="s">
        <v>345</v>
      </c>
      <c r="E140" s="163" t="s">
        <v>237</v>
      </c>
      <c r="F140" s="78">
        <f>23337863+(2825860)-2825860-220846</f>
        <v>23117017</v>
      </c>
      <c r="G140" s="75"/>
      <c r="H140" s="75">
        <f t="shared" si="2"/>
        <v>23117017</v>
      </c>
    </row>
    <row r="141" spans="1:8" s="121" customFormat="1" ht="63" customHeight="1" hidden="1">
      <c r="A141" s="114"/>
      <c r="B141" s="222"/>
      <c r="C141" s="151"/>
      <c r="D141" s="220"/>
      <c r="E141" s="163" t="s">
        <v>383</v>
      </c>
      <c r="F141" s="80"/>
      <c r="G141" s="80"/>
      <c r="H141" s="75">
        <f t="shared" si="2"/>
        <v>0</v>
      </c>
    </row>
    <row r="142" spans="1:8" s="121" customFormat="1" ht="63.75" customHeight="1" hidden="1">
      <c r="A142" s="150"/>
      <c r="B142" s="150" t="s">
        <v>71</v>
      </c>
      <c r="C142" s="150"/>
      <c r="D142" s="166" t="s">
        <v>72</v>
      </c>
      <c r="E142" s="163" t="s">
        <v>383</v>
      </c>
      <c r="F142" s="78"/>
      <c r="G142" s="78"/>
      <c r="H142" s="75">
        <f t="shared" si="2"/>
        <v>0</v>
      </c>
    </row>
    <row r="143" spans="1:8" s="121" customFormat="1" ht="46.5" customHeight="1">
      <c r="A143" s="148"/>
      <c r="B143" s="148" t="s">
        <v>308</v>
      </c>
      <c r="C143" s="148" t="s">
        <v>155</v>
      </c>
      <c r="D143" s="160" t="s">
        <v>494</v>
      </c>
      <c r="E143" s="166" t="s">
        <v>238</v>
      </c>
      <c r="F143" s="78">
        <v>3558168</v>
      </c>
      <c r="G143" s="91"/>
      <c r="H143" s="75">
        <f t="shared" si="2"/>
        <v>3558168</v>
      </c>
    </row>
    <row r="144" spans="1:8" s="121" customFormat="1" ht="47.25">
      <c r="A144" s="148"/>
      <c r="B144" s="232" t="s">
        <v>316</v>
      </c>
      <c r="C144" s="225" t="s">
        <v>138</v>
      </c>
      <c r="D144" s="238" t="s">
        <v>317</v>
      </c>
      <c r="E144" s="163" t="s">
        <v>112</v>
      </c>
      <c r="F144" s="75"/>
      <c r="G144" s="75">
        <f>G145+G146</f>
        <v>16496703</v>
      </c>
      <c r="H144" s="75">
        <f t="shared" si="2"/>
        <v>16496703</v>
      </c>
    </row>
    <row r="145" spans="1:8" s="121" customFormat="1" ht="15.75">
      <c r="A145" s="149"/>
      <c r="B145" s="233"/>
      <c r="C145" s="221"/>
      <c r="D145" s="239"/>
      <c r="E145" s="164" t="s">
        <v>373</v>
      </c>
      <c r="F145" s="80"/>
      <c r="G145" s="75">
        <f>17714560+(9837760)-9837760-1245773+138210+(3712921)-4101664</f>
        <v>16218254</v>
      </c>
      <c r="H145" s="75">
        <f t="shared" si="2"/>
        <v>16218254</v>
      </c>
    </row>
    <row r="146" spans="1:8" s="121" customFormat="1" ht="15.75">
      <c r="A146" s="151"/>
      <c r="B146" s="234"/>
      <c r="C146" s="222"/>
      <c r="D146" s="240"/>
      <c r="E146" s="76" t="s">
        <v>372</v>
      </c>
      <c r="F146" s="80"/>
      <c r="G146" s="75">
        <v>278449</v>
      </c>
      <c r="H146" s="75">
        <f t="shared" si="2"/>
        <v>278449</v>
      </c>
    </row>
    <row r="147" spans="1:8" s="121" customFormat="1" ht="49.5" customHeight="1">
      <c r="A147" s="115"/>
      <c r="B147" s="116" t="s">
        <v>404</v>
      </c>
      <c r="C147" s="116"/>
      <c r="D147" s="117" t="s">
        <v>283</v>
      </c>
      <c r="E147" s="166"/>
      <c r="F147" s="87">
        <f>F148+F151+F152+F153+F156+F159+F160+F161+F162+F163+F164+F165+F168+F169+F172+F173+F174</f>
        <v>35595554</v>
      </c>
      <c r="G147" s="87">
        <f>G148+G151+G152+G153+G156+G159+G160+G161+G162+G163+G164+G165+G168+G169+G172+G173+G174</f>
        <v>8311952</v>
      </c>
      <c r="H147" s="87">
        <f>G147+F147</f>
        <v>43907506</v>
      </c>
    </row>
    <row r="148" spans="1:8" s="121" customFormat="1" ht="47.25" customHeight="1">
      <c r="A148" s="231"/>
      <c r="B148" s="228" t="s">
        <v>426</v>
      </c>
      <c r="C148" s="225" t="s">
        <v>136</v>
      </c>
      <c r="D148" s="237" t="s">
        <v>427</v>
      </c>
      <c r="E148" s="163" t="s">
        <v>182</v>
      </c>
      <c r="F148" s="176"/>
      <c r="G148" s="75">
        <f>G149+G150</f>
        <v>2723336</v>
      </c>
      <c r="H148" s="75">
        <f aca="true" t="shared" si="3" ref="H148:H176">F148+G148</f>
        <v>2723336</v>
      </c>
    </row>
    <row r="149" spans="1:8" s="121" customFormat="1" ht="23.25" customHeight="1">
      <c r="A149" s="231"/>
      <c r="B149" s="229"/>
      <c r="C149" s="221"/>
      <c r="D149" s="237"/>
      <c r="E149" s="164" t="s">
        <v>373</v>
      </c>
      <c r="F149" s="75"/>
      <c r="G149" s="75">
        <f>1258317+504618+(426311)+38775+16450+550575-74915</f>
        <v>2720131</v>
      </c>
      <c r="H149" s="75">
        <f t="shared" si="3"/>
        <v>2720131</v>
      </c>
    </row>
    <row r="150" spans="1:8" s="121" customFormat="1" ht="20.25" customHeight="1">
      <c r="A150" s="231"/>
      <c r="B150" s="229"/>
      <c r="C150" s="221"/>
      <c r="D150" s="237"/>
      <c r="E150" s="76" t="s">
        <v>372</v>
      </c>
      <c r="F150" s="75"/>
      <c r="G150" s="75">
        <v>3205</v>
      </c>
      <c r="H150" s="75">
        <f t="shared" si="3"/>
        <v>3205</v>
      </c>
    </row>
    <row r="151" spans="1:8" s="121" customFormat="1" ht="63.75" customHeight="1" hidden="1">
      <c r="A151" s="231"/>
      <c r="B151" s="230"/>
      <c r="C151" s="222"/>
      <c r="D151" s="237"/>
      <c r="E151" s="166" t="s">
        <v>123</v>
      </c>
      <c r="F151" s="75">
        <f>478-478</f>
        <v>0</v>
      </c>
      <c r="G151" s="91"/>
      <c r="H151" s="75">
        <f t="shared" si="3"/>
        <v>0</v>
      </c>
    </row>
    <row r="152" spans="1:8" s="121" customFormat="1" ht="62.25" customHeight="1">
      <c r="A152" s="150"/>
      <c r="B152" s="150" t="s">
        <v>311</v>
      </c>
      <c r="C152" s="150" t="s">
        <v>144</v>
      </c>
      <c r="D152" s="166" t="s">
        <v>532</v>
      </c>
      <c r="E152" s="166" t="s">
        <v>123</v>
      </c>
      <c r="F152" s="75">
        <f>1368-540</f>
        <v>828</v>
      </c>
      <c r="G152" s="75"/>
      <c r="H152" s="75">
        <f t="shared" si="3"/>
        <v>828</v>
      </c>
    </row>
    <row r="153" spans="1:8" s="121" customFormat="1" ht="47.25">
      <c r="A153" s="157"/>
      <c r="B153" s="228" t="s">
        <v>312</v>
      </c>
      <c r="C153" s="225" t="s">
        <v>144</v>
      </c>
      <c r="D153" s="218" t="s">
        <v>499</v>
      </c>
      <c r="E153" s="163" t="s">
        <v>183</v>
      </c>
      <c r="F153" s="78">
        <f>F154+F155</f>
        <v>183606</v>
      </c>
      <c r="G153" s="78"/>
      <c r="H153" s="75">
        <f t="shared" si="3"/>
        <v>183606</v>
      </c>
    </row>
    <row r="154" spans="1:8" s="121" customFormat="1" ht="15.75">
      <c r="A154" s="158"/>
      <c r="B154" s="229"/>
      <c r="C154" s="221"/>
      <c r="D154" s="219"/>
      <c r="E154" s="164" t="s">
        <v>373</v>
      </c>
      <c r="F154" s="78">
        <f>140250+34656+(8500)</f>
        <v>183406</v>
      </c>
      <c r="G154" s="91"/>
      <c r="H154" s="75">
        <f t="shared" si="3"/>
        <v>183406</v>
      </c>
    </row>
    <row r="155" spans="1:8" s="121" customFormat="1" ht="15.75">
      <c r="A155" s="159"/>
      <c r="B155" s="230"/>
      <c r="C155" s="222"/>
      <c r="D155" s="220"/>
      <c r="E155" s="76" t="s">
        <v>372</v>
      </c>
      <c r="F155" s="78">
        <v>200</v>
      </c>
      <c r="G155" s="91"/>
      <c r="H155" s="75">
        <f t="shared" si="3"/>
        <v>200</v>
      </c>
    </row>
    <row r="156" spans="1:8" s="121" customFormat="1" ht="47.25" customHeight="1">
      <c r="A156" s="245"/>
      <c r="B156" s="231" t="s">
        <v>424</v>
      </c>
      <c r="C156" s="225" t="s">
        <v>156</v>
      </c>
      <c r="D156" s="237" t="s">
        <v>425</v>
      </c>
      <c r="E156" s="163" t="s">
        <v>183</v>
      </c>
      <c r="F156" s="78">
        <f>F157+F158</f>
        <v>5378428</v>
      </c>
      <c r="G156" s="78">
        <f>G157+G158</f>
        <v>1685020</v>
      </c>
      <c r="H156" s="75">
        <f t="shared" si="3"/>
        <v>7063448</v>
      </c>
    </row>
    <row r="157" spans="1:8" s="121" customFormat="1" ht="22.5" customHeight="1">
      <c r="A157" s="245"/>
      <c r="B157" s="231"/>
      <c r="C157" s="221"/>
      <c r="D157" s="237"/>
      <c r="E157" s="164" t="s">
        <v>373</v>
      </c>
      <c r="F157" s="78">
        <f>4904365+(26088)+(830760)-422135</f>
        <v>5339078</v>
      </c>
      <c r="G157" s="75">
        <f>500351+430729+(953172)-292960</f>
        <v>1591292</v>
      </c>
      <c r="H157" s="75">
        <f>F157+G157</f>
        <v>6930370</v>
      </c>
    </row>
    <row r="158" spans="1:8" s="121" customFormat="1" ht="23.25" customHeight="1">
      <c r="A158" s="245"/>
      <c r="B158" s="231"/>
      <c r="C158" s="221"/>
      <c r="D158" s="237"/>
      <c r="E158" s="104" t="s">
        <v>372</v>
      </c>
      <c r="F158" s="78">
        <v>39350</v>
      </c>
      <c r="G158" s="75">
        <v>93728</v>
      </c>
      <c r="H158" s="75">
        <f>F158+G158</f>
        <v>133078</v>
      </c>
    </row>
    <row r="159" spans="1:8" s="121" customFormat="1" ht="50.25" customHeight="1" hidden="1">
      <c r="A159" s="245"/>
      <c r="B159" s="231"/>
      <c r="C159" s="221"/>
      <c r="D159" s="237"/>
      <c r="E159" s="166" t="s">
        <v>242</v>
      </c>
      <c r="F159" s="78"/>
      <c r="G159" s="75"/>
      <c r="H159" s="75">
        <f t="shared" si="3"/>
        <v>0</v>
      </c>
    </row>
    <row r="160" spans="1:8" s="121" customFormat="1" ht="64.5" customHeight="1">
      <c r="A160" s="245"/>
      <c r="B160" s="231"/>
      <c r="C160" s="221"/>
      <c r="D160" s="237"/>
      <c r="E160" s="104" t="s">
        <v>207</v>
      </c>
      <c r="F160" s="89">
        <v>7336</v>
      </c>
      <c r="G160" s="89"/>
      <c r="H160" s="89">
        <f t="shared" si="3"/>
        <v>7336</v>
      </c>
    </row>
    <row r="161" spans="1:8" s="121" customFormat="1" ht="51" customHeight="1">
      <c r="A161" s="245"/>
      <c r="B161" s="231"/>
      <c r="C161" s="221"/>
      <c r="D161" s="237"/>
      <c r="E161" s="107" t="s">
        <v>181</v>
      </c>
      <c r="F161" s="90">
        <f>70000+10000</f>
        <v>80000</v>
      </c>
      <c r="G161" s="94">
        <f>60000-31000-10000</f>
        <v>19000</v>
      </c>
      <c r="H161" s="97">
        <f t="shared" si="3"/>
        <v>99000</v>
      </c>
    </row>
    <row r="162" spans="1:8" s="121" customFormat="1" ht="60.75" customHeight="1">
      <c r="A162" s="245"/>
      <c r="B162" s="231"/>
      <c r="C162" s="222"/>
      <c r="D162" s="237"/>
      <c r="E162" s="166" t="s">
        <v>123</v>
      </c>
      <c r="F162" s="91">
        <f>3994-2394</f>
        <v>1600</v>
      </c>
      <c r="G162" s="89"/>
      <c r="H162" s="75">
        <f t="shared" si="3"/>
        <v>1600</v>
      </c>
    </row>
    <row r="163" spans="1:9" s="121" customFormat="1" ht="49.5" customHeight="1">
      <c r="A163" s="225"/>
      <c r="B163" s="225" t="s">
        <v>255</v>
      </c>
      <c r="C163" s="225" t="s">
        <v>157</v>
      </c>
      <c r="D163" s="218" t="s">
        <v>249</v>
      </c>
      <c r="E163" s="163" t="s">
        <v>183</v>
      </c>
      <c r="F163" s="78">
        <f>1085000-46620+100000</f>
        <v>1138380</v>
      </c>
      <c r="G163" s="91"/>
      <c r="H163" s="75">
        <f t="shared" si="3"/>
        <v>1138380</v>
      </c>
      <c r="I163" s="131"/>
    </row>
    <row r="164" spans="1:8" s="121" customFormat="1" ht="49.5" customHeight="1">
      <c r="A164" s="236"/>
      <c r="B164" s="236"/>
      <c r="C164" s="222"/>
      <c r="D164" s="236"/>
      <c r="E164" s="107" t="s">
        <v>181</v>
      </c>
      <c r="F164" s="99">
        <f>100000-50000</f>
        <v>50000</v>
      </c>
      <c r="G164" s="99">
        <f>40000-40000+23500</f>
        <v>23500</v>
      </c>
      <c r="H164" s="97">
        <f t="shared" si="3"/>
        <v>73500</v>
      </c>
    </row>
    <row r="165" spans="1:9" s="121" customFormat="1" ht="48" customHeight="1">
      <c r="A165" s="245"/>
      <c r="B165" s="231" t="s">
        <v>318</v>
      </c>
      <c r="C165" s="225" t="s">
        <v>158</v>
      </c>
      <c r="D165" s="237" t="s">
        <v>325</v>
      </c>
      <c r="E165" s="163" t="s">
        <v>128</v>
      </c>
      <c r="F165" s="78">
        <f>F166+F167</f>
        <v>19254068</v>
      </c>
      <c r="G165" s="91"/>
      <c r="H165" s="75">
        <f t="shared" si="3"/>
        <v>19254068</v>
      </c>
      <c r="I165" s="131"/>
    </row>
    <row r="166" spans="1:9" s="121" customFormat="1" ht="18" customHeight="1">
      <c r="A166" s="225"/>
      <c r="B166" s="228"/>
      <c r="C166" s="221"/>
      <c r="D166" s="238"/>
      <c r="E166" s="164" t="s">
        <v>373</v>
      </c>
      <c r="F166" s="78">
        <f>8745036+923608+46620+1072503+1072503+106020+(2145006)+2036000+1640000-1640000+2860008+100000</f>
        <v>19107304</v>
      </c>
      <c r="G166" s="91"/>
      <c r="H166" s="75">
        <f t="shared" si="3"/>
        <v>19107304</v>
      </c>
      <c r="I166" s="131"/>
    </row>
    <row r="167" spans="1:9" s="121" customFormat="1" ht="19.5" customHeight="1">
      <c r="A167" s="225"/>
      <c r="B167" s="228"/>
      <c r="C167" s="221"/>
      <c r="D167" s="238"/>
      <c r="E167" s="76" t="s">
        <v>372</v>
      </c>
      <c r="F167" s="78">
        <v>146764</v>
      </c>
      <c r="G167" s="91"/>
      <c r="H167" s="75">
        <f t="shared" si="3"/>
        <v>146764</v>
      </c>
      <c r="I167" s="131"/>
    </row>
    <row r="168" spans="1:8" s="121" customFormat="1" ht="47.25">
      <c r="A168" s="225"/>
      <c r="B168" s="228"/>
      <c r="C168" s="222"/>
      <c r="D168" s="238"/>
      <c r="E168" s="107" t="s">
        <v>181</v>
      </c>
      <c r="F168" s="85">
        <f>4500000-225300+20000-14000+141000+1880+109212+10000+26944+17000+(77000)+66600+1640000-1640000+79800+1640000+63500</f>
        <v>6513636</v>
      </c>
      <c r="G168" s="85"/>
      <c r="H168" s="85">
        <f t="shared" si="3"/>
        <v>6513636</v>
      </c>
    </row>
    <row r="169" spans="1:8" s="121" customFormat="1" ht="47.25" customHeight="1">
      <c r="A169" s="148"/>
      <c r="B169" s="232" t="s">
        <v>316</v>
      </c>
      <c r="C169" s="225" t="s">
        <v>138</v>
      </c>
      <c r="D169" s="218" t="s">
        <v>317</v>
      </c>
      <c r="E169" s="163" t="s">
        <v>183</v>
      </c>
      <c r="F169" s="80"/>
      <c r="G169" s="96">
        <f>G170+G171</f>
        <v>3861096</v>
      </c>
      <c r="H169" s="75">
        <f t="shared" si="3"/>
        <v>3861096</v>
      </c>
    </row>
    <row r="170" spans="1:8" s="121" customFormat="1" ht="25.5" customHeight="1">
      <c r="A170" s="149"/>
      <c r="B170" s="233"/>
      <c r="C170" s="221"/>
      <c r="D170" s="219"/>
      <c r="E170" s="164" t="s">
        <v>373</v>
      </c>
      <c r="F170" s="80"/>
      <c r="G170" s="96">
        <f>4237913-430729-23142+74915</f>
        <v>3858957</v>
      </c>
      <c r="H170" s="75">
        <f t="shared" si="3"/>
        <v>3858957</v>
      </c>
    </row>
    <row r="171" spans="1:8" s="121" customFormat="1" ht="23.25" customHeight="1">
      <c r="A171" s="151"/>
      <c r="B171" s="234"/>
      <c r="C171" s="222"/>
      <c r="D171" s="220"/>
      <c r="E171" s="76" t="s">
        <v>372</v>
      </c>
      <c r="F171" s="80"/>
      <c r="G171" s="96">
        <v>2139</v>
      </c>
      <c r="H171" s="75">
        <f t="shared" si="3"/>
        <v>2139</v>
      </c>
    </row>
    <row r="172" spans="1:9" s="121" customFormat="1" ht="47.25">
      <c r="A172" s="151"/>
      <c r="B172" s="151" t="s">
        <v>265</v>
      </c>
      <c r="C172" s="151" t="s">
        <v>159</v>
      </c>
      <c r="D172" s="162" t="s">
        <v>496</v>
      </c>
      <c r="E172" s="163" t="s">
        <v>183</v>
      </c>
      <c r="F172" s="78">
        <v>315000</v>
      </c>
      <c r="G172" s="110"/>
      <c r="H172" s="75">
        <f t="shared" si="3"/>
        <v>315000</v>
      </c>
      <c r="I172" s="131"/>
    </row>
    <row r="173" spans="1:9" s="121" customFormat="1" ht="47.25">
      <c r="A173" s="150"/>
      <c r="B173" s="150" t="s">
        <v>319</v>
      </c>
      <c r="C173" s="150" t="s">
        <v>159</v>
      </c>
      <c r="D173" s="166" t="s">
        <v>497</v>
      </c>
      <c r="E173" s="163" t="s">
        <v>183</v>
      </c>
      <c r="F173" s="78">
        <f>500000+(550000)+362672</f>
        <v>1412672</v>
      </c>
      <c r="G173" s="110"/>
      <c r="H173" s="75">
        <f t="shared" si="3"/>
        <v>1412672</v>
      </c>
      <c r="I173" s="131"/>
    </row>
    <row r="174" spans="1:9" s="121" customFormat="1" ht="54.75" customHeight="1">
      <c r="A174" s="150"/>
      <c r="B174" s="150" t="s">
        <v>349</v>
      </c>
      <c r="C174" s="150" t="s">
        <v>159</v>
      </c>
      <c r="D174" s="166" t="s">
        <v>244</v>
      </c>
      <c r="E174" s="163" t="s">
        <v>183</v>
      </c>
      <c r="F174" s="78">
        <v>1260000</v>
      </c>
      <c r="G174" s="110"/>
      <c r="H174" s="75">
        <f t="shared" si="3"/>
        <v>1260000</v>
      </c>
      <c r="I174" s="131"/>
    </row>
    <row r="175" spans="1:8" s="121" customFormat="1" ht="43.5" customHeight="1">
      <c r="A175" s="105"/>
      <c r="B175" s="105" t="s">
        <v>437</v>
      </c>
      <c r="C175" s="105"/>
      <c r="D175" s="106" t="s">
        <v>441</v>
      </c>
      <c r="E175" s="166"/>
      <c r="F175" s="82">
        <f>F176+F177</f>
        <v>47708</v>
      </c>
      <c r="G175" s="82">
        <f>G176+G177</f>
        <v>108000</v>
      </c>
      <c r="H175" s="82">
        <f>H176+H177</f>
        <v>155708</v>
      </c>
    </row>
    <row r="176" spans="1:8" s="121" customFormat="1" ht="49.5" customHeight="1">
      <c r="A176" s="150"/>
      <c r="B176" s="111" t="s">
        <v>426</v>
      </c>
      <c r="C176" s="150" t="s">
        <v>136</v>
      </c>
      <c r="D176" s="166" t="s">
        <v>427</v>
      </c>
      <c r="E176" s="163" t="s">
        <v>182</v>
      </c>
      <c r="F176" s="78"/>
      <c r="G176" s="96">
        <f>108000</f>
        <v>108000</v>
      </c>
      <c r="H176" s="75">
        <f t="shared" si="3"/>
        <v>108000</v>
      </c>
    </row>
    <row r="177" spans="1:8" s="121" customFormat="1" ht="80.25" customHeight="1">
      <c r="A177" s="105"/>
      <c r="B177" s="175" t="s">
        <v>210</v>
      </c>
      <c r="C177" s="151" t="s">
        <v>140</v>
      </c>
      <c r="D177" s="162" t="s">
        <v>211</v>
      </c>
      <c r="E177" s="166" t="s">
        <v>215</v>
      </c>
      <c r="F177" s="96">
        <f>47708</f>
        <v>47708</v>
      </c>
      <c r="G177" s="96"/>
      <c r="H177" s="96">
        <f>F177+G177</f>
        <v>47708</v>
      </c>
    </row>
    <row r="178" spans="1:8" s="121" customFormat="1" ht="47.25" customHeight="1">
      <c r="A178" s="105"/>
      <c r="B178" s="105" t="s">
        <v>448</v>
      </c>
      <c r="C178" s="105"/>
      <c r="D178" s="106" t="s">
        <v>449</v>
      </c>
      <c r="E178" s="163"/>
      <c r="F178" s="82">
        <f>F179</f>
        <v>0</v>
      </c>
      <c r="G178" s="82">
        <f>G179</f>
        <v>27342</v>
      </c>
      <c r="H178" s="82">
        <f>H179</f>
        <v>27342</v>
      </c>
    </row>
    <row r="179" spans="1:8" s="121" customFormat="1" ht="55.5" customHeight="1">
      <c r="A179" s="150"/>
      <c r="B179" s="150" t="s">
        <v>426</v>
      </c>
      <c r="C179" s="150" t="s">
        <v>136</v>
      </c>
      <c r="D179" s="166" t="s">
        <v>427</v>
      </c>
      <c r="E179" s="163" t="s">
        <v>182</v>
      </c>
      <c r="F179" s="78"/>
      <c r="G179" s="96">
        <v>27342</v>
      </c>
      <c r="H179" s="75">
        <f>F179+G179</f>
        <v>27342</v>
      </c>
    </row>
    <row r="180" spans="1:8" s="121" customFormat="1" ht="35.25" customHeight="1">
      <c r="A180" s="105"/>
      <c r="B180" s="105" t="s">
        <v>409</v>
      </c>
      <c r="C180" s="102"/>
      <c r="D180" s="106" t="s">
        <v>286</v>
      </c>
      <c r="E180" s="166"/>
      <c r="F180" s="82">
        <f>F181+F183+F188+F189+F193+F196+F197+F199+F200+F201+F187+F192+F195+F207</f>
        <v>4926822</v>
      </c>
      <c r="G180" s="82">
        <f>G181+G182+G183+G186+G187+G188+G189+G192+G193+G194+G196+G197+G199+G201+G204+G205+G206+G200+G195+G207</f>
        <v>4393440</v>
      </c>
      <c r="H180" s="87">
        <f>F180+G180</f>
        <v>9320262</v>
      </c>
    </row>
    <row r="181" spans="1:8" s="121" customFormat="1" ht="47.25">
      <c r="A181" s="245"/>
      <c r="B181" s="231" t="s">
        <v>420</v>
      </c>
      <c r="C181" s="148" t="s">
        <v>160</v>
      </c>
      <c r="D181" s="237" t="s">
        <v>421</v>
      </c>
      <c r="E181" s="166" t="s">
        <v>113</v>
      </c>
      <c r="F181" s="78">
        <f>225504+(23969)</f>
        <v>249473</v>
      </c>
      <c r="G181" s="75">
        <v>75227</v>
      </c>
      <c r="H181" s="96">
        <f>G181+F181</f>
        <v>324700</v>
      </c>
    </row>
    <row r="182" spans="1:8" s="121" customFormat="1" ht="65.25" customHeight="1" hidden="1">
      <c r="A182" s="245"/>
      <c r="B182" s="231"/>
      <c r="C182" s="149"/>
      <c r="D182" s="237"/>
      <c r="E182" s="166" t="s">
        <v>382</v>
      </c>
      <c r="F182" s="78"/>
      <c r="G182" s="75"/>
      <c r="H182" s="96">
        <f aca="true" t="shared" si="4" ref="H182:H206">G182+F182</f>
        <v>0</v>
      </c>
    </row>
    <row r="183" spans="1:8" s="121" customFormat="1" ht="47.25">
      <c r="A183" s="245"/>
      <c r="B183" s="231" t="s">
        <v>422</v>
      </c>
      <c r="C183" s="225" t="s">
        <v>161</v>
      </c>
      <c r="D183" s="237" t="s">
        <v>423</v>
      </c>
      <c r="E183" s="166" t="s">
        <v>113</v>
      </c>
      <c r="F183" s="78">
        <f>F184+F185</f>
        <v>754808</v>
      </c>
      <c r="G183" s="78">
        <f>G184+G185</f>
        <v>761843</v>
      </c>
      <c r="H183" s="96">
        <f t="shared" si="4"/>
        <v>1516651</v>
      </c>
    </row>
    <row r="184" spans="1:8" s="121" customFormat="1" ht="15.75">
      <c r="A184" s="245"/>
      <c r="B184" s="231"/>
      <c r="C184" s="221"/>
      <c r="D184" s="237"/>
      <c r="E184" s="164" t="s">
        <v>373</v>
      </c>
      <c r="F184" s="78">
        <f>786961-32153</f>
        <v>754808</v>
      </c>
      <c r="G184" s="75">
        <f>730800+(16600)</f>
        <v>747400</v>
      </c>
      <c r="H184" s="96">
        <f t="shared" si="4"/>
        <v>1502208</v>
      </c>
    </row>
    <row r="185" spans="1:8" s="121" customFormat="1" ht="15.75">
      <c r="A185" s="245"/>
      <c r="B185" s="231"/>
      <c r="C185" s="221"/>
      <c r="D185" s="237"/>
      <c r="E185" s="104" t="s">
        <v>372</v>
      </c>
      <c r="F185" s="78"/>
      <c r="G185" s="75">
        <v>14443</v>
      </c>
      <c r="H185" s="96">
        <f t="shared" si="4"/>
        <v>14443</v>
      </c>
    </row>
    <row r="186" spans="1:8" s="121" customFormat="1" ht="63">
      <c r="A186" s="245"/>
      <c r="B186" s="231"/>
      <c r="C186" s="221"/>
      <c r="D186" s="237"/>
      <c r="E186" s="104" t="s">
        <v>204</v>
      </c>
      <c r="F186" s="79"/>
      <c r="G186" s="79">
        <v>11000</v>
      </c>
      <c r="H186" s="79">
        <f t="shared" si="4"/>
        <v>11000</v>
      </c>
    </row>
    <row r="187" spans="1:8" s="121" customFormat="1" ht="47.25">
      <c r="A187" s="245"/>
      <c r="B187" s="231"/>
      <c r="C187" s="221"/>
      <c r="D187" s="237"/>
      <c r="E187" s="107" t="s">
        <v>181</v>
      </c>
      <c r="F187" s="86">
        <f>50000-22000</f>
        <v>28000</v>
      </c>
      <c r="G187" s="108">
        <f>60000-8000</f>
        <v>52000</v>
      </c>
      <c r="H187" s="96">
        <f t="shared" si="4"/>
        <v>80000</v>
      </c>
    </row>
    <row r="188" spans="1:8" s="121" customFormat="1" ht="62.25" customHeight="1" hidden="1">
      <c r="A188" s="245"/>
      <c r="B188" s="231"/>
      <c r="C188" s="222"/>
      <c r="D188" s="237"/>
      <c r="E188" s="166" t="s">
        <v>123</v>
      </c>
      <c r="F188" s="141">
        <f>279-279</f>
        <v>0</v>
      </c>
      <c r="G188" s="79"/>
      <c r="H188" s="96">
        <f t="shared" si="4"/>
        <v>0</v>
      </c>
    </row>
    <row r="189" spans="1:8" s="121" customFormat="1" ht="54" customHeight="1">
      <c r="A189" s="225"/>
      <c r="B189" s="228" t="s">
        <v>430</v>
      </c>
      <c r="C189" s="225" t="s">
        <v>162</v>
      </c>
      <c r="D189" s="238" t="s">
        <v>431</v>
      </c>
      <c r="E189" s="166" t="s">
        <v>113</v>
      </c>
      <c r="F189" s="78">
        <f>F190+F191</f>
        <v>678151</v>
      </c>
      <c r="G189" s="78">
        <f>G190+G191</f>
        <v>2651591</v>
      </c>
      <c r="H189" s="96">
        <f t="shared" si="4"/>
        <v>3329742</v>
      </c>
    </row>
    <row r="190" spans="1:8" s="121" customFormat="1" ht="15.75">
      <c r="A190" s="221"/>
      <c r="B190" s="229"/>
      <c r="C190" s="221"/>
      <c r="D190" s="239"/>
      <c r="E190" s="164" t="s">
        <v>373</v>
      </c>
      <c r="F190" s="75">
        <f>677050-(3819)</f>
        <v>673231</v>
      </c>
      <c r="G190" s="75">
        <f>517493+272742+(1637264)+(17572)</f>
        <v>2445071</v>
      </c>
      <c r="H190" s="96">
        <f t="shared" si="4"/>
        <v>3118302</v>
      </c>
    </row>
    <row r="191" spans="1:8" s="121" customFormat="1" ht="15.75">
      <c r="A191" s="221"/>
      <c r="B191" s="229"/>
      <c r="C191" s="221"/>
      <c r="D191" s="239"/>
      <c r="E191" s="104" t="s">
        <v>372</v>
      </c>
      <c r="F191" s="75">
        <v>4920</v>
      </c>
      <c r="G191" s="79">
        <v>206520</v>
      </c>
      <c r="H191" s="96">
        <f t="shared" si="4"/>
        <v>211440</v>
      </c>
    </row>
    <row r="192" spans="1:8" s="121" customFormat="1" ht="47.25">
      <c r="A192" s="236"/>
      <c r="B192" s="235"/>
      <c r="C192" s="222"/>
      <c r="D192" s="180"/>
      <c r="E192" s="107" t="s">
        <v>181</v>
      </c>
      <c r="F192" s="92">
        <f>20000-5000</f>
        <v>15000</v>
      </c>
      <c r="G192" s="108">
        <f>40000-30000-10000</f>
        <v>0</v>
      </c>
      <c r="H192" s="96">
        <f t="shared" si="4"/>
        <v>15000</v>
      </c>
    </row>
    <row r="193" spans="1:8" s="121" customFormat="1" ht="51" customHeight="1">
      <c r="A193" s="225"/>
      <c r="B193" s="225" t="s">
        <v>428</v>
      </c>
      <c r="C193" s="225" t="s">
        <v>142</v>
      </c>
      <c r="D193" s="218" t="s">
        <v>429</v>
      </c>
      <c r="E193" s="166" t="s">
        <v>113</v>
      </c>
      <c r="F193" s="78">
        <f>307653-25000</f>
        <v>282653</v>
      </c>
      <c r="G193" s="78">
        <f>358075+(27000)-(254)+254+90709</f>
        <v>475784</v>
      </c>
      <c r="H193" s="96">
        <f t="shared" si="4"/>
        <v>758437</v>
      </c>
    </row>
    <row r="194" spans="1:8" s="121" customFormat="1" ht="70.5" customHeight="1">
      <c r="A194" s="221"/>
      <c r="B194" s="221"/>
      <c r="C194" s="221"/>
      <c r="D194" s="219"/>
      <c r="E194" s="104" t="s">
        <v>204</v>
      </c>
      <c r="F194" s="88"/>
      <c r="G194" s="88">
        <v>4000</v>
      </c>
      <c r="H194" s="88">
        <f>G194+F194</f>
        <v>4000</v>
      </c>
    </row>
    <row r="195" spans="1:8" s="133" customFormat="1" ht="52.5" customHeight="1">
      <c r="A195" s="221"/>
      <c r="B195" s="221"/>
      <c r="C195" s="221"/>
      <c r="D195" s="219"/>
      <c r="E195" s="118" t="s">
        <v>181</v>
      </c>
      <c r="F195" s="98">
        <f>20000-17000</f>
        <v>3000</v>
      </c>
      <c r="G195" s="98">
        <f>30000+10000-12000+6000</f>
        <v>34000</v>
      </c>
      <c r="H195" s="98">
        <f>G195+F195</f>
        <v>37000</v>
      </c>
    </row>
    <row r="196" spans="1:8" s="121" customFormat="1" ht="62.25" customHeight="1" hidden="1">
      <c r="A196" s="221"/>
      <c r="B196" s="221"/>
      <c r="C196" s="222"/>
      <c r="D196" s="219"/>
      <c r="E196" s="166" t="s">
        <v>123</v>
      </c>
      <c r="F196" s="140">
        <f>1116-1116</f>
        <v>0</v>
      </c>
      <c r="G196" s="79"/>
      <c r="H196" s="96">
        <f t="shared" si="4"/>
        <v>0</v>
      </c>
    </row>
    <row r="197" spans="1:9" s="121" customFormat="1" ht="47.25">
      <c r="A197" s="214"/>
      <c r="B197" s="214">
        <v>110300</v>
      </c>
      <c r="C197" s="148" t="s">
        <v>164</v>
      </c>
      <c r="D197" s="218" t="s">
        <v>262</v>
      </c>
      <c r="E197" s="166" t="s">
        <v>113</v>
      </c>
      <c r="F197" s="77">
        <f>1183980+47400+(131822)</f>
        <v>1363202</v>
      </c>
      <c r="G197" s="79"/>
      <c r="H197" s="96">
        <f t="shared" si="4"/>
        <v>1363202</v>
      </c>
      <c r="I197" s="131"/>
    </row>
    <row r="198" spans="1:8" s="121" customFormat="1" ht="63" customHeight="1" hidden="1">
      <c r="A198" s="215"/>
      <c r="B198" s="215"/>
      <c r="C198" s="169"/>
      <c r="D198" s="220"/>
      <c r="E198" s="166" t="s">
        <v>239</v>
      </c>
      <c r="F198" s="77"/>
      <c r="G198" s="79"/>
      <c r="H198" s="96">
        <f t="shared" si="4"/>
        <v>0</v>
      </c>
    </row>
    <row r="199" spans="1:8" s="121" customFormat="1" ht="42" customHeight="1">
      <c r="A199" s="197"/>
      <c r="B199" s="198">
        <v>110502</v>
      </c>
      <c r="C199" s="225" t="s">
        <v>163</v>
      </c>
      <c r="D199" s="237" t="s">
        <v>250</v>
      </c>
      <c r="E199" s="166" t="s">
        <v>131</v>
      </c>
      <c r="F199" s="81">
        <v>1091217</v>
      </c>
      <c r="G199" s="110"/>
      <c r="H199" s="96">
        <f t="shared" si="4"/>
        <v>1091217</v>
      </c>
    </row>
    <row r="200" spans="1:8" s="121" customFormat="1" ht="66" customHeight="1">
      <c r="A200" s="197"/>
      <c r="B200" s="198"/>
      <c r="C200" s="221"/>
      <c r="D200" s="237"/>
      <c r="E200" s="104" t="s">
        <v>133</v>
      </c>
      <c r="F200" s="81">
        <v>6834</v>
      </c>
      <c r="G200" s="110"/>
      <c r="H200" s="96">
        <f t="shared" si="4"/>
        <v>6834</v>
      </c>
    </row>
    <row r="201" spans="1:8" s="121" customFormat="1" ht="51" customHeight="1">
      <c r="A201" s="197"/>
      <c r="B201" s="198"/>
      <c r="C201" s="221"/>
      <c r="D201" s="237"/>
      <c r="E201" s="166" t="s">
        <v>113</v>
      </c>
      <c r="F201" s="81">
        <f>F202+F203</f>
        <v>454484</v>
      </c>
      <c r="G201" s="81">
        <f>G202+G203</f>
        <v>50746</v>
      </c>
      <c r="H201" s="96">
        <f t="shared" si="4"/>
        <v>505230</v>
      </c>
    </row>
    <row r="202" spans="1:8" s="121" customFormat="1" ht="20.25" customHeight="1">
      <c r="A202" s="197"/>
      <c r="B202" s="198"/>
      <c r="C202" s="221"/>
      <c r="D202" s="237"/>
      <c r="E202" s="164" t="s">
        <v>373</v>
      </c>
      <c r="F202" s="81">
        <f>223440+97000</f>
        <v>320440</v>
      </c>
      <c r="G202" s="96">
        <f>51000-254</f>
        <v>50746</v>
      </c>
      <c r="H202" s="96">
        <f t="shared" si="4"/>
        <v>371186</v>
      </c>
    </row>
    <row r="203" spans="1:8" s="121" customFormat="1" ht="27.75" customHeight="1">
      <c r="A203" s="197"/>
      <c r="B203" s="198"/>
      <c r="C203" s="222"/>
      <c r="D203" s="237"/>
      <c r="E203" s="104" t="s">
        <v>372</v>
      </c>
      <c r="F203" s="81">
        <v>134044</v>
      </c>
      <c r="G203" s="96"/>
      <c r="H203" s="96">
        <f t="shared" si="4"/>
        <v>134044</v>
      </c>
    </row>
    <row r="204" spans="1:8" s="121" customFormat="1" ht="55.5" customHeight="1" hidden="1">
      <c r="A204" s="197"/>
      <c r="B204" s="198"/>
      <c r="C204" s="153"/>
      <c r="D204" s="237"/>
      <c r="E204" s="166" t="s">
        <v>384</v>
      </c>
      <c r="F204" s="81"/>
      <c r="G204" s="110"/>
      <c r="H204" s="96">
        <f t="shared" si="4"/>
        <v>0</v>
      </c>
    </row>
    <row r="205" spans="1:8" s="121" customFormat="1" ht="68.25" customHeight="1" hidden="1">
      <c r="A205" s="197"/>
      <c r="B205" s="198"/>
      <c r="C205" s="153"/>
      <c r="D205" s="237"/>
      <c r="E205" s="166" t="s">
        <v>382</v>
      </c>
      <c r="F205" s="81"/>
      <c r="G205" s="110"/>
      <c r="H205" s="96">
        <f t="shared" si="4"/>
        <v>0</v>
      </c>
    </row>
    <row r="206" spans="1:8" s="121" customFormat="1" ht="47.25">
      <c r="A206" s="150"/>
      <c r="B206" s="150" t="s">
        <v>316</v>
      </c>
      <c r="C206" s="150" t="s">
        <v>138</v>
      </c>
      <c r="D206" s="166" t="s">
        <v>317</v>
      </c>
      <c r="E206" s="166" t="s">
        <v>113</v>
      </c>
      <c r="F206" s="80"/>
      <c r="G206" s="75">
        <f>157847+14672</f>
        <v>172519</v>
      </c>
      <c r="H206" s="96">
        <f t="shared" si="4"/>
        <v>172519</v>
      </c>
    </row>
    <row r="207" spans="1:8" s="121" customFormat="1" ht="66.75" customHeight="1">
      <c r="A207" s="150"/>
      <c r="B207" s="150" t="s">
        <v>303</v>
      </c>
      <c r="C207" s="150" t="s">
        <v>139</v>
      </c>
      <c r="D207" s="166" t="s">
        <v>485</v>
      </c>
      <c r="E207" s="166" t="s">
        <v>196</v>
      </c>
      <c r="F207" s="80"/>
      <c r="G207" s="75">
        <v>104730</v>
      </c>
      <c r="H207" s="96">
        <f>G207+F207</f>
        <v>104730</v>
      </c>
    </row>
    <row r="208" spans="1:8" s="121" customFormat="1" ht="54" customHeight="1">
      <c r="A208" s="105"/>
      <c r="B208" s="105" t="s">
        <v>408</v>
      </c>
      <c r="C208" s="105"/>
      <c r="D208" s="106" t="s">
        <v>434</v>
      </c>
      <c r="E208" s="166"/>
      <c r="F208" s="82">
        <f>F209+F210+F214+F215+F216+F213</f>
        <v>828464</v>
      </c>
      <c r="G208" s="82">
        <f>G209+G210+G214+G215+G216+G213</f>
        <v>6692253</v>
      </c>
      <c r="H208" s="82">
        <f>H209+H210+H214+H215+H216+H213</f>
        <v>7520717</v>
      </c>
    </row>
    <row r="209" spans="1:8" s="121" customFormat="1" ht="51.75" customHeight="1">
      <c r="A209" s="148"/>
      <c r="B209" s="148" t="s">
        <v>426</v>
      </c>
      <c r="C209" s="148" t="s">
        <v>136</v>
      </c>
      <c r="D209" s="160" t="s">
        <v>427</v>
      </c>
      <c r="E209" s="163" t="s">
        <v>182</v>
      </c>
      <c r="F209" s="78"/>
      <c r="G209" s="75">
        <f>33675</f>
        <v>33675</v>
      </c>
      <c r="H209" s="75">
        <f aca="true" t="shared" si="5" ref="H209:H220">F209+G209</f>
        <v>33675</v>
      </c>
    </row>
    <row r="210" spans="1:8" s="121" customFormat="1" ht="47.25">
      <c r="A210" s="148"/>
      <c r="B210" s="232" t="s">
        <v>316</v>
      </c>
      <c r="C210" s="228" t="s">
        <v>138</v>
      </c>
      <c r="D210" s="218" t="s">
        <v>317</v>
      </c>
      <c r="E210" s="163" t="s">
        <v>358</v>
      </c>
      <c r="F210" s="80"/>
      <c r="G210" s="75">
        <f>G211+G212</f>
        <v>303099</v>
      </c>
      <c r="H210" s="75">
        <f t="shared" si="5"/>
        <v>303099</v>
      </c>
    </row>
    <row r="211" spans="1:8" s="121" customFormat="1" ht="15.75">
      <c r="A211" s="149"/>
      <c r="B211" s="233"/>
      <c r="C211" s="229"/>
      <c r="D211" s="219"/>
      <c r="E211" s="164" t="s">
        <v>373</v>
      </c>
      <c r="F211" s="80"/>
      <c r="G211" s="91">
        <f>50000-2146</f>
        <v>47854</v>
      </c>
      <c r="H211" s="75">
        <f t="shared" si="5"/>
        <v>47854</v>
      </c>
    </row>
    <row r="212" spans="1:8" s="121" customFormat="1" ht="15.75">
      <c r="A212" s="149"/>
      <c r="B212" s="233"/>
      <c r="C212" s="229"/>
      <c r="D212" s="219"/>
      <c r="E212" s="76" t="s">
        <v>372</v>
      </c>
      <c r="F212" s="80"/>
      <c r="G212" s="91">
        <v>255245</v>
      </c>
      <c r="H212" s="75">
        <f t="shared" si="5"/>
        <v>255245</v>
      </c>
    </row>
    <row r="213" spans="1:8" s="121" customFormat="1" ht="47.25">
      <c r="A213" s="151"/>
      <c r="B213" s="234"/>
      <c r="C213" s="230"/>
      <c r="D213" s="220"/>
      <c r="E213" s="163" t="s">
        <v>185</v>
      </c>
      <c r="F213" s="80"/>
      <c r="G213" s="91">
        <f>956307+(13828958)-6928958-1500828</f>
        <v>6355479</v>
      </c>
      <c r="H213" s="75">
        <f>G213+F213</f>
        <v>6355479</v>
      </c>
    </row>
    <row r="214" spans="1:9" s="121" customFormat="1" ht="66" customHeight="1">
      <c r="A214" s="158"/>
      <c r="B214" s="151" t="s">
        <v>309</v>
      </c>
      <c r="C214" s="119" t="s">
        <v>139</v>
      </c>
      <c r="D214" s="161" t="s">
        <v>324</v>
      </c>
      <c r="E214" s="95" t="s">
        <v>184</v>
      </c>
      <c r="F214" s="78">
        <f>566548+70916</f>
        <v>637464</v>
      </c>
      <c r="G214" s="91"/>
      <c r="H214" s="75">
        <f t="shared" si="5"/>
        <v>637464</v>
      </c>
      <c r="I214" s="131"/>
    </row>
    <row r="215" spans="1:9" s="121" customFormat="1" ht="60.75" customHeight="1">
      <c r="A215" s="157"/>
      <c r="B215" s="229" t="s">
        <v>334</v>
      </c>
      <c r="C215" s="225" t="s">
        <v>146</v>
      </c>
      <c r="D215" s="218" t="s">
        <v>482</v>
      </c>
      <c r="E215" s="163" t="s">
        <v>186</v>
      </c>
      <c r="F215" s="78">
        <f>134000+(474000)-280000-153000</f>
        <v>175000</v>
      </c>
      <c r="G215" s="78"/>
      <c r="H215" s="75">
        <f t="shared" si="5"/>
        <v>175000</v>
      </c>
      <c r="I215" s="131"/>
    </row>
    <row r="216" spans="1:9" s="121" customFormat="1" ht="77.25" customHeight="1">
      <c r="A216" s="159"/>
      <c r="B216" s="230"/>
      <c r="C216" s="222"/>
      <c r="D216" s="220"/>
      <c r="E216" s="163" t="s">
        <v>121</v>
      </c>
      <c r="F216" s="78">
        <v>16000</v>
      </c>
      <c r="G216" s="91"/>
      <c r="H216" s="75">
        <f t="shared" si="5"/>
        <v>16000</v>
      </c>
      <c r="I216" s="131"/>
    </row>
    <row r="217" spans="1:8" s="121" customFormat="1" ht="45.75" customHeight="1">
      <c r="A217" s="115"/>
      <c r="B217" s="115" t="s">
        <v>406</v>
      </c>
      <c r="C217" s="116"/>
      <c r="D217" s="117" t="s">
        <v>489</v>
      </c>
      <c r="E217" s="166"/>
      <c r="F217" s="82">
        <f>F218+F219+F220+F221+F224+F225+F228+F229+F231+F234+F237+F238+F239+F242+F243+F244+F245+F246+F249+F254+F259+F262+F264+F258+F253+F257+F263</f>
        <v>344472763</v>
      </c>
      <c r="G217" s="82">
        <f>G218+G219+G220+G221+G224+G225+G228+G229+G231+G234+G237+G238+G239+G242+G243+G244+G245+G246+G249+G254+G259+G262+G264+G258+G253+G257+G263</f>
        <v>403294497</v>
      </c>
      <c r="H217" s="82">
        <f>H218+H219+H220+H221+H224+H225+H228+H229+H231+H234+H237+H238+H239+H242+H243+H244+H245+H246+H249+H254+H259+H262+H264+H258+H253+H257+H263</f>
        <v>747767260</v>
      </c>
    </row>
    <row r="218" spans="1:8" s="145" customFormat="1" ht="49.5" customHeight="1">
      <c r="A218" s="245"/>
      <c r="B218" s="231" t="s">
        <v>426</v>
      </c>
      <c r="C218" s="150" t="s">
        <v>136</v>
      </c>
      <c r="D218" s="237" t="s">
        <v>427</v>
      </c>
      <c r="E218" s="163" t="s">
        <v>182</v>
      </c>
      <c r="F218" s="82"/>
      <c r="G218" s="75">
        <v>117094</v>
      </c>
      <c r="H218" s="75">
        <f t="shared" si="5"/>
        <v>117094</v>
      </c>
    </row>
    <row r="219" spans="1:8" s="121" customFormat="1" ht="61.5" customHeight="1" hidden="1">
      <c r="A219" s="225"/>
      <c r="B219" s="228"/>
      <c r="C219" s="150" t="s">
        <v>136</v>
      </c>
      <c r="D219" s="238"/>
      <c r="E219" s="166" t="s">
        <v>123</v>
      </c>
      <c r="F219" s="140">
        <f>239-239</f>
        <v>0</v>
      </c>
      <c r="G219" s="75"/>
      <c r="H219" s="75">
        <f t="shared" si="5"/>
        <v>0</v>
      </c>
    </row>
    <row r="220" spans="1:9" s="121" customFormat="1" ht="47.25">
      <c r="A220" s="148"/>
      <c r="B220" s="148" t="s">
        <v>318</v>
      </c>
      <c r="C220" s="149" t="s">
        <v>158</v>
      </c>
      <c r="D220" s="148" t="s">
        <v>325</v>
      </c>
      <c r="E220" s="163" t="s">
        <v>189</v>
      </c>
      <c r="F220" s="78">
        <v>221900</v>
      </c>
      <c r="G220" s="91"/>
      <c r="H220" s="75">
        <f t="shared" si="5"/>
        <v>221900</v>
      </c>
      <c r="I220" s="131"/>
    </row>
    <row r="221" spans="1:9" s="121" customFormat="1" ht="47.25">
      <c r="A221" s="148"/>
      <c r="B221" s="232" t="s">
        <v>480</v>
      </c>
      <c r="C221" s="225" t="s">
        <v>165</v>
      </c>
      <c r="D221" s="218" t="s">
        <v>481</v>
      </c>
      <c r="E221" s="163" t="s">
        <v>189</v>
      </c>
      <c r="F221" s="78">
        <f>F222+F223</f>
        <v>33073282</v>
      </c>
      <c r="G221" s="91"/>
      <c r="H221" s="75">
        <f aca="true" t="shared" si="6" ref="H221:H252">F221+G221</f>
        <v>33073282</v>
      </c>
      <c r="I221" s="131"/>
    </row>
    <row r="222" spans="1:9" s="121" customFormat="1" ht="15.75">
      <c r="A222" s="149"/>
      <c r="B222" s="233"/>
      <c r="C222" s="221"/>
      <c r="D222" s="219"/>
      <c r="E222" s="164" t="s">
        <v>373</v>
      </c>
      <c r="F222" s="78">
        <f>14460440+20000000+(52000)+(1441600)-3300000+300000</f>
        <v>32954040</v>
      </c>
      <c r="G222" s="91"/>
      <c r="H222" s="75">
        <f t="shared" si="6"/>
        <v>32954040</v>
      </c>
      <c r="I222" s="131"/>
    </row>
    <row r="223" spans="1:9" s="121" customFormat="1" ht="15.75">
      <c r="A223" s="149"/>
      <c r="B223" s="233"/>
      <c r="C223" s="221"/>
      <c r="D223" s="219"/>
      <c r="E223" s="76" t="s">
        <v>372</v>
      </c>
      <c r="F223" s="78">
        <v>119242</v>
      </c>
      <c r="G223" s="91"/>
      <c r="H223" s="75">
        <f>F223+G223</f>
        <v>119242</v>
      </c>
      <c r="I223" s="131"/>
    </row>
    <row r="224" spans="1:9" s="121" customFormat="1" ht="47.25">
      <c r="A224" s="151"/>
      <c r="B224" s="234"/>
      <c r="C224" s="222"/>
      <c r="D224" s="220"/>
      <c r="E224" s="107" t="s">
        <v>181</v>
      </c>
      <c r="F224" s="85">
        <f>400000-30000-50000</f>
        <v>320000</v>
      </c>
      <c r="G224" s="91"/>
      <c r="H224" s="75">
        <f>F224+G224</f>
        <v>320000</v>
      </c>
      <c r="I224" s="131"/>
    </row>
    <row r="225" spans="1:8" s="121" customFormat="1" ht="47.25">
      <c r="A225" s="221"/>
      <c r="B225" s="221" t="s">
        <v>346</v>
      </c>
      <c r="C225" s="225" t="s">
        <v>165</v>
      </c>
      <c r="D225" s="219" t="s">
        <v>347</v>
      </c>
      <c r="E225" s="163" t="s">
        <v>189</v>
      </c>
      <c r="F225" s="78"/>
      <c r="G225" s="75">
        <f>G226+G227</f>
        <v>229712019</v>
      </c>
      <c r="H225" s="75">
        <f t="shared" si="6"/>
        <v>229712019</v>
      </c>
    </row>
    <row r="226" spans="1:8" s="121" customFormat="1" ht="15.75">
      <c r="A226" s="221"/>
      <c r="B226" s="221"/>
      <c r="C226" s="221"/>
      <c r="D226" s="219"/>
      <c r="E226" s="164" t="s">
        <v>373</v>
      </c>
      <c r="F226" s="78"/>
      <c r="G226" s="91">
        <f>240710073-24792831-2500000-766407-1000000+(193643)-480415-9500000+480415+1133329-128539-905790-851360+34110434-3994981-15000000-194000-6500</f>
        <v>216507071</v>
      </c>
      <c r="H226" s="75">
        <f t="shared" si="6"/>
        <v>216507071</v>
      </c>
    </row>
    <row r="227" spans="1:8" s="121" customFormat="1" ht="15.75">
      <c r="A227" s="221"/>
      <c r="B227" s="221"/>
      <c r="C227" s="221"/>
      <c r="D227" s="219"/>
      <c r="E227" s="104" t="s">
        <v>372</v>
      </c>
      <c r="F227" s="78"/>
      <c r="G227" s="91">
        <f>13161378+43570</f>
        <v>13204948</v>
      </c>
      <c r="H227" s="75">
        <f t="shared" si="6"/>
        <v>13204948</v>
      </c>
    </row>
    <row r="228" spans="1:8" s="121" customFormat="1" ht="47.25">
      <c r="A228" s="221"/>
      <c r="B228" s="221"/>
      <c r="C228" s="221"/>
      <c r="D228" s="219"/>
      <c r="E228" s="107" t="s">
        <v>181</v>
      </c>
      <c r="F228" s="78"/>
      <c r="G228" s="99">
        <f>395000-20000-20000-85000-141800-1880-106320+10000</f>
        <v>30000</v>
      </c>
      <c r="H228" s="75">
        <f>F228+G228</f>
        <v>30000</v>
      </c>
    </row>
    <row r="229" spans="1:8" s="121" customFormat="1" ht="63">
      <c r="A229" s="221"/>
      <c r="B229" s="221"/>
      <c r="C229" s="222"/>
      <c r="D229" s="219"/>
      <c r="E229" s="104" t="s">
        <v>204</v>
      </c>
      <c r="F229" s="88"/>
      <c r="G229" s="88">
        <v>115390</v>
      </c>
      <c r="H229" s="88">
        <f>G229+F229</f>
        <v>115390</v>
      </c>
    </row>
    <row r="230" spans="1:9" s="121" customFormat="1" ht="47.25" customHeight="1" hidden="1">
      <c r="A230" s="148"/>
      <c r="B230" s="148" t="s">
        <v>74</v>
      </c>
      <c r="C230" s="148"/>
      <c r="D230" s="160" t="s">
        <v>245</v>
      </c>
      <c r="E230" s="166" t="s">
        <v>579</v>
      </c>
      <c r="F230" s="78">
        <f>449300-449300</f>
        <v>0</v>
      </c>
      <c r="G230" s="89"/>
      <c r="H230" s="75">
        <f t="shared" si="6"/>
        <v>0</v>
      </c>
      <c r="I230" s="131"/>
    </row>
    <row r="231" spans="1:8" s="121" customFormat="1" ht="51.75" customHeight="1">
      <c r="A231" s="148"/>
      <c r="B231" s="232" t="s">
        <v>524</v>
      </c>
      <c r="C231" s="225" t="s">
        <v>165</v>
      </c>
      <c r="D231" s="218" t="s">
        <v>525</v>
      </c>
      <c r="E231" s="163" t="s">
        <v>189</v>
      </c>
      <c r="F231" s="78"/>
      <c r="G231" s="75">
        <f>G232+G233</f>
        <v>3057449</v>
      </c>
      <c r="H231" s="75">
        <f t="shared" si="6"/>
        <v>3057449</v>
      </c>
    </row>
    <row r="232" spans="1:8" s="121" customFormat="1" ht="21.75" customHeight="1">
      <c r="A232" s="149"/>
      <c r="B232" s="233"/>
      <c r="C232" s="221"/>
      <c r="D232" s="219"/>
      <c r="E232" s="164" t="s">
        <v>373</v>
      </c>
      <c r="F232" s="78"/>
      <c r="G232" s="75">
        <f>1907169-7169+851360+194000+6500</f>
        <v>2951860</v>
      </c>
      <c r="H232" s="75">
        <f t="shared" si="6"/>
        <v>2951860</v>
      </c>
    </row>
    <row r="233" spans="1:8" s="121" customFormat="1" ht="22.5" customHeight="1">
      <c r="A233" s="151"/>
      <c r="B233" s="234"/>
      <c r="C233" s="222"/>
      <c r="D233" s="220"/>
      <c r="E233" s="76" t="s">
        <v>372</v>
      </c>
      <c r="F233" s="78"/>
      <c r="G233" s="75">
        <v>105589</v>
      </c>
      <c r="H233" s="75">
        <f t="shared" si="6"/>
        <v>105589</v>
      </c>
    </row>
    <row r="234" spans="1:9" s="121" customFormat="1" ht="51" customHeight="1">
      <c r="A234" s="225"/>
      <c r="B234" s="225" t="s">
        <v>326</v>
      </c>
      <c r="C234" s="225" t="s">
        <v>166</v>
      </c>
      <c r="D234" s="220" t="s">
        <v>348</v>
      </c>
      <c r="E234" s="163" t="s">
        <v>189</v>
      </c>
      <c r="F234" s="78">
        <f>F235+F236</f>
        <v>64991753</v>
      </c>
      <c r="G234" s="78">
        <f>G235+G236</f>
        <v>3630190</v>
      </c>
      <c r="H234" s="75">
        <f t="shared" si="6"/>
        <v>68621943</v>
      </c>
      <c r="I234" s="131"/>
    </row>
    <row r="235" spans="1:9" s="121" customFormat="1" ht="25.5" customHeight="1">
      <c r="A235" s="221"/>
      <c r="B235" s="221"/>
      <c r="C235" s="221"/>
      <c r="D235" s="244"/>
      <c r="E235" s="164" t="s">
        <v>373</v>
      </c>
      <c r="F235" s="78">
        <f>58751520-23894+119000+(3842689)+167410-167410+2517023+128539-1+8000000-17022-8000000-128539+128539-555919</f>
        <v>64761935</v>
      </c>
      <c r="G235" s="75">
        <f>1600000+119500+167410+1014539-108749-905790+905790+519085</f>
        <v>3311785</v>
      </c>
      <c r="H235" s="75">
        <f t="shared" si="6"/>
        <v>68073720</v>
      </c>
      <c r="I235" s="131"/>
    </row>
    <row r="236" spans="1:9" s="121" customFormat="1" ht="21.75" customHeight="1">
      <c r="A236" s="221"/>
      <c r="B236" s="221"/>
      <c r="C236" s="221"/>
      <c r="D236" s="244"/>
      <c r="E236" s="104" t="s">
        <v>372</v>
      </c>
      <c r="F236" s="78">
        <v>229818</v>
      </c>
      <c r="G236" s="75">
        <v>318405</v>
      </c>
      <c r="H236" s="75">
        <f t="shared" si="6"/>
        <v>548223</v>
      </c>
      <c r="I236" s="131"/>
    </row>
    <row r="237" spans="1:9" s="121" customFormat="1" ht="48.75" customHeight="1">
      <c r="A237" s="221"/>
      <c r="B237" s="221"/>
      <c r="C237" s="221"/>
      <c r="D237" s="244"/>
      <c r="E237" s="107" t="s">
        <v>181</v>
      </c>
      <c r="F237" s="85">
        <f>50000+5000</f>
        <v>55000</v>
      </c>
      <c r="G237" s="108">
        <v>23000</v>
      </c>
      <c r="H237" s="108">
        <f>F237+G237</f>
        <v>78000</v>
      </c>
      <c r="I237" s="131"/>
    </row>
    <row r="238" spans="1:9" s="121" customFormat="1" ht="70.5" customHeight="1">
      <c r="A238" s="222"/>
      <c r="B238" s="222"/>
      <c r="C238" s="222"/>
      <c r="D238" s="244"/>
      <c r="E238" s="104" t="s">
        <v>205</v>
      </c>
      <c r="F238" s="88"/>
      <c r="G238" s="88">
        <v>22560</v>
      </c>
      <c r="H238" s="88">
        <f>G238+F238</f>
        <v>22560</v>
      </c>
      <c r="I238" s="131"/>
    </row>
    <row r="239" spans="1:8" s="121" customFormat="1" ht="51" customHeight="1">
      <c r="A239" s="245"/>
      <c r="B239" s="245" t="s">
        <v>316</v>
      </c>
      <c r="C239" s="225" t="s">
        <v>138</v>
      </c>
      <c r="D239" s="244" t="s">
        <v>317</v>
      </c>
      <c r="E239" s="163" t="s">
        <v>189</v>
      </c>
      <c r="F239" s="80"/>
      <c r="G239" s="96">
        <f>G240+G241</f>
        <v>63747285</v>
      </c>
      <c r="H239" s="75">
        <f t="shared" si="6"/>
        <v>63747285</v>
      </c>
    </row>
    <row r="240" spans="1:8" s="121" customFormat="1" ht="21" customHeight="1">
      <c r="A240" s="245"/>
      <c r="B240" s="245"/>
      <c r="C240" s="221"/>
      <c r="D240" s="244"/>
      <c r="E240" s="164" t="s">
        <v>373</v>
      </c>
      <c r="F240" s="80"/>
      <c r="G240" s="96">
        <f>79615940+16324670-14498164+1000000-469945+(6198785)-13828565+1628085+2585253-8784348+3396924+200515-7852995+1151123-34478+940423+374435+102071-(2447597)-26343+146083+1199572+1429258-8846721+91000+2237633+180000+320000+76710-2237633+471473+1086+195000-827550</f>
        <v>60011700</v>
      </c>
      <c r="H240" s="75">
        <f t="shared" si="6"/>
        <v>60011700</v>
      </c>
    </row>
    <row r="241" spans="1:8" s="121" customFormat="1" ht="19.5" customHeight="1">
      <c r="A241" s="245"/>
      <c r="B241" s="245"/>
      <c r="C241" s="221"/>
      <c r="D241" s="244"/>
      <c r="E241" s="104" t="s">
        <v>372</v>
      </c>
      <c r="F241" s="80"/>
      <c r="G241" s="96">
        <f>4326938-591353</f>
        <v>3735585</v>
      </c>
      <c r="H241" s="75">
        <f t="shared" si="6"/>
        <v>3735585</v>
      </c>
    </row>
    <row r="242" spans="1:8" s="121" customFormat="1" ht="51" customHeight="1" hidden="1">
      <c r="A242" s="245"/>
      <c r="B242" s="245"/>
      <c r="C242" s="149"/>
      <c r="D242" s="244"/>
      <c r="E242" s="166" t="s">
        <v>357</v>
      </c>
      <c r="F242" s="80"/>
      <c r="G242" s="96"/>
      <c r="H242" s="75">
        <f t="shared" si="6"/>
        <v>0</v>
      </c>
    </row>
    <row r="243" spans="1:8" s="121" customFormat="1" ht="31.5" customHeight="1" hidden="1">
      <c r="A243" s="245"/>
      <c r="B243" s="245"/>
      <c r="C243" s="151"/>
      <c r="D243" s="244"/>
      <c r="E243" s="107" t="s">
        <v>125</v>
      </c>
      <c r="F243" s="80"/>
      <c r="G243" s="94"/>
      <c r="H243" s="108">
        <f t="shared" si="6"/>
        <v>0</v>
      </c>
    </row>
    <row r="244" spans="1:8" s="121" customFormat="1" ht="54.75" customHeight="1">
      <c r="A244" s="225"/>
      <c r="B244" s="225" t="s">
        <v>271</v>
      </c>
      <c r="C244" s="148" t="s">
        <v>149</v>
      </c>
      <c r="D244" s="218" t="s">
        <v>465</v>
      </c>
      <c r="E244" s="163" t="s">
        <v>189</v>
      </c>
      <c r="F244" s="80"/>
      <c r="G244" s="75">
        <f>3870326-3870326</f>
        <v>0</v>
      </c>
      <c r="H244" s="75">
        <f t="shared" si="6"/>
        <v>0</v>
      </c>
    </row>
    <row r="245" spans="1:8" s="121" customFormat="1" ht="84" customHeight="1" hidden="1">
      <c r="A245" s="221"/>
      <c r="B245" s="221"/>
      <c r="C245" s="149"/>
      <c r="D245" s="219"/>
      <c r="E245" s="166" t="s">
        <v>531</v>
      </c>
      <c r="F245" s="80"/>
      <c r="G245" s="75"/>
      <c r="H245" s="75">
        <f t="shared" si="6"/>
        <v>0</v>
      </c>
    </row>
    <row r="246" spans="1:9" s="121" customFormat="1" ht="57.75" customHeight="1">
      <c r="A246" s="148"/>
      <c r="B246" s="232" t="s">
        <v>328</v>
      </c>
      <c r="C246" s="225" t="s">
        <v>167</v>
      </c>
      <c r="D246" s="238" t="s">
        <v>329</v>
      </c>
      <c r="E246" s="163" t="s">
        <v>189</v>
      </c>
      <c r="F246" s="80">
        <f>F247+F248</f>
        <v>96475694</v>
      </c>
      <c r="G246" s="80">
        <f>G247+G248</f>
        <v>36301030</v>
      </c>
      <c r="H246" s="75">
        <f t="shared" si="6"/>
        <v>132776724</v>
      </c>
      <c r="I246" s="131"/>
    </row>
    <row r="247" spans="1:8" s="121" customFormat="1" ht="22.5" customHeight="1">
      <c r="A247" s="149"/>
      <c r="B247" s="233"/>
      <c r="C247" s="221"/>
      <c r="D247" s="239"/>
      <c r="E247" s="164" t="s">
        <v>373</v>
      </c>
      <c r="F247" s="93">
        <f>66522812+(9527322)+15000000+1000000+8000000+4000000-8000000</f>
        <v>96050134</v>
      </c>
      <c r="G247" s="120">
        <f>11993980+14498164-1000000+469945+(372678)+13828565-8145240+4914208-145004-4500-4948938+(1004245)+26343+2054002+326400-2432201+2237633</f>
        <v>35050280</v>
      </c>
      <c r="H247" s="75">
        <f t="shared" si="6"/>
        <v>131100414</v>
      </c>
    </row>
    <row r="248" spans="1:8" s="121" customFormat="1" ht="20.25" customHeight="1">
      <c r="A248" s="149"/>
      <c r="B248" s="233"/>
      <c r="C248" s="221"/>
      <c r="D248" s="239"/>
      <c r="E248" s="76" t="s">
        <v>372</v>
      </c>
      <c r="F248" s="93">
        <v>425560</v>
      </c>
      <c r="G248" s="120">
        <f>659397+591353</f>
        <v>1250750</v>
      </c>
      <c r="H248" s="75">
        <f t="shared" si="6"/>
        <v>1676310</v>
      </c>
    </row>
    <row r="249" spans="1:8" s="121" customFormat="1" ht="53.25" customHeight="1">
      <c r="A249" s="218"/>
      <c r="B249" s="241">
        <v>180409</v>
      </c>
      <c r="C249" s="225" t="s">
        <v>138</v>
      </c>
      <c r="D249" s="238" t="s">
        <v>488</v>
      </c>
      <c r="E249" s="238" t="s">
        <v>189</v>
      </c>
      <c r="F249" s="212"/>
      <c r="G249" s="210">
        <f>G251+G252</f>
        <v>60534589</v>
      </c>
      <c r="H249" s="210">
        <f t="shared" si="6"/>
        <v>60534589</v>
      </c>
    </row>
    <row r="250" spans="1:8" s="121" customFormat="1" ht="15.75">
      <c r="A250" s="219"/>
      <c r="B250" s="242"/>
      <c r="C250" s="221"/>
      <c r="D250" s="239"/>
      <c r="E250" s="240"/>
      <c r="F250" s="213"/>
      <c r="G250" s="211"/>
      <c r="H250" s="211"/>
    </row>
    <row r="251" spans="1:8" s="121" customFormat="1" ht="15.75">
      <c r="A251" s="161"/>
      <c r="B251" s="242"/>
      <c r="C251" s="221"/>
      <c r="D251" s="165"/>
      <c r="E251" s="164" t="s">
        <v>373</v>
      </c>
      <c r="F251" s="172"/>
      <c r="G251" s="171">
        <f>29056456+(22876078)-22876078+22876078+189930+1070530+3119812-189930+119994+(4139113)-1394</f>
        <v>60380589</v>
      </c>
      <c r="H251" s="75">
        <f t="shared" si="6"/>
        <v>60380589</v>
      </c>
    </row>
    <row r="252" spans="1:8" s="121" customFormat="1" ht="15.75">
      <c r="A252" s="161"/>
      <c r="B252" s="242"/>
      <c r="C252" s="221"/>
      <c r="D252" s="165"/>
      <c r="E252" s="76" t="s">
        <v>372</v>
      </c>
      <c r="F252" s="172"/>
      <c r="G252" s="171">
        <v>154000</v>
      </c>
      <c r="H252" s="75">
        <f t="shared" si="6"/>
        <v>154000</v>
      </c>
    </row>
    <row r="253" spans="1:8" s="121" customFormat="1" ht="54" customHeight="1">
      <c r="A253" s="161"/>
      <c r="B253" s="173"/>
      <c r="C253" s="149"/>
      <c r="D253" s="165"/>
      <c r="E253" s="107" t="s">
        <v>181</v>
      </c>
      <c r="F253" s="85"/>
      <c r="G253" s="108">
        <v>16229</v>
      </c>
      <c r="H253" s="108">
        <f>F253+G253</f>
        <v>16229</v>
      </c>
    </row>
    <row r="254" spans="1:8" s="121" customFormat="1" ht="47.25">
      <c r="A254" s="148"/>
      <c r="B254" s="218">
        <v>200700</v>
      </c>
      <c r="C254" s="225" t="s">
        <v>147</v>
      </c>
      <c r="D254" s="238" t="s">
        <v>386</v>
      </c>
      <c r="E254" s="163" t="s">
        <v>188</v>
      </c>
      <c r="F254" s="80"/>
      <c r="G254" s="80">
        <f>G255+G256</f>
        <v>3823526</v>
      </c>
      <c r="H254" s="75">
        <f aca="true" t="shared" si="7" ref="H254:H277">F254+G254</f>
        <v>3823526</v>
      </c>
    </row>
    <row r="255" spans="1:8" s="121" customFormat="1" ht="15.75">
      <c r="A255" s="149"/>
      <c r="B255" s="208"/>
      <c r="C255" s="208"/>
      <c r="D255" s="239"/>
      <c r="E255" s="164" t="s">
        <v>373</v>
      </c>
      <c r="F255" s="80"/>
      <c r="G255" s="80">
        <f>312282+1323526-331813+331813</f>
        <v>1635808</v>
      </c>
      <c r="H255" s="75">
        <f t="shared" si="7"/>
        <v>1635808</v>
      </c>
    </row>
    <row r="256" spans="1:8" s="121" customFormat="1" ht="15.75">
      <c r="A256" s="151"/>
      <c r="B256" s="209"/>
      <c r="C256" s="209"/>
      <c r="D256" s="240"/>
      <c r="E256" s="76" t="s">
        <v>372</v>
      </c>
      <c r="F256" s="80"/>
      <c r="G256" s="80">
        <v>2187718</v>
      </c>
      <c r="H256" s="75">
        <f t="shared" si="7"/>
        <v>2187718</v>
      </c>
    </row>
    <row r="257" spans="1:8" s="145" customFormat="1" ht="60" customHeight="1">
      <c r="A257" s="151"/>
      <c r="B257" s="166">
        <v>210105</v>
      </c>
      <c r="C257" s="150" t="s">
        <v>171</v>
      </c>
      <c r="D257" s="167" t="s">
        <v>321</v>
      </c>
      <c r="E257" s="163" t="s">
        <v>189</v>
      </c>
      <c r="F257" s="80">
        <f>3275000</f>
        <v>3275000</v>
      </c>
      <c r="G257" s="80"/>
      <c r="H257" s="75">
        <f t="shared" si="7"/>
        <v>3275000</v>
      </c>
    </row>
    <row r="258" spans="1:8" s="121" customFormat="1" ht="52.5" customHeight="1">
      <c r="A258" s="150"/>
      <c r="B258" s="166">
        <v>240601</v>
      </c>
      <c r="C258" s="150" t="s">
        <v>148</v>
      </c>
      <c r="D258" s="166" t="s">
        <v>338</v>
      </c>
      <c r="E258" s="163" t="s">
        <v>188</v>
      </c>
      <c r="F258" s="80"/>
      <c r="G258" s="80">
        <f>864192</f>
        <v>864192</v>
      </c>
      <c r="H258" s="75">
        <f t="shared" si="7"/>
        <v>864192</v>
      </c>
    </row>
    <row r="259" spans="1:9" s="121" customFormat="1" ht="48.75" customHeight="1">
      <c r="A259" s="221"/>
      <c r="B259" s="221" t="s">
        <v>309</v>
      </c>
      <c r="C259" s="225" t="s">
        <v>139</v>
      </c>
      <c r="D259" s="219" t="s">
        <v>324</v>
      </c>
      <c r="E259" s="163" t="s">
        <v>189</v>
      </c>
      <c r="F259" s="78">
        <f>F260+F261</f>
        <v>145788417</v>
      </c>
      <c r="G259" s="78">
        <f>G260+G261</f>
        <v>1299944</v>
      </c>
      <c r="H259" s="75">
        <f t="shared" si="7"/>
        <v>147088361</v>
      </c>
      <c r="I259" s="131"/>
    </row>
    <row r="260" spans="1:9" s="121" customFormat="1" ht="24" customHeight="1">
      <c r="A260" s="221"/>
      <c r="B260" s="221"/>
      <c r="C260" s="221"/>
      <c r="D260" s="219"/>
      <c r="E260" s="164" t="s">
        <v>373</v>
      </c>
      <c r="F260" s="78">
        <f>30284431-20000000+20000000+(165179)+8500000+(57063185)+(1519993)-1519993+1475005+448+1000-1476453-1000000+29575998-76710+855000+3500000+712+16800000</f>
        <v>145667795</v>
      </c>
      <c r="G260" s="96">
        <f>480000+154015+536323</f>
        <v>1170338</v>
      </c>
      <c r="H260" s="75">
        <f t="shared" si="7"/>
        <v>146838133</v>
      </c>
      <c r="I260" s="131"/>
    </row>
    <row r="261" spans="1:9" s="121" customFormat="1" ht="22.5" customHeight="1">
      <c r="A261" s="221"/>
      <c r="B261" s="221"/>
      <c r="C261" s="221"/>
      <c r="D261" s="219"/>
      <c r="E261" s="76" t="s">
        <v>372</v>
      </c>
      <c r="F261" s="78">
        <v>120622</v>
      </c>
      <c r="G261" s="96">
        <f>1398+128208</f>
        <v>129606</v>
      </c>
      <c r="H261" s="75">
        <f t="shared" si="7"/>
        <v>250228</v>
      </c>
      <c r="I261" s="131"/>
    </row>
    <row r="262" spans="1:8" s="121" customFormat="1" ht="48.75" customHeight="1">
      <c r="A262" s="221"/>
      <c r="B262" s="221"/>
      <c r="C262" s="221"/>
      <c r="D262" s="219"/>
      <c r="E262" s="166" t="s">
        <v>242</v>
      </c>
      <c r="F262" s="78">
        <f>93500+102000</f>
        <v>195500</v>
      </c>
      <c r="G262" s="96"/>
      <c r="H262" s="75">
        <f t="shared" si="7"/>
        <v>195500</v>
      </c>
    </row>
    <row r="263" spans="1:8" s="121" customFormat="1" ht="112.5" customHeight="1">
      <c r="A263" s="221"/>
      <c r="B263" s="221"/>
      <c r="C263" s="221"/>
      <c r="D263" s="219"/>
      <c r="E263" s="166" t="s">
        <v>209</v>
      </c>
      <c r="F263" s="78">
        <v>76217</v>
      </c>
      <c r="G263" s="96"/>
      <c r="H263" s="75">
        <f t="shared" si="7"/>
        <v>76217</v>
      </c>
    </row>
    <row r="264" spans="1:8" s="121" customFormat="1" ht="47.25" customHeight="1" hidden="1">
      <c r="A264" s="236"/>
      <c r="B264" s="236"/>
      <c r="C264" s="222"/>
      <c r="D264" s="205"/>
      <c r="E264" s="107" t="s">
        <v>181</v>
      </c>
      <c r="F264" s="94">
        <f>20000-20000</f>
        <v>0</v>
      </c>
      <c r="G264" s="96"/>
      <c r="H264" s="108">
        <f t="shared" si="7"/>
        <v>0</v>
      </c>
    </row>
    <row r="265" spans="1:8" s="121" customFormat="1" ht="31.5">
      <c r="A265" s="105"/>
      <c r="B265" s="105" t="s">
        <v>407</v>
      </c>
      <c r="C265" s="105"/>
      <c r="D265" s="106" t="s">
        <v>285</v>
      </c>
      <c r="E265" s="166"/>
      <c r="F265" s="82">
        <f>F266+F267+F268</f>
        <v>122031</v>
      </c>
      <c r="G265" s="82">
        <f>G266+G267+G268</f>
        <v>75716</v>
      </c>
      <c r="H265" s="87">
        <f>H266+H267+H268</f>
        <v>197747</v>
      </c>
    </row>
    <row r="266" spans="1:8" s="121" customFormat="1" ht="48" customHeight="1">
      <c r="A266" s="148"/>
      <c r="B266" s="148" t="s">
        <v>426</v>
      </c>
      <c r="C266" s="148" t="s">
        <v>136</v>
      </c>
      <c r="D266" s="160" t="s">
        <v>427</v>
      </c>
      <c r="E266" s="163" t="s">
        <v>182</v>
      </c>
      <c r="F266" s="78"/>
      <c r="G266" s="75">
        <v>75716</v>
      </c>
      <c r="H266" s="75">
        <f t="shared" si="7"/>
        <v>75716</v>
      </c>
    </row>
    <row r="267" spans="1:9" s="121" customFormat="1" ht="67.5" customHeight="1">
      <c r="A267" s="148"/>
      <c r="B267" s="232" t="s">
        <v>309</v>
      </c>
      <c r="C267" s="228" t="s">
        <v>139</v>
      </c>
      <c r="D267" s="218" t="s">
        <v>324</v>
      </c>
      <c r="E267" s="163" t="s">
        <v>123</v>
      </c>
      <c r="F267" s="78">
        <f>24436-8646</f>
        <v>15790</v>
      </c>
      <c r="G267" s="91"/>
      <c r="H267" s="75">
        <f t="shared" si="7"/>
        <v>15790</v>
      </c>
      <c r="I267" s="131"/>
    </row>
    <row r="268" spans="1:9" s="121" customFormat="1" ht="67.5" customHeight="1">
      <c r="A268" s="151"/>
      <c r="B268" s="234"/>
      <c r="C268" s="230"/>
      <c r="D268" s="220"/>
      <c r="E268" s="163" t="s">
        <v>200</v>
      </c>
      <c r="F268" s="78">
        <f>106241</f>
        <v>106241</v>
      </c>
      <c r="G268" s="91"/>
      <c r="H268" s="75">
        <f>F268+G268</f>
        <v>106241</v>
      </c>
      <c r="I268" s="131"/>
    </row>
    <row r="269" spans="1:8" s="121" customFormat="1" ht="31.5">
      <c r="A269" s="115"/>
      <c r="B269" s="115" t="s">
        <v>411</v>
      </c>
      <c r="C269" s="115"/>
      <c r="D269" s="117" t="s">
        <v>287</v>
      </c>
      <c r="E269" s="166"/>
      <c r="F269" s="82">
        <f>F270+F271+F272+F273+F274+F275</f>
        <v>1925196</v>
      </c>
      <c r="G269" s="82">
        <f>G270+G271+G272+G273+G274+G275</f>
        <v>434246</v>
      </c>
      <c r="H269" s="87">
        <f t="shared" si="7"/>
        <v>2359442</v>
      </c>
    </row>
    <row r="270" spans="1:8" s="121" customFormat="1" ht="49.5" customHeight="1">
      <c r="A270" s="150"/>
      <c r="B270" s="150" t="s">
        <v>426</v>
      </c>
      <c r="C270" s="148" t="s">
        <v>136</v>
      </c>
      <c r="D270" s="166" t="s">
        <v>427</v>
      </c>
      <c r="E270" s="163" t="s">
        <v>182</v>
      </c>
      <c r="F270" s="78"/>
      <c r="G270" s="75">
        <f>108516</f>
        <v>108516</v>
      </c>
      <c r="H270" s="75">
        <f t="shared" si="7"/>
        <v>108516</v>
      </c>
    </row>
    <row r="271" spans="1:8" s="121" customFormat="1" ht="47.25">
      <c r="A271" s="150"/>
      <c r="B271" s="150" t="s">
        <v>63</v>
      </c>
      <c r="C271" s="148" t="s">
        <v>168</v>
      </c>
      <c r="D271" s="166" t="s">
        <v>68</v>
      </c>
      <c r="E271" s="166" t="s">
        <v>107</v>
      </c>
      <c r="F271" s="78"/>
      <c r="G271" s="91">
        <f>887560-887560</f>
        <v>0</v>
      </c>
      <c r="H271" s="75">
        <f t="shared" si="7"/>
        <v>0</v>
      </c>
    </row>
    <row r="272" spans="1:9" s="121" customFormat="1" ht="47.25">
      <c r="A272" s="214"/>
      <c r="B272" s="190">
        <v>250404</v>
      </c>
      <c r="C272" s="225" t="s">
        <v>139</v>
      </c>
      <c r="D272" s="206" t="s">
        <v>324</v>
      </c>
      <c r="E272" s="166" t="s">
        <v>355</v>
      </c>
      <c r="F272" s="77">
        <v>189554</v>
      </c>
      <c r="G272" s="166"/>
      <c r="H272" s="75">
        <f t="shared" si="7"/>
        <v>189554</v>
      </c>
      <c r="I272" s="131"/>
    </row>
    <row r="273" spans="1:8" s="121" customFormat="1" ht="47.25">
      <c r="A273" s="189"/>
      <c r="B273" s="191"/>
      <c r="C273" s="221"/>
      <c r="D273" s="207"/>
      <c r="E273" s="166" t="s">
        <v>472</v>
      </c>
      <c r="F273" s="77">
        <v>1735642</v>
      </c>
      <c r="G273" s="96">
        <v>253730</v>
      </c>
      <c r="H273" s="75">
        <f t="shared" si="7"/>
        <v>1989372</v>
      </c>
    </row>
    <row r="274" spans="1:8" s="121" customFormat="1" ht="51" customHeight="1" hidden="1">
      <c r="A274" s="189"/>
      <c r="B274" s="191"/>
      <c r="C274" s="221"/>
      <c r="D274" s="207"/>
      <c r="E274" s="166" t="s">
        <v>578</v>
      </c>
      <c r="F274" s="77"/>
      <c r="G274" s="96"/>
      <c r="H274" s="75">
        <f t="shared" si="7"/>
        <v>0</v>
      </c>
    </row>
    <row r="275" spans="1:8" s="121" customFormat="1" ht="68.25" customHeight="1">
      <c r="A275" s="189"/>
      <c r="B275" s="191"/>
      <c r="C275" s="221"/>
      <c r="D275" s="207"/>
      <c r="E275" s="166" t="s">
        <v>135</v>
      </c>
      <c r="F275" s="77"/>
      <c r="G275" s="96">
        <f>G276+G277</f>
        <v>72000</v>
      </c>
      <c r="H275" s="75">
        <f t="shared" si="7"/>
        <v>72000</v>
      </c>
    </row>
    <row r="276" spans="1:8" s="121" customFormat="1" ht="15.75">
      <c r="A276" s="189"/>
      <c r="B276" s="191"/>
      <c r="C276" s="221"/>
      <c r="D276" s="207"/>
      <c r="E276" s="164" t="s">
        <v>373</v>
      </c>
      <c r="F276" s="77"/>
      <c r="G276" s="96">
        <v>38000</v>
      </c>
      <c r="H276" s="75">
        <f t="shared" si="7"/>
        <v>38000</v>
      </c>
    </row>
    <row r="277" spans="1:8" s="121" customFormat="1" ht="15.75">
      <c r="A277" s="215"/>
      <c r="B277" s="192"/>
      <c r="C277" s="222"/>
      <c r="D277" s="179"/>
      <c r="E277" s="76" t="s">
        <v>372</v>
      </c>
      <c r="F277" s="77"/>
      <c r="G277" s="96">
        <v>34000</v>
      </c>
      <c r="H277" s="75">
        <f t="shared" si="7"/>
        <v>34000</v>
      </c>
    </row>
    <row r="278" spans="1:8" s="121" customFormat="1" ht="31.5">
      <c r="A278" s="153"/>
      <c r="B278" s="105">
        <v>50</v>
      </c>
      <c r="C278" s="151"/>
      <c r="D278" s="106" t="s">
        <v>447</v>
      </c>
      <c r="E278" s="76"/>
      <c r="F278" s="82">
        <f>F279</f>
        <v>0</v>
      </c>
      <c r="G278" s="82">
        <f>G279</f>
        <v>39348</v>
      </c>
      <c r="H278" s="82">
        <f>G278+F278</f>
        <v>39348</v>
      </c>
    </row>
    <row r="279" spans="1:8" s="121" customFormat="1" ht="47.25">
      <c r="A279" s="153"/>
      <c r="B279" s="150" t="s">
        <v>426</v>
      </c>
      <c r="C279" s="150" t="s">
        <v>136</v>
      </c>
      <c r="D279" s="166" t="s">
        <v>427</v>
      </c>
      <c r="E279" s="163" t="s">
        <v>190</v>
      </c>
      <c r="F279" s="77"/>
      <c r="G279" s="96">
        <v>39348</v>
      </c>
      <c r="H279" s="75">
        <f>G279+F279</f>
        <v>39348</v>
      </c>
    </row>
    <row r="280" spans="1:8" s="121" customFormat="1" ht="31.5" customHeight="1" hidden="1">
      <c r="A280" s="105"/>
      <c r="B280" s="105" t="s">
        <v>415</v>
      </c>
      <c r="C280" s="115"/>
      <c r="D280" s="106" t="s">
        <v>291</v>
      </c>
      <c r="E280" s="106"/>
      <c r="F280" s="82">
        <f>F281+F282</f>
        <v>0</v>
      </c>
      <c r="G280" s="82">
        <f>G281+G282</f>
        <v>0</v>
      </c>
      <c r="H280" s="82">
        <f aca="true" t="shared" si="8" ref="H280:H341">F280+G280</f>
        <v>0</v>
      </c>
    </row>
    <row r="281" spans="1:8" s="121" customFormat="1" ht="31.5" customHeight="1" hidden="1">
      <c r="A281" s="150"/>
      <c r="B281" s="150" t="s">
        <v>426</v>
      </c>
      <c r="C281" s="150"/>
      <c r="D281" s="166" t="s">
        <v>427</v>
      </c>
      <c r="E281" s="163" t="s">
        <v>370</v>
      </c>
      <c r="F281" s="78"/>
      <c r="G281" s="78"/>
      <c r="H281" s="78">
        <f t="shared" si="8"/>
        <v>0</v>
      </c>
    </row>
    <row r="282" spans="1:8" s="121" customFormat="1" ht="31.5" customHeight="1" hidden="1">
      <c r="A282" s="150"/>
      <c r="B282" s="150" t="s">
        <v>273</v>
      </c>
      <c r="C282" s="150"/>
      <c r="D282" s="166" t="s">
        <v>274</v>
      </c>
      <c r="E282" s="163" t="s">
        <v>466</v>
      </c>
      <c r="F282" s="78"/>
      <c r="G282" s="75"/>
      <c r="H282" s="78">
        <f t="shared" si="8"/>
        <v>0</v>
      </c>
    </row>
    <row r="283" spans="1:8" s="121" customFormat="1" ht="31.5">
      <c r="A283" s="105"/>
      <c r="B283" s="105" t="s">
        <v>412</v>
      </c>
      <c r="C283" s="105"/>
      <c r="D283" s="106" t="s">
        <v>288</v>
      </c>
      <c r="E283" s="166"/>
      <c r="F283" s="82">
        <f>F284+F286+F288+F291+F287+F292</f>
        <v>673352</v>
      </c>
      <c r="G283" s="82">
        <f>G284+G286+G288+G291+G287+G292</f>
        <v>41278072</v>
      </c>
      <c r="H283" s="82">
        <f>H284+H286+H288+H291+H287+H292</f>
        <v>41951424</v>
      </c>
    </row>
    <row r="284" spans="1:8" s="121" customFormat="1" ht="47.25" customHeight="1" hidden="1">
      <c r="A284" s="150"/>
      <c r="B284" s="150" t="s">
        <v>426</v>
      </c>
      <c r="C284" s="150"/>
      <c r="D284" s="166" t="s">
        <v>427</v>
      </c>
      <c r="E284" s="163" t="s">
        <v>370</v>
      </c>
      <c r="F284" s="78"/>
      <c r="G284" s="75"/>
      <c r="H284" s="78">
        <f t="shared" si="8"/>
        <v>0</v>
      </c>
    </row>
    <row r="285" spans="1:8" s="121" customFormat="1" ht="69" customHeight="1" hidden="1">
      <c r="A285" s="150"/>
      <c r="B285" s="150" t="s">
        <v>316</v>
      </c>
      <c r="C285" s="150"/>
      <c r="D285" s="166" t="s">
        <v>317</v>
      </c>
      <c r="E285" s="166"/>
      <c r="F285" s="78"/>
      <c r="G285" s="75">
        <f>2000000-2000000</f>
        <v>0</v>
      </c>
      <c r="H285" s="78">
        <f t="shared" si="8"/>
        <v>0</v>
      </c>
    </row>
    <row r="286" spans="1:8" s="121" customFormat="1" ht="68.25" customHeight="1">
      <c r="A286" s="225"/>
      <c r="B286" s="225" t="s">
        <v>353</v>
      </c>
      <c r="C286" s="225" t="s">
        <v>148</v>
      </c>
      <c r="D286" s="218" t="s">
        <v>354</v>
      </c>
      <c r="E286" s="166" t="s">
        <v>379</v>
      </c>
      <c r="F286" s="78">
        <v>60000</v>
      </c>
      <c r="G286" s="75"/>
      <c r="H286" s="78">
        <f t="shared" si="8"/>
        <v>60000</v>
      </c>
    </row>
    <row r="287" spans="1:8" s="121" customFormat="1" ht="68.25" customHeight="1" hidden="1">
      <c r="A287" s="222"/>
      <c r="B287" s="222"/>
      <c r="C287" s="222"/>
      <c r="D287" s="220"/>
      <c r="E287" s="163" t="s">
        <v>212</v>
      </c>
      <c r="F287" s="78">
        <f>99000-99000+1680000-1680000</f>
        <v>0</v>
      </c>
      <c r="G287" s="75"/>
      <c r="H287" s="78">
        <f t="shared" si="8"/>
        <v>0</v>
      </c>
    </row>
    <row r="288" spans="1:8" s="121" customFormat="1" ht="47.25" customHeight="1">
      <c r="A288" s="160"/>
      <c r="B288" s="241">
        <v>200700</v>
      </c>
      <c r="C288" s="225" t="s">
        <v>147</v>
      </c>
      <c r="D288" s="238" t="s">
        <v>386</v>
      </c>
      <c r="E288" s="163" t="s">
        <v>188</v>
      </c>
      <c r="F288" s="80">
        <f>F289+F290</f>
        <v>416666</v>
      </c>
      <c r="G288" s="80">
        <f>G289+G290</f>
        <v>11979308</v>
      </c>
      <c r="H288" s="78">
        <f>F288+G288</f>
        <v>12395974</v>
      </c>
    </row>
    <row r="289" spans="1:8" s="121" customFormat="1" ht="28.5" customHeight="1">
      <c r="A289" s="161"/>
      <c r="B289" s="242"/>
      <c r="C289" s="221"/>
      <c r="D289" s="239"/>
      <c r="E289" s="164" t="s">
        <v>373</v>
      </c>
      <c r="F289" s="80">
        <f>224834+51166+98000</f>
        <v>374000</v>
      </c>
      <c r="G289" s="75">
        <f>10759257-51166-98000-8287301+8287301</f>
        <v>10610091</v>
      </c>
      <c r="H289" s="78">
        <f>F289+G289</f>
        <v>10984091</v>
      </c>
    </row>
    <row r="290" spans="1:8" s="121" customFormat="1" ht="27" customHeight="1">
      <c r="A290" s="162"/>
      <c r="B290" s="243"/>
      <c r="C290" s="222"/>
      <c r="D290" s="240"/>
      <c r="E290" s="76" t="s">
        <v>372</v>
      </c>
      <c r="F290" s="80">
        <v>42666</v>
      </c>
      <c r="G290" s="75">
        <v>1369217</v>
      </c>
      <c r="H290" s="78">
        <f>F290+G290</f>
        <v>1411883</v>
      </c>
    </row>
    <row r="291" spans="1:8" s="121" customFormat="1" ht="51.75" customHeight="1">
      <c r="A291" s="162"/>
      <c r="B291" s="174">
        <v>240601</v>
      </c>
      <c r="C291" s="150" t="s">
        <v>148</v>
      </c>
      <c r="D291" s="162" t="s">
        <v>338</v>
      </c>
      <c r="E291" s="163" t="s">
        <v>188</v>
      </c>
      <c r="F291" s="80">
        <f>66166-66166</f>
        <v>0</v>
      </c>
      <c r="G291" s="75">
        <f>29232598+66166</f>
        <v>29298764</v>
      </c>
      <c r="H291" s="78">
        <f>F291+G291</f>
        <v>29298764</v>
      </c>
    </row>
    <row r="292" spans="1:8" s="121" customFormat="1" ht="51.75" customHeight="1">
      <c r="A292" s="162"/>
      <c r="B292" s="174">
        <v>250404</v>
      </c>
      <c r="C292" s="151" t="s">
        <v>139</v>
      </c>
      <c r="D292" s="162" t="s">
        <v>324</v>
      </c>
      <c r="E292" s="163" t="s">
        <v>213</v>
      </c>
      <c r="F292" s="80">
        <f>196686</f>
        <v>196686</v>
      </c>
      <c r="G292" s="75"/>
      <c r="H292" s="78">
        <f>G292+F292</f>
        <v>196686</v>
      </c>
    </row>
    <row r="293" spans="1:8" s="121" customFormat="1" ht="47.25">
      <c r="A293" s="115"/>
      <c r="B293" s="115" t="s">
        <v>410</v>
      </c>
      <c r="C293" s="115"/>
      <c r="D293" s="117" t="s">
        <v>289</v>
      </c>
      <c r="E293" s="166"/>
      <c r="F293" s="82">
        <f>F294+F295+F296+F298+F299+F302+F307+F310+F313+F312+F305+F306+F297+F311+F308+F309</f>
        <v>61895224</v>
      </c>
      <c r="G293" s="82">
        <f>G294+G295+G296+G298+G299+G302+G307+G310+G313+G312+G305+G306+G297+G311+G308+G309</f>
        <v>52443549</v>
      </c>
      <c r="H293" s="82">
        <f>H294+H295+H296+H298+H299+H302+H307+H310+H313+H312+H305+H306+H297+H311+H308+H309</f>
        <v>114338773</v>
      </c>
    </row>
    <row r="294" spans="1:8" s="121" customFormat="1" ht="54.75" customHeight="1">
      <c r="A294" s="150"/>
      <c r="B294" s="150" t="s">
        <v>426</v>
      </c>
      <c r="C294" s="150" t="s">
        <v>136</v>
      </c>
      <c r="D294" s="166" t="s">
        <v>427</v>
      </c>
      <c r="E294" s="163" t="s">
        <v>129</v>
      </c>
      <c r="F294" s="78"/>
      <c r="G294" s="91">
        <v>6986</v>
      </c>
      <c r="H294" s="78">
        <f t="shared" si="8"/>
        <v>6986</v>
      </c>
    </row>
    <row r="295" spans="1:8" s="121" customFormat="1" ht="77.25" customHeight="1" hidden="1">
      <c r="A295" s="150"/>
      <c r="B295" s="150" t="s">
        <v>326</v>
      </c>
      <c r="C295" s="150"/>
      <c r="D295" s="166" t="s">
        <v>327</v>
      </c>
      <c r="E295" s="166" t="s">
        <v>547</v>
      </c>
      <c r="F295" s="78"/>
      <c r="G295" s="91"/>
      <c r="H295" s="78">
        <f t="shared" si="8"/>
        <v>0</v>
      </c>
    </row>
    <row r="296" spans="1:9" s="121" customFormat="1" ht="63">
      <c r="A296" s="150"/>
      <c r="B296" s="150" t="s">
        <v>263</v>
      </c>
      <c r="C296" s="150" t="s">
        <v>137</v>
      </c>
      <c r="D296" s="166" t="s">
        <v>264</v>
      </c>
      <c r="E296" s="166" t="s">
        <v>247</v>
      </c>
      <c r="F296" s="78">
        <v>2700000</v>
      </c>
      <c r="G296" s="75">
        <v>143525</v>
      </c>
      <c r="H296" s="78">
        <f t="shared" si="8"/>
        <v>2843525</v>
      </c>
      <c r="I296" s="131"/>
    </row>
    <row r="297" spans="1:9" s="121" customFormat="1" ht="78.75" customHeight="1" hidden="1">
      <c r="A297" s="150"/>
      <c r="B297" s="150" t="s">
        <v>470</v>
      </c>
      <c r="C297" s="150"/>
      <c r="D297" s="166" t="s">
        <v>471</v>
      </c>
      <c r="E297" s="166" t="s">
        <v>530</v>
      </c>
      <c r="F297" s="78"/>
      <c r="G297" s="75"/>
      <c r="H297" s="78">
        <f t="shared" si="8"/>
        <v>0</v>
      </c>
      <c r="I297" s="131"/>
    </row>
    <row r="298" spans="1:9" s="121" customFormat="1" ht="81.75" customHeight="1">
      <c r="A298" s="150"/>
      <c r="B298" s="150" t="s">
        <v>314</v>
      </c>
      <c r="C298" s="150" t="s">
        <v>169</v>
      </c>
      <c r="D298" s="166" t="s">
        <v>315</v>
      </c>
      <c r="E298" s="166" t="s">
        <v>248</v>
      </c>
      <c r="F298" s="78">
        <f>30000000+2800000+(5000000)+8000000+11000000</f>
        <v>56800000</v>
      </c>
      <c r="G298" s="91"/>
      <c r="H298" s="78">
        <f t="shared" si="8"/>
        <v>56800000</v>
      </c>
      <c r="I298" s="131"/>
    </row>
    <row r="299" spans="1:8" s="121" customFormat="1" ht="63">
      <c r="A299" s="225"/>
      <c r="B299" s="225" t="s">
        <v>316</v>
      </c>
      <c r="C299" s="225" t="s">
        <v>138</v>
      </c>
      <c r="D299" s="218" t="s">
        <v>317</v>
      </c>
      <c r="E299" s="166" t="s">
        <v>248</v>
      </c>
      <c r="F299" s="78"/>
      <c r="G299" s="75">
        <f>G300+G301</f>
        <v>703127</v>
      </c>
      <c r="H299" s="78">
        <f t="shared" si="8"/>
        <v>703127</v>
      </c>
    </row>
    <row r="300" spans="1:8" s="121" customFormat="1" ht="15.75">
      <c r="A300" s="221"/>
      <c r="B300" s="221"/>
      <c r="C300" s="221"/>
      <c r="D300" s="219"/>
      <c r="E300" s="164" t="s">
        <v>373</v>
      </c>
      <c r="F300" s="78"/>
      <c r="G300" s="75">
        <f>1939282+9-300000+(1537566)-2500000</f>
        <v>676857</v>
      </c>
      <c r="H300" s="78">
        <f t="shared" si="8"/>
        <v>676857</v>
      </c>
    </row>
    <row r="301" spans="1:8" s="121" customFormat="1" ht="15.75">
      <c r="A301" s="221"/>
      <c r="B301" s="221"/>
      <c r="C301" s="221"/>
      <c r="D301" s="219"/>
      <c r="E301" s="76" t="s">
        <v>372</v>
      </c>
      <c r="F301" s="78"/>
      <c r="G301" s="75">
        <f>26279-9</f>
        <v>26270</v>
      </c>
      <c r="H301" s="78">
        <f t="shared" si="8"/>
        <v>26270</v>
      </c>
    </row>
    <row r="302" spans="1:8" s="121" customFormat="1" ht="63">
      <c r="A302" s="221"/>
      <c r="B302" s="221"/>
      <c r="C302" s="221"/>
      <c r="D302" s="219"/>
      <c r="E302" s="166" t="s">
        <v>547</v>
      </c>
      <c r="F302" s="75"/>
      <c r="G302" s="75">
        <f>G303+G304</f>
        <v>846427</v>
      </c>
      <c r="H302" s="78">
        <f t="shared" si="8"/>
        <v>846427</v>
      </c>
    </row>
    <row r="303" spans="1:8" s="121" customFormat="1" ht="15.75">
      <c r="A303" s="149"/>
      <c r="B303" s="221"/>
      <c r="C303" s="221"/>
      <c r="D303" s="165"/>
      <c r="E303" s="164" t="s">
        <v>373</v>
      </c>
      <c r="F303" s="78"/>
      <c r="G303" s="75">
        <f>(264787)+874644-717040</f>
        <v>422391</v>
      </c>
      <c r="H303" s="78">
        <f t="shared" si="8"/>
        <v>422391</v>
      </c>
    </row>
    <row r="304" spans="1:8" s="121" customFormat="1" ht="15.75">
      <c r="A304" s="149"/>
      <c r="B304" s="221"/>
      <c r="C304" s="221"/>
      <c r="D304" s="165"/>
      <c r="E304" s="163" t="s">
        <v>372</v>
      </c>
      <c r="F304" s="78"/>
      <c r="G304" s="75">
        <v>424036</v>
      </c>
      <c r="H304" s="78">
        <f t="shared" si="8"/>
        <v>424036</v>
      </c>
    </row>
    <row r="305" spans="1:8" s="121" customFormat="1" ht="63.75" customHeight="1">
      <c r="A305" s="149"/>
      <c r="B305" s="221"/>
      <c r="C305" s="221"/>
      <c r="D305" s="165"/>
      <c r="E305" s="95" t="s">
        <v>191</v>
      </c>
      <c r="F305" s="78"/>
      <c r="G305" s="75">
        <f>300000+50000+474633+263951</f>
        <v>1088584</v>
      </c>
      <c r="H305" s="78">
        <f t="shared" si="8"/>
        <v>1088584</v>
      </c>
    </row>
    <row r="306" spans="1:8" s="121" customFormat="1" ht="51" customHeight="1">
      <c r="A306" s="149"/>
      <c r="B306" s="222"/>
      <c r="C306" s="222"/>
      <c r="D306" s="165"/>
      <c r="E306" s="95" t="s">
        <v>192</v>
      </c>
      <c r="F306" s="78"/>
      <c r="G306" s="75">
        <f>(1450388)+(12629879)-8580267-4049612</f>
        <v>1450388</v>
      </c>
      <c r="H306" s="78">
        <f t="shared" si="8"/>
        <v>1450388</v>
      </c>
    </row>
    <row r="307" spans="1:8" s="121" customFormat="1" ht="79.5" customHeight="1">
      <c r="A307" s="245"/>
      <c r="B307" s="231" t="s">
        <v>330</v>
      </c>
      <c r="C307" s="225" t="s">
        <v>138</v>
      </c>
      <c r="D307" s="237" t="s">
        <v>488</v>
      </c>
      <c r="E307" s="166" t="s">
        <v>248</v>
      </c>
      <c r="F307" s="78"/>
      <c r="G307" s="75">
        <v>25174480</v>
      </c>
      <c r="H307" s="78">
        <f t="shared" si="8"/>
        <v>25174480</v>
      </c>
    </row>
    <row r="308" spans="1:8" s="121" customFormat="1" ht="79.5" customHeight="1">
      <c r="A308" s="245"/>
      <c r="B308" s="231"/>
      <c r="C308" s="221"/>
      <c r="D308" s="237"/>
      <c r="E308" s="166" t="s">
        <v>214</v>
      </c>
      <c r="F308" s="78"/>
      <c r="G308" s="75">
        <v>195592</v>
      </c>
      <c r="H308" s="78">
        <f t="shared" si="8"/>
        <v>195592</v>
      </c>
    </row>
    <row r="309" spans="1:8" s="121" customFormat="1" ht="53.25" customHeight="1">
      <c r="A309" s="245"/>
      <c r="B309" s="231"/>
      <c r="C309" s="221"/>
      <c r="D309" s="237"/>
      <c r="E309" s="107" t="s">
        <v>181</v>
      </c>
      <c r="F309" s="92"/>
      <c r="G309" s="92">
        <v>15000</v>
      </c>
      <c r="H309" s="92">
        <f t="shared" si="8"/>
        <v>15000</v>
      </c>
    </row>
    <row r="310" spans="1:8" s="121" customFormat="1" ht="63">
      <c r="A310" s="245"/>
      <c r="B310" s="231"/>
      <c r="C310" s="222"/>
      <c r="D310" s="237"/>
      <c r="E310" s="166" t="s">
        <v>547</v>
      </c>
      <c r="F310" s="95"/>
      <c r="G310" s="75">
        <f>650000+(5218000)+6500000+(6000000)+1350000+1118000-832585-1474480</f>
        <v>18528935</v>
      </c>
      <c r="H310" s="78">
        <f t="shared" si="8"/>
        <v>18528935</v>
      </c>
    </row>
    <row r="311" spans="1:8" s="121" customFormat="1" ht="52.5" customHeight="1" hidden="1">
      <c r="A311" s="148"/>
      <c r="B311" s="157" t="s">
        <v>468</v>
      </c>
      <c r="C311" s="149" t="s">
        <v>146</v>
      </c>
      <c r="D311" s="164" t="s">
        <v>469</v>
      </c>
      <c r="E311" s="166" t="s">
        <v>179</v>
      </c>
      <c r="F311" s="78">
        <f>2754000-2754000</f>
        <v>0</v>
      </c>
      <c r="G311" s="75"/>
      <c r="H311" s="78">
        <f>G311+F311</f>
        <v>0</v>
      </c>
    </row>
    <row r="312" spans="1:9" s="121" customFormat="1" ht="70.5" customHeight="1">
      <c r="A312" s="225"/>
      <c r="B312" s="225" t="s">
        <v>478</v>
      </c>
      <c r="C312" s="225" t="s">
        <v>170</v>
      </c>
      <c r="D312" s="218" t="s">
        <v>479</v>
      </c>
      <c r="E312" s="95" t="s">
        <v>191</v>
      </c>
      <c r="F312" s="78">
        <f>833000</f>
        <v>833000</v>
      </c>
      <c r="G312" s="75"/>
      <c r="H312" s="78">
        <f t="shared" si="8"/>
        <v>833000</v>
      </c>
      <c r="I312" s="131"/>
    </row>
    <row r="313" spans="1:8" s="121" customFormat="1" ht="69.75" customHeight="1">
      <c r="A313" s="221"/>
      <c r="B313" s="221"/>
      <c r="C313" s="222"/>
      <c r="D313" s="219"/>
      <c r="E313" s="166" t="s">
        <v>547</v>
      </c>
      <c r="F313" s="78">
        <f>2500000-101076-836700</f>
        <v>1562224</v>
      </c>
      <c r="G313" s="75">
        <f>8536295+(4000000)-874644-263951-2388564-79436-4639195</f>
        <v>4290505</v>
      </c>
      <c r="H313" s="78">
        <f t="shared" si="8"/>
        <v>5852729</v>
      </c>
    </row>
    <row r="314" spans="1:8" s="121" customFormat="1" ht="65.25" customHeight="1">
      <c r="A314" s="105"/>
      <c r="B314" s="105" t="s">
        <v>405</v>
      </c>
      <c r="C314" s="105"/>
      <c r="D314" s="106" t="s">
        <v>284</v>
      </c>
      <c r="E314" s="166"/>
      <c r="F314" s="82">
        <f>F315+F316+F319</f>
        <v>8322412</v>
      </c>
      <c r="G314" s="82">
        <f>G315+G316+G319</f>
        <v>1720687</v>
      </c>
      <c r="H314" s="87">
        <f t="shared" si="8"/>
        <v>10043099</v>
      </c>
    </row>
    <row r="315" spans="1:8" s="121" customFormat="1" ht="54" customHeight="1" hidden="1">
      <c r="A315" s="148"/>
      <c r="B315" s="148" t="s">
        <v>426</v>
      </c>
      <c r="C315" s="148"/>
      <c r="D315" s="160" t="s">
        <v>427</v>
      </c>
      <c r="E315" s="163" t="s">
        <v>370</v>
      </c>
      <c r="F315" s="78"/>
      <c r="G315" s="96"/>
      <c r="H315" s="75">
        <f t="shared" si="8"/>
        <v>0</v>
      </c>
    </row>
    <row r="316" spans="1:9" s="121" customFormat="1" ht="66.75" customHeight="1">
      <c r="A316" s="148"/>
      <c r="B316" s="232" t="s">
        <v>320</v>
      </c>
      <c r="C316" s="225" t="s">
        <v>171</v>
      </c>
      <c r="D316" s="218" t="s">
        <v>321</v>
      </c>
      <c r="E316" s="163" t="s">
        <v>193</v>
      </c>
      <c r="F316" s="78">
        <f>F317+F318</f>
        <v>4644061</v>
      </c>
      <c r="G316" s="78">
        <f>G317+G318</f>
        <v>1339177</v>
      </c>
      <c r="H316" s="75">
        <f t="shared" si="8"/>
        <v>5983238</v>
      </c>
      <c r="I316" s="131"/>
    </row>
    <row r="317" spans="1:9" s="121" customFormat="1" ht="24" customHeight="1">
      <c r="A317" s="149"/>
      <c r="B317" s="233"/>
      <c r="C317" s="221"/>
      <c r="D317" s="219"/>
      <c r="E317" s="164" t="s">
        <v>373</v>
      </c>
      <c r="F317" s="78">
        <f>4409512+(115807)+1874+116833</f>
        <v>4644026</v>
      </c>
      <c r="G317" s="96">
        <f>1746512+82800-454435-35700</f>
        <v>1339177</v>
      </c>
      <c r="H317" s="75">
        <f t="shared" si="8"/>
        <v>5983203</v>
      </c>
      <c r="I317" s="131"/>
    </row>
    <row r="318" spans="1:9" s="121" customFormat="1" ht="21" customHeight="1">
      <c r="A318" s="149"/>
      <c r="B318" s="233"/>
      <c r="C318" s="222"/>
      <c r="D318" s="219"/>
      <c r="E318" s="76" t="s">
        <v>372</v>
      </c>
      <c r="F318" s="78">
        <v>35</v>
      </c>
      <c r="G318" s="96"/>
      <c r="H318" s="75">
        <f t="shared" si="8"/>
        <v>35</v>
      </c>
      <c r="I318" s="131"/>
    </row>
    <row r="319" spans="1:9" s="121" customFormat="1" ht="63">
      <c r="A319" s="148"/>
      <c r="B319" s="232" t="s">
        <v>322</v>
      </c>
      <c r="C319" s="225" t="s">
        <v>171</v>
      </c>
      <c r="D319" s="218" t="s">
        <v>323</v>
      </c>
      <c r="E319" s="163" t="s">
        <v>193</v>
      </c>
      <c r="F319" s="78">
        <f>F320+F321</f>
        <v>3678351</v>
      </c>
      <c r="G319" s="78">
        <f>G320+G321</f>
        <v>381510</v>
      </c>
      <c r="H319" s="75">
        <f t="shared" si="8"/>
        <v>4059861</v>
      </c>
      <c r="I319" s="131"/>
    </row>
    <row r="320" spans="1:8" s="121" customFormat="1" ht="21" customHeight="1">
      <c r="A320" s="149"/>
      <c r="B320" s="233"/>
      <c r="C320" s="221"/>
      <c r="D320" s="219"/>
      <c r="E320" s="164" t="s">
        <v>373</v>
      </c>
      <c r="F320" s="78">
        <f>3068468+(359338)+18339+175027</f>
        <v>3621172</v>
      </c>
      <c r="G320" s="96">
        <f>274720+106790</f>
        <v>381510</v>
      </c>
      <c r="H320" s="75">
        <f t="shared" si="8"/>
        <v>4002682</v>
      </c>
    </row>
    <row r="321" spans="1:8" s="121" customFormat="1" ht="21.75" customHeight="1">
      <c r="A321" s="151"/>
      <c r="B321" s="234"/>
      <c r="C321" s="222"/>
      <c r="D321" s="220"/>
      <c r="E321" s="76" t="s">
        <v>372</v>
      </c>
      <c r="F321" s="78">
        <v>57179</v>
      </c>
      <c r="G321" s="96"/>
      <c r="H321" s="75">
        <f t="shared" si="8"/>
        <v>57179</v>
      </c>
    </row>
    <row r="322" spans="1:8" s="121" customFormat="1" ht="31.5">
      <c r="A322" s="115"/>
      <c r="B322" s="115" t="s">
        <v>414</v>
      </c>
      <c r="C322" s="115"/>
      <c r="D322" s="117" t="s">
        <v>290</v>
      </c>
      <c r="E322" s="166"/>
      <c r="F322" s="82">
        <f>F323+F324+F327+F332+F330+F333</f>
        <v>37548</v>
      </c>
      <c r="G322" s="82">
        <f>G323+G324+G327+G332+G330+G331+G333</f>
        <v>16506167</v>
      </c>
      <c r="H322" s="82">
        <f>H323+H324+H327+H332+H330+H331+H333</f>
        <v>16543715</v>
      </c>
    </row>
    <row r="323" spans="1:8" s="121" customFormat="1" ht="56.25" customHeight="1">
      <c r="A323" s="148"/>
      <c r="B323" s="148" t="s">
        <v>426</v>
      </c>
      <c r="C323" s="148" t="s">
        <v>136</v>
      </c>
      <c r="D323" s="160" t="s">
        <v>427</v>
      </c>
      <c r="E323" s="163" t="s">
        <v>202</v>
      </c>
      <c r="F323" s="78"/>
      <c r="G323" s="78">
        <v>158701</v>
      </c>
      <c r="H323" s="78">
        <f t="shared" si="8"/>
        <v>158701</v>
      </c>
    </row>
    <row r="324" spans="1:8" s="121" customFormat="1" ht="66" customHeight="1">
      <c r="A324" s="148"/>
      <c r="B324" s="232" t="s">
        <v>316</v>
      </c>
      <c r="C324" s="225" t="s">
        <v>138</v>
      </c>
      <c r="D324" s="218" t="s">
        <v>317</v>
      </c>
      <c r="E324" s="163" t="s">
        <v>216</v>
      </c>
      <c r="F324" s="80"/>
      <c r="G324" s="96">
        <f>G325+G326</f>
        <v>7178541</v>
      </c>
      <c r="H324" s="78">
        <f t="shared" si="8"/>
        <v>7178541</v>
      </c>
    </row>
    <row r="325" spans="1:8" s="121" customFormat="1" ht="15.75">
      <c r="A325" s="149"/>
      <c r="B325" s="233"/>
      <c r="C325" s="221"/>
      <c r="D325" s="219"/>
      <c r="E325" s="164" t="s">
        <v>373</v>
      </c>
      <c r="F325" s="80"/>
      <c r="G325" s="96">
        <v>7177717</v>
      </c>
      <c r="H325" s="78">
        <f t="shared" si="8"/>
        <v>7177717</v>
      </c>
    </row>
    <row r="326" spans="1:8" s="121" customFormat="1" ht="15.75">
      <c r="A326" s="149"/>
      <c r="B326" s="233"/>
      <c r="C326" s="222"/>
      <c r="D326" s="219"/>
      <c r="E326" s="76" t="s">
        <v>372</v>
      </c>
      <c r="F326" s="80"/>
      <c r="G326" s="96">
        <v>824</v>
      </c>
      <c r="H326" s="78">
        <f t="shared" si="8"/>
        <v>824</v>
      </c>
    </row>
    <row r="327" spans="1:8" s="121" customFormat="1" ht="68.25" customHeight="1">
      <c r="A327" s="148"/>
      <c r="B327" s="232" t="s">
        <v>331</v>
      </c>
      <c r="C327" s="225" t="s">
        <v>172</v>
      </c>
      <c r="D327" s="218" t="s">
        <v>332</v>
      </c>
      <c r="E327" s="163" t="s">
        <v>217</v>
      </c>
      <c r="F327" s="80"/>
      <c r="G327" s="75">
        <f>G328+G329</f>
        <v>9137740</v>
      </c>
      <c r="H327" s="78">
        <f t="shared" si="8"/>
        <v>9137740</v>
      </c>
    </row>
    <row r="328" spans="1:8" s="121" customFormat="1" ht="20.25" customHeight="1">
      <c r="A328" s="149"/>
      <c r="B328" s="233"/>
      <c r="C328" s="221"/>
      <c r="D328" s="219"/>
      <c r="E328" s="164" t="s">
        <v>373</v>
      </c>
      <c r="F328" s="80"/>
      <c r="G328" s="75">
        <v>9000057</v>
      </c>
      <c r="H328" s="78">
        <f t="shared" si="8"/>
        <v>9000057</v>
      </c>
    </row>
    <row r="329" spans="1:8" s="121" customFormat="1" ht="30" customHeight="1">
      <c r="A329" s="151"/>
      <c r="B329" s="234"/>
      <c r="C329" s="222"/>
      <c r="D329" s="220"/>
      <c r="E329" s="76" t="s">
        <v>372</v>
      </c>
      <c r="F329" s="80"/>
      <c r="G329" s="75">
        <v>137683</v>
      </c>
      <c r="H329" s="78">
        <f t="shared" si="8"/>
        <v>137683</v>
      </c>
    </row>
    <row r="330" spans="1:8" s="145" customFormat="1" ht="66" customHeight="1">
      <c r="A330" s="151"/>
      <c r="B330" s="156" t="s">
        <v>330</v>
      </c>
      <c r="C330" s="151" t="s">
        <v>138</v>
      </c>
      <c r="D330" s="162" t="s">
        <v>488</v>
      </c>
      <c r="E330" s="163" t="s">
        <v>208</v>
      </c>
      <c r="F330" s="80"/>
      <c r="G330" s="75">
        <v>3780</v>
      </c>
      <c r="H330" s="78">
        <f t="shared" si="8"/>
        <v>3780</v>
      </c>
    </row>
    <row r="331" spans="1:8" s="145" customFormat="1" ht="66" customHeight="1">
      <c r="A331" s="149"/>
      <c r="B331" s="155" t="s">
        <v>303</v>
      </c>
      <c r="C331" s="149" t="s">
        <v>139</v>
      </c>
      <c r="D331" s="161" t="s">
        <v>485</v>
      </c>
      <c r="E331" s="163" t="s">
        <v>180</v>
      </c>
      <c r="F331" s="80"/>
      <c r="G331" s="75">
        <v>27405</v>
      </c>
      <c r="H331" s="78">
        <f t="shared" si="8"/>
        <v>27405</v>
      </c>
    </row>
    <row r="332" spans="1:8" s="121" customFormat="1" ht="53.25" customHeight="1">
      <c r="A332" s="148"/>
      <c r="B332" s="232" t="s">
        <v>309</v>
      </c>
      <c r="C332" s="228" t="s">
        <v>139</v>
      </c>
      <c r="D332" s="218" t="s">
        <v>324</v>
      </c>
      <c r="E332" s="163" t="s">
        <v>201</v>
      </c>
      <c r="F332" s="78">
        <v>6090</v>
      </c>
      <c r="G332" s="75"/>
      <c r="H332" s="78">
        <f t="shared" si="8"/>
        <v>6090</v>
      </c>
    </row>
    <row r="333" spans="1:8" s="121" customFormat="1" ht="86.25" customHeight="1">
      <c r="A333" s="151"/>
      <c r="B333" s="234"/>
      <c r="C333" s="230"/>
      <c r="D333" s="220"/>
      <c r="E333" s="163" t="s">
        <v>218</v>
      </c>
      <c r="F333" s="78">
        <v>31458</v>
      </c>
      <c r="G333" s="75"/>
      <c r="H333" s="78">
        <f t="shared" si="8"/>
        <v>31458</v>
      </c>
    </row>
    <row r="334" spans="1:8" s="121" customFormat="1" ht="46.5" customHeight="1">
      <c r="A334" s="115"/>
      <c r="B334" s="115" t="s">
        <v>413</v>
      </c>
      <c r="C334" s="115"/>
      <c r="D334" s="117" t="s">
        <v>269</v>
      </c>
      <c r="E334" s="166"/>
      <c r="F334" s="82">
        <f>F335+F336+F338+F337</f>
        <v>40050</v>
      </c>
      <c r="G334" s="82">
        <f>G335+G336+G338+G337</f>
        <v>112250</v>
      </c>
      <c r="H334" s="87">
        <f t="shared" si="8"/>
        <v>152300</v>
      </c>
    </row>
    <row r="335" spans="1:8" s="121" customFormat="1" ht="46.5" customHeight="1">
      <c r="A335" s="225"/>
      <c r="B335" s="225" t="s">
        <v>426</v>
      </c>
      <c r="C335" s="225" t="s">
        <v>136</v>
      </c>
      <c r="D335" s="218" t="s">
        <v>427</v>
      </c>
      <c r="E335" s="163" t="s">
        <v>202</v>
      </c>
      <c r="F335" s="77"/>
      <c r="G335" s="75">
        <f>112250</f>
        <v>112250</v>
      </c>
      <c r="H335" s="75">
        <f t="shared" si="8"/>
        <v>112250</v>
      </c>
    </row>
    <row r="336" spans="1:8" s="121" customFormat="1" ht="63.75" customHeight="1" hidden="1">
      <c r="A336" s="221"/>
      <c r="B336" s="221"/>
      <c r="C336" s="222"/>
      <c r="D336" s="219"/>
      <c r="E336" s="160" t="s">
        <v>123</v>
      </c>
      <c r="F336" s="143">
        <f>478-478</f>
        <v>0</v>
      </c>
      <c r="H336" s="120">
        <f t="shared" si="8"/>
        <v>0</v>
      </c>
    </row>
    <row r="337" spans="1:8" s="121" customFormat="1" ht="63.75" customHeight="1" hidden="1">
      <c r="A337" s="150"/>
      <c r="B337" s="150"/>
      <c r="C337" s="150"/>
      <c r="D337" s="166"/>
      <c r="E337" s="95"/>
      <c r="F337" s="78"/>
      <c r="G337" s="78"/>
      <c r="H337" s="120">
        <f t="shared" si="8"/>
        <v>0</v>
      </c>
    </row>
    <row r="338" spans="1:8" s="121" customFormat="1" ht="40.5" customHeight="1">
      <c r="A338" s="157"/>
      <c r="B338" s="228" t="s">
        <v>309</v>
      </c>
      <c r="C338" s="225" t="s">
        <v>139</v>
      </c>
      <c r="D338" s="218" t="s">
        <v>324</v>
      </c>
      <c r="E338" s="163" t="s">
        <v>378</v>
      </c>
      <c r="F338" s="77">
        <f>F339+F340</f>
        <v>40050</v>
      </c>
      <c r="G338" s="77"/>
      <c r="H338" s="75">
        <f>F338+G338</f>
        <v>40050</v>
      </c>
    </row>
    <row r="339" spans="1:8" s="121" customFormat="1" ht="25.5" customHeight="1">
      <c r="A339" s="158"/>
      <c r="B339" s="229"/>
      <c r="C339" s="221"/>
      <c r="D339" s="219"/>
      <c r="E339" s="164" t="s">
        <v>373</v>
      </c>
      <c r="F339" s="77">
        <v>26700</v>
      </c>
      <c r="H339" s="75">
        <f>F339+G339</f>
        <v>26700</v>
      </c>
    </row>
    <row r="340" spans="1:9" s="121" customFormat="1" ht="21" customHeight="1">
      <c r="A340" s="159"/>
      <c r="B340" s="230"/>
      <c r="C340" s="222"/>
      <c r="D340" s="220"/>
      <c r="E340" s="104" t="s">
        <v>372</v>
      </c>
      <c r="F340" s="78">
        <v>13350</v>
      </c>
      <c r="G340" s="91"/>
      <c r="H340" s="75">
        <f>F340+G340</f>
        <v>13350</v>
      </c>
      <c r="I340" s="131"/>
    </row>
    <row r="341" spans="1:8" s="121" customFormat="1" ht="47.25" customHeight="1">
      <c r="A341" s="115"/>
      <c r="B341" s="115" t="s">
        <v>454</v>
      </c>
      <c r="C341" s="115"/>
      <c r="D341" s="117" t="s">
        <v>269</v>
      </c>
      <c r="E341" s="166"/>
      <c r="F341" s="82">
        <f>F342+F343</f>
        <v>930200</v>
      </c>
      <c r="G341" s="82">
        <f>G342+G343</f>
        <v>12886944</v>
      </c>
      <c r="H341" s="82">
        <f t="shared" si="8"/>
        <v>13817144</v>
      </c>
    </row>
    <row r="342" spans="1:8" s="121" customFormat="1" ht="66" customHeight="1">
      <c r="A342" s="150"/>
      <c r="B342" s="150" t="s">
        <v>333</v>
      </c>
      <c r="C342" s="150" t="s">
        <v>173</v>
      </c>
      <c r="D342" s="166" t="s">
        <v>456</v>
      </c>
      <c r="E342" s="95" t="s">
        <v>194</v>
      </c>
      <c r="F342" s="78">
        <f>214600+715600</f>
        <v>930200</v>
      </c>
      <c r="G342" s="78">
        <f>4785400+1000000</f>
        <v>5785400</v>
      </c>
      <c r="H342" s="78">
        <f>G342+F342</f>
        <v>6715600</v>
      </c>
    </row>
    <row r="343" spans="1:8" s="121" customFormat="1" ht="51.75" customHeight="1">
      <c r="A343" s="214"/>
      <c r="B343" s="214">
        <v>250380</v>
      </c>
      <c r="C343" s="150" t="s">
        <v>173</v>
      </c>
      <c r="D343" s="218" t="s">
        <v>555</v>
      </c>
      <c r="E343" s="166" t="s">
        <v>189</v>
      </c>
      <c r="F343" s="80"/>
      <c r="G343" s="75">
        <v>7101544</v>
      </c>
      <c r="H343" s="75">
        <f>G343</f>
        <v>7101544</v>
      </c>
    </row>
    <row r="344" spans="1:8" s="121" customFormat="1" ht="51.75" customHeight="1" hidden="1">
      <c r="A344" s="215"/>
      <c r="B344" s="215"/>
      <c r="C344" s="153"/>
      <c r="D344" s="220"/>
      <c r="E344" s="166"/>
      <c r="F344" s="80"/>
      <c r="G344" s="75">
        <v>0</v>
      </c>
      <c r="H344" s="75">
        <f>G344</f>
        <v>0</v>
      </c>
    </row>
    <row r="345" spans="1:8" s="121" customFormat="1" ht="31.5">
      <c r="A345" s="105"/>
      <c r="B345" s="105" t="s">
        <v>395</v>
      </c>
      <c r="C345" s="105"/>
      <c r="D345" s="106" t="s">
        <v>272</v>
      </c>
      <c r="E345" s="166"/>
      <c r="F345" s="82">
        <f>F346+F347+F348+F351+F352+F353+F354+F355+F356+F357+F358+F360+F359</f>
        <v>1377081</v>
      </c>
      <c r="G345" s="82">
        <f>G346+G347+G348+G351+G352+G353+G354+G355+G356+G357+G358+G360+G359</f>
        <v>128720</v>
      </c>
      <c r="H345" s="82">
        <f>H346+H347+H348+H351+H352+H353+H354+H355+H356+H357+H358+H360+H359</f>
        <v>1505801</v>
      </c>
    </row>
    <row r="346" spans="1:8" s="121" customFormat="1" ht="53.25" customHeight="1">
      <c r="A346" s="148"/>
      <c r="B346" s="148" t="s">
        <v>426</v>
      </c>
      <c r="C346" s="148" t="s">
        <v>136</v>
      </c>
      <c r="D346" s="160" t="s">
        <v>427</v>
      </c>
      <c r="E346" s="163" t="s">
        <v>203</v>
      </c>
      <c r="F346" s="78"/>
      <c r="G346" s="75">
        <f>50756+(77964)</f>
        <v>128720</v>
      </c>
      <c r="H346" s="75">
        <f>F346+G346</f>
        <v>128720</v>
      </c>
    </row>
    <row r="347" spans="1:8" s="121" customFormat="1" ht="72" customHeight="1">
      <c r="A347" s="148"/>
      <c r="B347" s="154" t="s">
        <v>318</v>
      </c>
      <c r="C347" s="157" t="s">
        <v>158</v>
      </c>
      <c r="D347" s="148" t="s">
        <v>325</v>
      </c>
      <c r="E347" s="163" t="s">
        <v>127</v>
      </c>
      <c r="F347" s="78">
        <v>7822</v>
      </c>
      <c r="G347" s="75"/>
      <c r="H347" s="75">
        <f aca="true" t="shared" si="9" ref="H347:H360">F347+G347</f>
        <v>7822</v>
      </c>
    </row>
    <row r="348" spans="1:9" s="121" customFormat="1" ht="52.5" customHeight="1">
      <c r="A348" s="148"/>
      <c r="B348" s="232" t="s">
        <v>326</v>
      </c>
      <c r="C348" s="225" t="s">
        <v>166</v>
      </c>
      <c r="D348" s="160" t="s">
        <v>327</v>
      </c>
      <c r="E348" s="163" t="s">
        <v>189</v>
      </c>
      <c r="F348" s="78">
        <f>F349+F350</f>
        <v>990896</v>
      </c>
      <c r="G348" s="75"/>
      <c r="H348" s="75">
        <f t="shared" si="9"/>
        <v>990896</v>
      </c>
      <c r="I348" s="131"/>
    </row>
    <row r="349" spans="1:9" s="121" customFormat="1" ht="27.75" customHeight="1">
      <c r="A349" s="149"/>
      <c r="B349" s="233"/>
      <c r="C349" s="221"/>
      <c r="D349" s="161"/>
      <c r="E349" s="164" t="s">
        <v>373</v>
      </c>
      <c r="F349" s="78">
        <f>161158+720434+(21000)+19800+26767</f>
        <v>949159</v>
      </c>
      <c r="G349" s="75"/>
      <c r="H349" s="75">
        <f t="shared" si="9"/>
        <v>949159</v>
      </c>
      <c r="I349" s="131"/>
    </row>
    <row r="350" spans="1:9" s="121" customFormat="1" ht="27.75" customHeight="1">
      <c r="A350" s="151"/>
      <c r="B350" s="234"/>
      <c r="C350" s="222"/>
      <c r="D350" s="162"/>
      <c r="E350" s="76" t="s">
        <v>372</v>
      </c>
      <c r="F350" s="78">
        <v>41737</v>
      </c>
      <c r="G350" s="75"/>
      <c r="H350" s="75">
        <f t="shared" si="9"/>
        <v>41737</v>
      </c>
      <c r="I350" s="131"/>
    </row>
    <row r="351" spans="1:9" s="121" customFormat="1" ht="71.25" customHeight="1" hidden="1">
      <c r="A351" s="151"/>
      <c r="B351" s="151" t="s">
        <v>320</v>
      </c>
      <c r="C351" s="151"/>
      <c r="D351" s="162" t="s">
        <v>321</v>
      </c>
      <c r="E351" s="166" t="s">
        <v>240</v>
      </c>
      <c r="F351" s="78"/>
      <c r="G351" s="75"/>
      <c r="H351" s="75">
        <f t="shared" si="9"/>
        <v>0</v>
      </c>
      <c r="I351" s="131"/>
    </row>
    <row r="352" spans="1:8" s="121" customFormat="1" ht="73.5" customHeight="1" hidden="1">
      <c r="A352" s="150"/>
      <c r="B352" s="150" t="s">
        <v>303</v>
      </c>
      <c r="C352" s="148"/>
      <c r="D352" s="166" t="s">
        <v>485</v>
      </c>
      <c r="E352" s="166" t="s">
        <v>467</v>
      </c>
      <c r="F352" s="78"/>
      <c r="G352" s="75"/>
      <c r="H352" s="75">
        <f t="shared" si="9"/>
        <v>0</v>
      </c>
    </row>
    <row r="353" spans="1:9" s="121" customFormat="1" ht="50.25" customHeight="1">
      <c r="A353" s="245"/>
      <c r="B353" s="231" t="s">
        <v>309</v>
      </c>
      <c r="C353" s="225" t="s">
        <v>139</v>
      </c>
      <c r="D353" s="237" t="s">
        <v>324</v>
      </c>
      <c r="E353" s="166" t="s">
        <v>241</v>
      </c>
      <c r="F353" s="78">
        <v>198544</v>
      </c>
      <c r="G353" s="91"/>
      <c r="H353" s="75">
        <f t="shared" si="9"/>
        <v>198544</v>
      </c>
      <c r="I353" s="131"/>
    </row>
    <row r="354" spans="1:8" s="121" customFormat="1" ht="54" customHeight="1" hidden="1">
      <c r="A354" s="245"/>
      <c r="B354" s="231"/>
      <c r="C354" s="221"/>
      <c r="D354" s="237"/>
      <c r="E354" s="166" t="s">
        <v>579</v>
      </c>
      <c r="F354" s="78"/>
      <c r="G354" s="91"/>
      <c r="H354" s="75">
        <f t="shared" si="9"/>
        <v>0</v>
      </c>
    </row>
    <row r="355" spans="1:8" s="121" customFormat="1" ht="52.5" customHeight="1">
      <c r="A355" s="245"/>
      <c r="B355" s="231"/>
      <c r="C355" s="221"/>
      <c r="D355" s="237"/>
      <c r="E355" s="166" t="s">
        <v>134</v>
      </c>
      <c r="F355" s="78">
        <v>99550</v>
      </c>
      <c r="G355" s="91"/>
      <c r="H355" s="75">
        <f t="shared" si="9"/>
        <v>99550</v>
      </c>
    </row>
    <row r="356" spans="1:8" s="121" customFormat="1" ht="71.25" customHeight="1">
      <c r="A356" s="245"/>
      <c r="B356" s="231"/>
      <c r="C356" s="221"/>
      <c r="D356" s="237"/>
      <c r="E356" s="166" t="s">
        <v>195</v>
      </c>
      <c r="F356" s="78">
        <v>67550</v>
      </c>
      <c r="G356" s="91"/>
      <c r="H356" s="75">
        <f t="shared" si="9"/>
        <v>67550</v>
      </c>
    </row>
    <row r="357" spans="1:8" s="121" customFormat="1" ht="71.25" customHeight="1" hidden="1">
      <c r="A357" s="245"/>
      <c r="B357" s="231"/>
      <c r="C357" s="221"/>
      <c r="D357" s="237"/>
      <c r="E357" s="166" t="s">
        <v>352</v>
      </c>
      <c r="F357" s="78"/>
      <c r="G357" s="91"/>
      <c r="H357" s="75">
        <f t="shared" si="9"/>
        <v>0</v>
      </c>
    </row>
    <row r="358" spans="1:8" s="121" customFormat="1" ht="69.75" customHeight="1">
      <c r="A358" s="245"/>
      <c r="B358" s="231"/>
      <c r="C358" s="221"/>
      <c r="D358" s="237"/>
      <c r="E358" s="166" t="s">
        <v>375</v>
      </c>
      <c r="F358" s="78">
        <v>499</v>
      </c>
      <c r="G358" s="91"/>
      <c r="H358" s="75">
        <f t="shared" si="9"/>
        <v>499</v>
      </c>
    </row>
    <row r="359" spans="1:8" s="121" customFormat="1" ht="61.5" customHeight="1">
      <c r="A359" s="245"/>
      <c r="B359" s="231"/>
      <c r="C359" s="221"/>
      <c r="D359" s="237"/>
      <c r="E359" s="166" t="s">
        <v>187</v>
      </c>
      <c r="F359" s="78">
        <v>12220</v>
      </c>
      <c r="G359" s="91"/>
      <c r="H359" s="75">
        <f t="shared" si="9"/>
        <v>12220</v>
      </c>
    </row>
    <row r="360" spans="1:8" s="121" customFormat="1" ht="63.75" customHeight="1" hidden="1">
      <c r="A360" s="245"/>
      <c r="B360" s="231"/>
      <c r="C360" s="222"/>
      <c r="D360" s="237"/>
      <c r="E360" s="166" t="s">
        <v>123</v>
      </c>
      <c r="F360" s="140">
        <f>478-478</f>
        <v>0</v>
      </c>
      <c r="G360" s="91"/>
      <c r="H360" s="75">
        <f t="shared" si="9"/>
        <v>0</v>
      </c>
    </row>
    <row r="361" spans="1:8" s="121" customFormat="1" ht="31.5">
      <c r="A361" s="105"/>
      <c r="B361" s="105" t="s">
        <v>396</v>
      </c>
      <c r="C361" s="105"/>
      <c r="D361" s="106" t="s">
        <v>275</v>
      </c>
      <c r="E361" s="166"/>
      <c r="F361" s="82">
        <f>F362+F363+F366+F367+F368+F369+F370+F373+F374+F375+F372</f>
        <v>654076</v>
      </c>
      <c r="G361" s="82">
        <f>G362+G363+G366+G367+G368+G369+G370+G373+G374+G375+G372</f>
        <v>546351</v>
      </c>
      <c r="H361" s="82">
        <f>H362+H363+H366+H367+H368+H369+H370+H373+H374+H375+H372</f>
        <v>1200427</v>
      </c>
    </row>
    <row r="362" spans="1:8" s="145" customFormat="1" ht="45.75" customHeight="1">
      <c r="A362" s="148"/>
      <c r="B362" s="148" t="s">
        <v>426</v>
      </c>
      <c r="C362" s="148" t="s">
        <v>136</v>
      </c>
      <c r="D362" s="160" t="s">
        <v>427</v>
      </c>
      <c r="E362" s="163" t="s">
        <v>203</v>
      </c>
      <c r="F362" s="78"/>
      <c r="G362" s="75">
        <f>39000+7800</f>
        <v>46800</v>
      </c>
      <c r="H362" s="75">
        <f>F362+G362</f>
        <v>46800</v>
      </c>
    </row>
    <row r="363" spans="1:9" s="121" customFormat="1" ht="51" customHeight="1">
      <c r="A363" s="148"/>
      <c r="B363" s="232" t="s">
        <v>326</v>
      </c>
      <c r="C363" s="225" t="s">
        <v>166</v>
      </c>
      <c r="D363" s="160" t="s">
        <v>327</v>
      </c>
      <c r="E363" s="163" t="s">
        <v>189</v>
      </c>
      <c r="F363" s="78">
        <f>F364+F365</f>
        <v>524645</v>
      </c>
      <c r="G363" s="78">
        <f>G364+G365</f>
        <v>52605</v>
      </c>
      <c r="H363" s="75">
        <f aca="true" t="shared" si="10" ref="H363:H375">F363+G363</f>
        <v>577250</v>
      </c>
      <c r="I363" s="131"/>
    </row>
    <row r="364" spans="1:9" s="121" customFormat="1" ht="27" customHeight="1">
      <c r="A364" s="149"/>
      <c r="B364" s="233"/>
      <c r="C364" s="221"/>
      <c r="D364" s="161"/>
      <c r="E364" s="164" t="s">
        <v>373</v>
      </c>
      <c r="F364" s="78">
        <f>7714+465315+23950+(25946)</f>
        <v>522925</v>
      </c>
      <c r="G364" s="75">
        <v>52605</v>
      </c>
      <c r="H364" s="75">
        <f t="shared" si="10"/>
        <v>575530</v>
      </c>
      <c r="I364" s="131"/>
    </row>
    <row r="365" spans="1:9" s="121" customFormat="1" ht="26.25" customHeight="1">
      <c r="A365" s="151"/>
      <c r="B365" s="234"/>
      <c r="C365" s="222"/>
      <c r="D365" s="162"/>
      <c r="E365" s="76" t="s">
        <v>372</v>
      </c>
      <c r="F365" s="78">
        <v>1720</v>
      </c>
      <c r="G365" s="75"/>
      <c r="H365" s="75">
        <f t="shared" si="10"/>
        <v>1720</v>
      </c>
      <c r="I365" s="131"/>
    </row>
    <row r="366" spans="1:8" s="121" customFormat="1" ht="63" customHeight="1" hidden="1">
      <c r="A366" s="151"/>
      <c r="B366" s="151" t="s">
        <v>320</v>
      </c>
      <c r="C366" s="151"/>
      <c r="D366" s="162" t="s">
        <v>321</v>
      </c>
      <c r="E366" s="166" t="s">
        <v>240</v>
      </c>
      <c r="F366" s="78"/>
      <c r="G366" s="88"/>
      <c r="H366" s="75">
        <f t="shared" si="10"/>
        <v>0</v>
      </c>
    </row>
    <row r="367" spans="1:8" s="121" customFormat="1" ht="73.5" customHeight="1">
      <c r="A367" s="150"/>
      <c r="B367" s="150" t="s">
        <v>303</v>
      </c>
      <c r="C367" s="148" t="s">
        <v>139</v>
      </c>
      <c r="D367" s="166" t="s">
        <v>485</v>
      </c>
      <c r="E367" s="166" t="s">
        <v>196</v>
      </c>
      <c r="F367" s="78"/>
      <c r="G367" s="75">
        <v>8680</v>
      </c>
      <c r="H367" s="75">
        <f t="shared" si="10"/>
        <v>8680</v>
      </c>
    </row>
    <row r="368" spans="1:9" s="121" customFormat="1" ht="47.25">
      <c r="A368" s="245"/>
      <c r="B368" s="231" t="s">
        <v>309</v>
      </c>
      <c r="C368" s="225" t="s">
        <v>139</v>
      </c>
      <c r="D368" s="237" t="s">
        <v>324</v>
      </c>
      <c r="E368" s="166" t="s">
        <v>243</v>
      </c>
      <c r="F368" s="78">
        <v>14160</v>
      </c>
      <c r="G368" s="91"/>
      <c r="H368" s="75">
        <f t="shared" si="10"/>
        <v>14160</v>
      </c>
      <c r="I368" s="131"/>
    </row>
    <row r="369" spans="1:8" s="121" customFormat="1" ht="51.75" customHeight="1">
      <c r="A369" s="245"/>
      <c r="B369" s="231"/>
      <c r="C369" s="221"/>
      <c r="D369" s="237"/>
      <c r="E369" s="166" t="s">
        <v>134</v>
      </c>
      <c r="F369" s="78">
        <v>31950</v>
      </c>
      <c r="G369" s="91"/>
      <c r="H369" s="75">
        <f t="shared" si="10"/>
        <v>31950</v>
      </c>
    </row>
    <row r="370" spans="1:8" s="121" customFormat="1" ht="66.75" customHeight="1">
      <c r="A370" s="245"/>
      <c r="B370" s="231"/>
      <c r="C370" s="221"/>
      <c r="D370" s="237"/>
      <c r="E370" s="166" t="s">
        <v>195</v>
      </c>
      <c r="F370" s="78">
        <v>68230</v>
      </c>
      <c r="G370" s="91"/>
      <c r="H370" s="75">
        <f t="shared" si="10"/>
        <v>68230</v>
      </c>
    </row>
    <row r="371" spans="1:8" s="121" customFormat="1" ht="66.75" customHeight="1" hidden="1">
      <c r="A371" s="245"/>
      <c r="B371" s="231"/>
      <c r="C371" s="221"/>
      <c r="D371" s="237"/>
      <c r="E371" s="166" t="s">
        <v>578</v>
      </c>
      <c r="F371" s="78"/>
      <c r="G371" s="91"/>
      <c r="H371" s="75">
        <f t="shared" si="10"/>
        <v>0</v>
      </c>
    </row>
    <row r="372" spans="1:8" s="121" customFormat="1" ht="61.5" customHeight="1">
      <c r="A372" s="245"/>
      <c r="B372" s="231"/>
      <c r="C372" s="221"/>
      <c r="D372" s="237"/>
      <c r="E372" s="166" t="s">
        <v>187</v>
      </c>
      <c r="F372" s="78">
        <v>13470</v>
      </c>
      <c r="G372" s="91"/>
      <c r="H372" s="75">
        <f t="shared" si="10"/>
        <v>13470</v>
      </c>
    </row>
    <row r="373" spans="1:8" s="121" customFormat="1" ht="66.75" customHeight="1">
      <c r="A373" s="245"/>
      <c r="B373" s="231"/>
      <c r="C373" s="222"/>
      <c r="D373" s="237"/>
      <c r="E373" s="166" t="s">
        <v>377</v>
      </c>
      <c r="F373" s="78">
        <v>1621</v>
      </c>
      <c r="G373" s="91"/>
      <c r="H373" s="75">
        <f t="shared" si="10"/>
        <v>1621</v>
      </c>
    </row>
    <row r="374" spans="1:8" s="121" customFormat="1" ht="47.25" customHeight="1" hidden="1">
      <c r="A374" s="245"/>
      <c r="B374" s="231"/>
      <c r="C374" s="151"/>
      <c r="D374" s="237"/>
      <c r="E374" s="166" t="s">
        <v>246</v>
      </c>
      <c r="F374" s="78"/>
      <c r="G374" s="91"/>
      <c r="H374" s="75">
        <f t="shared" si="10"/>
        <v>0</v>
      </c>
    </row>
    <row r="375" spans="1:8" s="121" customFormat="1" ht="53.25" customHeight="1">
      <c r="A375" s="150"/>
      <c r="B375" s="168" t="s">
        <v>316</v>
      </c>
      <c r="C375" s="151" t="s">
        <v>138</v>
      </c>
      <c r="D375" s="163" t="s">
        <v>317</v>
      </c>
      <c r="E375" s="166" t="s">
        <v>189</v>
      </c>
      <c r="F375" s="78"/>
      <c r="G375" s="91">
        <f>(438266)</f>
        <v>438266</v>
      </c>
      <c r="H375" s="75">
        <f t="shared" si="10"/>
        <v>438266</v>
      </c>
    </row>
    <row r="376" spans="1:8" s="121" customFormat="1" ht="31.5">
      <c r="A376" s="105"/>
      <c r="B376" s="105" t="s">
        <v>397</v>
      </c>
      <c r="C376" s="105"/>
      <c r="D376" s="106" t="s">
        <v>276</v>
      </c>
      <c r="E376" s="166"/>
      <c r="F376" s="82">
        <f>F377+F378+F381+F384+F385+F386+F387+F388+F390+F391+F392+F393+F389</f>
        <v>1404412</v>
      </c>
      <c r="G376" s="82">
        <f>G377+G378+G381+G384+G385+G386+G387+G388+G390+G391+G392+G393+G389</f>
        <v>5957760</v>
      </c>
      <c r="H376" s="82">
        <f>H377+H378+H381+H384+H385+H386+H387+H388+H390+H391+H392+H393+H389</f>
        <v>7362172</v>
      </c>
    </row>
    <row r="377" spans="1:8" s="121" customFormat="1" ht="49.5" customHeight="1">
      <c r="A377" s="148"/>
      <c r="B377" s="148" t="s">
        <v>426</v>
      </c>
      <c r="C377" s="148" t="s">
        <v>136</v>
      </c>
      <c r="D377" s="160" t="s">
        <v>427</v>
      </c>
      <c r="E377" s="163" t="s">
        <v>190</v>
      </c>
      <c r="F377" s="78"/>
      <c r="G377" s="75">
        <f>106297+39000+48407+63904</f>
        <v>257608</v>
      </c>
      <c r="H377" s="75">
        <f>F377+G377</f>
        <v>257608</v>
      </c>
    </row>
    <row r="378" spans="1:9" s="121" customFormat="1" ht="52.5" customHeight="1">
      <c r="A378" s="148"/>
      <c r="B378" s="232" t="s">
        <v>326</v>
      </c>
      <c r="C378" s="225" t="s">
        <v>166</v>
      </c>
      <c r="D378" s="218" t="s">
        <v>327</v>
      </c>
      <c r="E378" s="163" t="s">
        <v>189</v>
      </c>
      <c r="F378" s="78">
        <f>F379+F380</f>
        <v>1101502</v>
      </c>
      <c r="G378" s="78">
        <f>G379+G380</f>
        <v>158034</v>
      </c>
      <c r="H378" s="75">
        <f aca="true" t="shared" si="11" ref="H378:H393">F378+G378</f>
        <v>1259536</v>
      </c>
      <c r="I378" s="131"/>
    </row>
    <row r="379" spans="1:9" s="121" customFormat="1" ht="26.25" customHeight="1">
      <c r="A379" s="149"/>
      <c r="B379" s="233"/>
      <c r="C379" s="221"/>
      <c r="D379" s="219"/>
      <c r="E379" s="164" t="s">
        <v>373</v>
      </c>
      <c r="F379" s="78">
        <f>13736+746900</f>
        <v>760636</v>
      </c>
      <c r="G379" s="75">
        <v>158034</v>
      </c>
      <c r="H379" s="75">
        <f t="shared" si="11"/>
        <v>918670</v>
      </c>
      <c r="I379" s="131"/>
    </row>
    <row r="380" spans="1:9" s="121" customFormat="1" ht="25.5" customHeight="1">
      <c r="A380" s="149"/>
      <c r="B380" s="233"/>
      <c r="C380" s="222"/>
      <c r="D380" s="219"/>
      <c r="E380" s="76" t="s">
        <v>372</v>
      </c>
      <c r="F380" s="78">
        <v>340866</v>
      </c>
      <c r="G380" s="75"/>
      <c r="H380" s="75">
        <f t="shared" si="11"/>
        <v>340866</v>
      </c>
      <c r="I380" s="131"/>
    </row>
    <row r="381" spans="1:8" s="121" customFormat="1" ht="47.25">
      <c r="A381" s="148"/>
      <c r="B381" s="232" t="s">
        <v>316</v>
      </c>
      <c r="C381" s="225" t="s">
        <v>138</v>
      </c>
      <c r="D381" s="218" t="s">
        <v>317</v>
      </c>
      <c r="E381" s="163" t="s">
        <v>189</v>
      </c>
      <c r="F381" s="78"/>
      <c r="G381" s="78">
        <f>G382+G383</f>
        <v>5542118</v>
      </c>
      <c r="H381" s="75">
        <f t="shared" si="11"/>
        <v>5542118</v>
      </c>
    </row>
    <row r="382" spans="1:8" s="121" customFormat="1" ht="15.75">
      <c r="A382" s="149"/>
      <c r="B382" s="233"/>
      <c r="C382" s="221"/>
      <c r="D382" s="219"/>
      <c r="E382" s="164" t="s">
        <v>373</v>
      </c>
      <c r="F382" s="78"/>
      <c r="G382" s="75">
        <f>4306598+38550+1057910+21755-42413</f>
        <v>5382400</v>
      </c>
      <c r="H382" s="75">
        <f t="shared" si="11"/>
        <v>5382400</v>
      </c>
    </row>
    <row r="383" spans="1:8" s="121" customFormat="1" ht="15.75">
      <c r="A383" s="151"/>
      <c r="B383" s="234"/>
      <c r="C383" s="222"/>
      <c r="D383" s="220"/>
      <c r="E383" s="76" t="s">
        <v>372</v>
      </c>
      <c r="F383" s="78"/>
      <c r="G383" s="75">
        <v>159718</v>
      </c>
      <c r="H383" s="75">
        <f t="shared" si="11"/>
        <v>159718</v>
      </c>
    </row>
    <row r="384" spans="1:8" s="121" customFormat="1" ht="63" customHeight="1" hidden="1">
      <c r="A384" s="151"/>
      <c r="B384" s="151" t="s">
        <v>320</v>
      </c>
      <c r="C384" s="151"/>
      <c r="D384" s="162" t="s">
        <v>321</v>
      </c>
      <c r="E384" s="166" t="s">
        <v>240</v>
      </c>
      <c r="F384" s="78"/>
      <c r="G384" s="75"/>
      <c r="H384" s="75">
        <f t="shared" si="11"/>
        <v>0</v>
      </c>
    </row>
    <row r="385" spans="1:8" s="121" customFormat="1" ht="99.75" customHeight="1" hidden="1">
      <c r="A385" s="150"/>
      <c r="B385" s="150" t="s">
        <v>303</v>
      </c>
      <c r="C385" s="148"/>
      <c r="D385" s="166" t="s">
        <v>485</v>
      </c>
      <c r="E385" s="166" t="s">
        <v>467</v>
      </c>
      <c r="F385" s="78"/>
      <c r="G385" s="75"/>
      <c r="H385" s="75">
        <f t="shared" si="11"/>
        <v>0</v>
      </c>
    </row>
    <row r="386" spans="1:9" s="121" customFormat="1" ht="54" customHeight="1">
      <c r="A386" s="245"/>
      <c r="B386" s="231" t="s">
        <v>309</v>
      </c>
      <c r="C386" s="225" t="s">
        <v>139</v>
      </c>
      <c r="D386" s="237" t="s">
        <v>324</v>
      </c>
      <c r="E386" s="166" t="s">
        <v>243</v>
      </c>
      <c r="F386" s="78">
        <v>141782</v>
      </c>
      <c r="G386" s="91"/>
      <c r="H386" s="75">
        <f t="shared" si="11"/>
        <v>141782</v>
      </c>
      <c r="I386" s="131"/>
    </row>
    <row r="387" spans="1:8" s="121" customFormat="1" ht="54" customHeight="1" hidden="1">
      <c r="A387" s="245"/>
      <c r="B387" s="231"/>
      <c r="C387" s="221"/>
      <c r="D387" s="237"/>
      <c r="E387" s="166" t="s">
        <v>579</v>
      </c>
      <c r="F387" s="78"/>
      <c r="G387" s="91"/>
      <c r="H387" s="75">
        <f t="shared" si="11"/>
        <v>0</v>
      </c>
    </row>
    <row r="388" spans="1:8" s="121" customFormat="1" ht="53.25" customHeight="1">
      <c r="A388" s="245"/>
      <c r="B388" s="231"/>
      <c r="C388" s="221"/>
      <c r="D388" s="237"/>
      <c r="E388" s="166" t="s">
        <v>134</v>
      </c>
      <c r="F388" s="78">
        <v>43889</v>
      </c>
      <c r="G388" s="91"/>
      <c r="H388" s="75">
        <f t="shared" si="11"/>
        <v>43889</v>
      </c>
    </row>
    <row r="389" spans="1:8" s="121" customFormat="1" ht="67.5" customHeight="1">
      <c r="A389" s="245"/>
      <c r="B389" s="231"/>
      <c r="C389" s="221"/>
      <c r="D389" s="237"/>
      <c r="E389" s="166" t="s">
        <v>187</v>
      </c>
      <c r="F389" s="78">
        <v>70277</v>
      </c>
      <c r="G389" s="91"/>
      <c r="H389" s="75">
        <f t="shared" si="11"/>
        <v>70277</v>
      </c>
    </row>
    <row r="390" spans="1:8" s="121" customFormat="1" ht="63">
      <c r="A390" s="245"/>
      <c r="B390" s="231"/>
      <c r="C390" s="221"/>
      <c r="D390" s="237"/>
      <c r="E390" s="166" t="s">
        <v>195</v>
      </c>
      <c r="F390" s="78">
        <v>46962</v>
      </c>
      <c r="G390" s="91"/>
      <c r="H390" s="75">
        <f t="shared" si="11"/>
        <v>46962</v>
      </c>
    </row>
    <row r="391" spans="1:8" s="121" customFormat="1" ht="47.25" customHeight="1" hidden="1">
      <c r="A391" s="245"/>
      <c r="B391" s="231"/>
      <c r="C391" s="149"/>
      <c r="D391" s="237"/>
      <c r="E391" s="166" t="s">
        <v>246</v>
      </c>
      <c r="F391" s="78"/>
      <c r="G391" s="91"/>
      <c r="H391" s="75">
        <f t="shared" si="11"/>
        <v>0</v>
      </c>
    </row>
    <row r="392" spans="1:8" s="121" customFormat="1" ht="47.25" customHeight="1" hidden="1">
      <c r="A392" s="245"/>
      <c r="B392" s="231"/>
      <c r="C392" s="149"/>
      <c r="D392" s="237"/>
      <c r="E392" s="166" t="s">
        <v>352</v>
      </c>
      <c r="F392" s="78"/>
      <c r="G392" s="91"/>
      <c r="H392" s="75">
        <f t="shared" si="11"/>
        <v>0</v>
      </c>
    </row>
    <row r="393" spans="1:8" s="121" customFormat="1" ht="63" customHeight="1" hidden="1">
      <c r="A393" s="245"/>
      <c r="B393" s="231"/>
      <c r="C393" s="151"/>
      <c r="D393" s="237"/>
      <c r="E393" s="166" t="s">
        <v>382</v>
      </c>
      <c r="F393" s="78"/>
      <c r="G393" s="91"/>
      <c r="H393" s="75">
        <f t="shared" si="11"/>
        <v>0</v>
      </c>
    </row>
    <row r="394" spans="1:8" s="121" customFormat="1" ht="31.5">
      <c r="A394" s="105"/>
      <c r="B394" s="105" t="s">
        <v>398</v>
      </c>
      <c r="C394" s="105"/>
      <c r="D394" s="106" t="s">
        <v>277</v>
      </c>
      <c r="E394" s="166"/>
      <c r="F394" s="82">
        <f>F395+F398+F402+F403+F404+F405+F406+F407+F408+F410+F411+F412+F401+F409</f>
        <v>1259663</v>
      </c>
      <c r="G394" s="82">
        <f>G395+G398+G402+G403+G404+G405+G406+G407+G408+G410+G411+G412+G401+G409</f>
        <v>121894</v>
      </c>
      <c r="H394" s="82">
        <f>H395+H398+H402+H403+H404+H405+H406+H407+H408+H410+H411+H412+H401+H409</f>
        <v>1381557</v>
      </c>
    </row>
    <row r="395" spans="1:8" s="121" customFormat="1" ht="47.25" customHeight="1">
      <c r="A395" s="150"/>
      <c r="B395" s="148" t="s">
        <v>426</v>
      </c>
      <c r="C395" s="148" t="s">
        <v>136</v>
      </c>
      <c r="D395" s="160" t="s">
        <v>427</v>
      </c>
      <c r="E395" s="163" t="s">
        <v>190</v>
      </c>
      <c r="F395" s="78"/>
      <c r="G395" s="75">
        <f>G396+G397</f>
        <v>91894</v>
      </c>
      <c r="H395" s="75">
        <f>F395+G395</f>
        <v>91894</v>
      </c>
    </row>
    <row r="396" spans="1:8" s="121" customFormat="1" ht="25.5" customHeight="1">
      <c r="A396" s="148"/>
      <c r="B396" s="148"/>
      <c r="C396" s="148"/>
      <c r="D396" s="160"/>
      <c r="E396" s="164" t="s">
        <v>373</v>
      </c>
      <c r="F396" s="78"/>
      <c r="G396" s="75">
        <f>55313+(39000)-3960</f>
        <v>90353</v>
      </c>
      <c r="H396" s="75">
        <f>G396+F396</f>
        <v>90353</v>
      </c>
    </row>
    <row r="397" spans="1:8" s="121" customFormat="1" ht="27" customHeight="1">
      <c r="A397" s="148"/>
      <c r="B397" s="148"/>
      <c r="C397" s="148"/>
      <c r="D397" s="160"/>
      <c r="E397" s="76" t="s">
        <v>372</v>
      </c>
      <c r="F397" s="78"/>
      <c r="G397" s="75">
        <v>1541</v>
      </c>
      <c r="H397" s="75">
        <f>G397+F397</f>
        <v>1541</v>
      </c>
    </row>
    <row r="398" spans="1:9" s="121" customFormat="1" ht="47.25">
      <c r="A398" s="225"/>
      <c r="B398" s="225" t="s">
        <v>326</v>
      </c>
      <c r="C398" s="225" t="s">
        <v>166</v>
      </c>
      <c r="D398" s="218" t="s">
        <v>327</v>
      </c>
      <c r="E398" s="163" t="s">
        <v>189</v>
      </c>
      <c r="F398" s="78">
        <f>F399+F400</f>
        <v>1024553</v>
      </c>
      <c r="G398" s="78">
        <f>G399+G400</f>
        <v>30000</v>
      </c>
      <c r="H398" s="75">
        <f aca="true" t="shared" si="12" ref="H398:H412">F398+G398</f>
        <v>1054553</v>
      </c>
      <c r="I398" s="131"/>
    </row>
    <row r="399" spans="1:9" s="121" customFormat="1" ht="15.75">
      <c r="A399" s="181"/>
      <c r="B399" s="221"/>
      <c r="C399" s="221"/>
      <c r="D399" s="219"/>
      <c r="E399" s="164" t="s">
        <v>373</v>
      </c>
      <c r="F399" s="78">
        <f>188867+765351+11994</f>
        <v>966212</v>
      </c>
      <c r="G399" s="75">
        <f>30000+(549324)-549324</f>
        <v>30000</v>
      </c>
      <c r="H399" s="75">
        <f t="shared" si="12"/>
        <v>996212</v>
      </c>
      <c r="I399" s="131"/>
    </row>
    <row r="400" spans="1:9" s="121" customFormat="1" ht="15.75">
      <c r="A400" s="181"/>
      <c r="B400" s="221"/>
      <c r="C400" s="221"/>
      <c r="D400" s="219"/>
      <c r="E400" s="76" t="s">
        <v>372</v>
      </c>
      <c r="F400" s="78">
        <v>58341</v>
      </c>
      <c r="G400" s="75"/>
      <c r="H400" s="75">
        <f t="shared" si="12"/>
        <v>58341</v>
      </c>
      <c r="I400" s="131"/>
    </row>
    <row r="401" spans="1:9" s="121" customFormat="1" ht="42.75" customHeight="1" hidden="1">
      <c r="A401" s="236"/>
      <c r="B401" s="236"/>
      <c r="C401" s="222"/>
      <c r="D401" s="236"/>
      <c r="E401" s="122" t="s">
        <v>125</v>
      </c>
      <c r="F401" s="100">
        <f>5000-5000</f>
        <v>0</v>
      </c>
      <c r="G401" s="97"/>
      <c r="H401" s="97">
        <f t="shared" si="12"/>
        <v>0</v>
      </c>
      <c r="I401" s="131"/>
    </row>
    <row r="402" spans="1:8" s="121" customFormat="1" ht="49.5" customHeight="1">
      <c r="A402" s="150"/>
      <c r="B402" s="150" t="s">
        <v>316</v>
      </c>
      <c r="C402" s="150" t="s">
        <v>138</v>
      </c>
      <c r="D402" s="166" t="s">
        <v>317</v>
      </c>
      <c r="E402" s="163" t="s">
        <v>189</v>
      </c>
      <c r="F402" s="78"/>
      <c r="G402" s="75">
        <f>6764198-1153760-2346240-3264198</f>
        <v>0</v>
      </c>
      <c r="H402" s="75">
        <f t="shared" si="12"/>
        <v>0</v>
      </c>
    </row>
    <row r="403" spans="1:8" s="121" customFormat="1" ht="53.25" customHeight="1" hidden="1">
      <c r="A403" s="150"/>
      <c r="B403" s="150" t="s">
        <v>468</v>
      </c>
      <c r="C403" s="150"/>
      <c r="D403" s="166" t="s">
        <v>469</v>
      </c>
      <c r="E403" s="166" t="s">
        <v>529</v>
      </c>
      <c r="F403" s="80"/>
      <c r="G403" s="75"/>
      <c r="H403" s="75">
        <f t="shared" si="12"/>
        <v>0</v>
      </c>
    </row>
    <row r="404" spans="1:8" s="121" customFormat="1" ht="73.5" customHeight="1" hidden="1">
      <c r="A404" s="150"/>
      <c r="B404" s="150" t="s">
        <v>320</v>
      </c>
      <c r="C404" s="148"/>
      <c r="D404" s="166" t="s">
        <v>321</v>
      </c>
      <c r="E404" s="166" t="s">
        <v>240</v>
      </c>
      <c r="F404" s="80"/>
      <c r="G404" s="75"/>
      <c r="H404" s="75">
        <f t="shared" si="12"/>
        <v>0</v>
      </c>
    </row>
    <row r="405" spans="1:9" s="121" customFormat="1" ht="47.25">
      <c r="A405" s="245"/>
      <c r="B405" s="231" t="s">
        <v>309</v>
      </c>
      <c r="C405" s="225" t="s">
        <v>139</v>
      </c>
      <c r="D405" s="237" t="s">
        <v>324</v>
      </c>
      <c r="E405" s="166" t="s">
        <v>241</v>
      </c>
      <c r="F405" s="78">
        <v>146508</v>
      </c>
      <c r="G405" s="91"/>
      <c r="H405" s="75">
        <f t="shared" si="12"/>
        <v>146508</v>
      </c>
      <c r="I405" s="131"/>
    </row>
    <row r="406" spans="1:8" s="121" customFormat="1" ht="52.5" customHeight="1" hidden="1">
      <c r="A406" s="245"/>
      <c r="B406" s="231"/>
      <c r="C406" s="221"/>
      <c r="D406" s="237"/>
      <c r="E406" s="166" t="s">
        <v>579</v>
      </c>
      <c r="F406" s="78"/>
      <c r="G406" s="91"/>
      <c r="H406" s="75">
        <f t="shared" si="12"/>
        <v>0</v>
      </c>
    </row>
    <row r="407" spans="1:8" s="121" customFormat="1" ht="54" customHeight="1">
      <c r="A407" s="245"/>
      <c r="B407" s="231"/>
      <c r="C407" s="221"/>
      <c r="D407" s="237"/>
      <c r="E407" s="166" t="s">
        <v>134</v>
      </c>
      <c r="F407" s="78">
        <v>20991</v>
      </c>
      <c r="G407" s="91"/>
      <c r="H407" s="75">
        <f t="shared" si="12"/>
        <v>20991</v>
      </c>
    </row>
    <row r="408" spans="1:8" s="121" customFormat="1" ht="68.25" customHeight="1">
      <c r="A408" s="245"/>
      <c r="B408" s="231"/>
      <c r="C408" s="221"/>
      <c r="D408" s="237"/>
      <c r="E408" s="166" t="s">
        <v>195</v>
      </c>
      <c r="F408" s="78">
        <v>51382</v>
      </c>
      <c r="G408" s="91"/>
      <c r="H408" s="75">
        <f>F408+G408</f>
        <v>51382</v>
      </c>
    </row>
    <row r="409" spans="1:8" s="121" customFormat="1" ht="66.75" customHeight="1">
      <c r="A409" s="245"/>
      <c r="B409" s="231"/>
      <c r="C409" s="221"/>
      <c r="D409" s="237"/>
      <c r="E409" s="166" t="s">
        <v>187</v>
      </c>
      <c r="F409" s="78">
        <v>10000</v>
      </c>
      <c r="G409" s="91"/>
      <c r="H409" s="75">
        <f>F409+G409</f>
        <v>10000</v>
      </c>
    </row>
    <row r="410" spans="1:8" s="121" customFormat="1" ht="69" customHeight="1">
      <c r="A410" s="245"/>
      <c r="B410" s="231"/>
      <c r="C410" s="221"/>
      <c r="D410" s="237"/>
      <c r="E410" s="166" t="s">
        <v>375</v>
      </c>
      <c r="F410" s="78">
        <v>6095</v>
      </c>
      <c r="G410" s="91"/>
      <c r="H410" s="75">
        <f t="shared" si="12"/>
        <v>6095</v>
      </c>
    </row>
    <row r="411" spans="1:8" s="121" customFormat="1" ht="47.25" customHeight="1" hidden="1">
      <c r="A411" s="245"/>
      <c r="B411" s="231"/>
      <c r="C411" s="221"/>
      <c r="D411" s="237"/>
      <c r="E411" s="166" t="s">
        <v>352</v>
      </c>
      <c r="F411" s="78"/>
      <c r="G411" s="91"/>
      <c r="H411" s="75">
        <f t="shared" si="12"/>
        <v>0</v>
      </c>
    </row>
    <row r="412" spans="1:8" s="121" customFormat="1" ht="69.75" customHeight="1">
      <c r="A412" s="245"/>
      <c r="B412" s="231"/>
      <c r="C412" s="222"/>
      <c r="D412" s="237"/>
      <c r="E412" s="160" t="s">
        <v>123</v>
      </c>
      <c r="F412" s="140">
        <f>134</f>
        <v>134</v>
      </c>
      <c r="G412" s="142"/>
      <c r="H412" s="141">
        <f t="shared" si="12"/>
        <v>134</v>
      </c>
    </row>
    <row r="413" spans="1:8" s="125" customFormat="1" ht="31.5">
      <c r="A413" s="105"/>
      <c r="B413" s="105" t="s">
        <v>399</v>
      </c>
      <c r="C413" s="105"/>
      <c r="D413" s="106" t="s">
        <v>278</v>
      </c>
      <c r="E413" s="106"/>
      <c r="F413" s="82">
        <f>F414+F415+F416+F417+F421+F422+F423+F424+F425+F426+F427+F428+F430+F420+F429</f>
        <v>1449335</v>
      </c>
      <c r="G413" s="82">
        <f>G414+G415+G416+G417+G421+G422+G423+G424+G425+G426+G427+G428+G430+G420+G429</f>
        <v>3536300</v>
      </c>
      <c r="H413" s="82">
        <f>H414+H415+H416+H417+H421+H422+H423+H424+H425+H426+H427+H428+H430+H420+H429</f>
        <v>4985635</v>
      </c>
    </row>
    <row r="414" spans="1:8" s="125" customFormat="1" ht="63.75" customHeight="1">
      <c r="A414" s="225"/>
      <c r="B414" s="225" t="s">
        <v>426</v>
      </c>
      <c r="C414" s="225" t="s">
        <v>136</v>
      </c>
      <c r="D414" s="218" t="s">
        <v>427</v>
      </c>
      <c r="E414" s="166" t="s">
        <v>123</v>
      </c>
      <c r="F414" s="78">
        <f>1200-651</f>
        <v>549</v>
      </c>
      <c r="G414" s="75"/>
      <c r="H414" s="75">
        <f>F414+G414</f>
        <v>549</v>
      </c>
    </row>
    <row r="415" spans="1:8" s="144" customFormat="1" ht="54.75" customHeight="1">
      <c r="A415" s="222"/>
      <c r="B415" s="222"/>
      <c r="C415" s="222"/>
      <c r="D415" s="220"/>
      <c r="E415" s="163" t="s">
        <v>190</v>
      </c>
      <c r="F415" s="78"/>
      <c r="G415" s="75">
        <f>160797</f>
        <v>160797</v>
      </c>
      <c r="H415" s="75">
        <f aca="true" t="shared" si="13" ref="H415:H430">F415+G415</f>
        <v>160797</v>
      </c>
    </row>
    <row r="416" spans="1:8" s="125" customFormat="1" ht="54.75" customHeight="1" hidden="1">
      <c r="A416" s="148"/>
      <c r="B416" s="148" t="s">
        <v>318</v>
      </c>
      <c r="C416" s="148"/>
      <c r="D416" s="148" t="s">
        <v>325</v>
      </c>
      <c r="E416" s="163" t="s">
        <v>578</v>
      </c>
      <c r="F416" s="78"/>
      <c r="G416" s="75"/>
      <c r="H416" s="75">
        <f t="shared" si="13"/>
        <v>0</v>
      </c>
    </row>
    <row r="417" spans="1:9" s="121" customFormat="1" ht="54" customHeight="1">
      <c r="A417" s="157"/>
      <c r="B417" s="228" t="s">
        <v>326</v>
      </c>
      <c r="C417" s="225" t="s">
        <v>166</v>
      </c>
      <c r="D417" s="218" t="s">
        <v>327</v>
      </c>
      <c r="E417" s="163" t="s">
        <v>197</v>
      </c>
      <c r="F417" s="78">
        <f>F418+F419</f>
        <v>946364</v>
      </c>
      <c r="G417" s="78"/>
      <c r="H417" s="75">
        <f t="shared" si="13"/>
        <v>946364</v>
      </c>
      <c r="I417" s="131"/>
    </row>
    <row r="418" spans="1:9" s="121" customFormat="1" ht="24.75" customHeight="1">
      <c r="A418" s="158"/>
      <c r="B418" s="229"/>
      <c r="C418" s="221"/>
      <c r="D418" s="219"/>
      <c r="E418" s="164" t="s">
        <v>373</v>
      </c>
      <c r="F418" s="78">
        <f>38570+796000+(20776)+38272</f>
        <v>893618</v>
      </c>
      <c r="G418" s="75"/>
      <c r="H418" s="75">
        <f t="shared" si="13"/>
        <v>893618</v>
      </c>
      <c r="I418" s="131"/>
    </row>
    <row r="419" spans="1:9" s="121" customFormat="1" ht="23.25" customHeight="1">
      <c r="A419" s="159"/>
      <c r="B419" s="230"/>
      <c r="C419" s="222"/>
      <c r="D419" s="220"/>
      <c r="E419" s="76" t="s">
        <v>372</v>
      </c>
      <c r="F419" s="78">
        <v>52746</v>
      </c>
      <c r="G419" s="75"/>
      <c r="H419" s="75">
        <f t="shared" si="13"/>
        <v>52746</v>
      </c>
      <c r="I419" s="131"/>
    </row>
    <row r="420" spans="1:9" s="121" customFormat="1" ht="52.5" customHeight="1">
      <c r="A420" s="159"/>
      <c r="B420" s="159" t="s">
        <v>316</v>
      </c>
      <c r="C420" s="159" t="s">
        <v>138</v>
      </c>
      <c r="D420" s="162" t="s">
        <v>317</v>
      </c>
      <c r="E420" s="163" t="s">
        <v>189</v>
      </c>
      <c r="F420" s="78"/>
      <c r="G420" s="75">
        <f>2500000+839853</f>
        <v>3339853</v>
      </c>
      <c r="H420" s="75">
        <f t="shared" si="13"/>
        <v>3339853</v>
      </c>
      <c r="I420" s="131"/>
    </row>
    <row r="421" spans="1:9" s="121" customFormat="1" ht="77.25" customHeight="1" hidden="1">
      <c r="A421" s="151"/>
      <c r="B421" s="151" t="s">
        <v>320</v>
      </c>
      <c r="C421" s="151"/>
      <c r="D421" s="162" t="s">
        <v>321</v>
      </c>
      <c r="E421" s="166" t="s">
        <v>240</v>
      </c>
      <c r="F421" s="78"/>
      <c r="G421" s="75"/>
      <c r="H421" s="75">
        <f t="shared" si="13"/>
        <v>0</v>
      </c>
      <c r="I421" s="131"/>
    </row>
    <row r="422" spans="1:8" s="121" customFormat="1" ht="63" customHeight="1">
      <c r="A422" s="150"/>
      <c r="B422" s="150" t="s">
        <v>303</v>
      </c>
      <c r="C422" s="150" t="s">
        <v>139</v>
      </c>
      <c r="D422" s="166" t="s">
        <v>485</v>
      </c>
      <c r="E422" s="166" t="s">
        <v>196</v>
      </c>
      <c r="F422" s="78"/>
      <c r="G422" s="75">
        <f>50000+15650-30000</f>
        <v>35650</v>
      </c>
      <c r="H422" s="75">
        <f t="shared" si="13"/>
        <v>35650</v>
      </c>
    </row>
    <row r="423" spans="1:9" s="121" customFormat="1" ht="47.25">
      <c r="A423" s="245"/>
      <c r="B423" s="231" t="s">
        <v>309</v>
      </c>
      <c r="C423" s="225" t="s">
        <v>139</v>
      </c>
      <c r="D423" s="237" t="s">
        <v>324</v>
      </c>
      <c r="E423" s="166" t="s">
        <v>243</v>
      </c>
      <c r="F423" s="78">
        <v>321370</v>
      </c>
      <c r="G423" s="91"/>
      <c r="H423" s="75">
        <f t="shared" si="13"/>
        <v>321370</v>
      </c>
      <c r="I423" s="131"/>
    </row>
    <row r="424" spans="1:8" s="121" customFormat="1" ht="47.25">
      <c r="A424" s="245"/>
      <c r="B424" s="231"/>
      <c r="C424" s="221"/>
      <c r="D424" s="237"/>
      <c r="E424" s="166" t="s">
        <v>134</v>
      </c>
      <c r="F424" s="78">
        <v>62592</v>
      </c>
      <c r="G424" s="91"/>
      <c r="H424" s="75">
        <f t="shared" si="13"/>
        <v>62592</v>
      </c>
    </row>
    <row r="425" spans="1:8" s="121" customFormat="1" ht="63">
      <c r="A425" s="245"/>
      <c r="B425" s="231"/>
      <c r="C425" s="221"/>
      <c r="D425" s="237"/>
      <c r="E425" s="166" t="s">
        <v>195</v>
      </c>
      <c r="F425" s="78">
        <v>96149</v>
      </c>
      <c r="G425" s="91"/>
      <c r="H425" s="75">
        <f t="shared" si="13"/>
        <v>96149</v>
      </c>
    </row>
    <row r="426" spans="1:8" s="121" customFormat="1" ht="47.25" customHeight="1" hidden="1">
      <c r="A426" s="245"/>
      <c r="B426" s="231"/>
      <c r="C426" s="221"/>
      <c r="D426" s="237"/>
      <c r="E426" s="166" t="s">
        <v>246</v>
      </c>
      <c r="F426" s="78"/>
      <c r="G426" s="91"/>
      <c r="H426" s="75">
        <f t="shared" si="13"/>
        <v>0</v>
      </c>
    </row>
    <row r="427" spans="1:8" s="121" customFormat="1" ht="47.25" customHeight="1" hidden="1">
      <c r="A427" s="245"/>
      <c r="B427" s="231"/>
      <c r="C427" s="221"/>
      <c r="D427" s="237"/>
      <c r="E427" s="166" t="s">
        <v>579</v>
      </c>
      <c r="F427" s="78"/>
      <c r="G427" s="91"/>
      <c r="H427" s="75">
        <f t="shared" si="13"/>
        <v>0</v>
      </c>
    </row>
    <row r="428" spans="1:8" s="121" customFormat="1" ht="47.25" customHeight="1" hidden="1">
      <c r="A428" s="245"/>
      <c r="B428" s="231"/>
      <c r="C428" s="221"/>
      <c r="D428" s="237"/>
      <c r="E428" s="166" t="s">
        <v>352</v>
      </c>
      <c r="F428" s="78"/>
      <c r="G428" s="91"/>
      <c r="H428" s="75">
        <f t="shared" si="13"/>
        <v>0</v>
      </c>
    </row>
    <row r="429" spans="1:8" s="121" customFormat="1" ht="65.25" customHeight="1">
      <c r="A429" s="245"/>
      <c r="B429" s="231"/>
      <c r="C429" s="221"/>
      <c r="D429" s="237"/>
      <c r="E429" s="166" t="s">
        <v>187</v>
      </c>
      <c r="F429" s="78">
        <v>21146</v>
      </c>
      <c r="G429" s="91"/>
      <c r="H429" s="75">
        <f t="shared" si="13"/>
        <v>21146</v>
      </c>
    </row>
    <row r="430" spans="1:8" s="121" customFormat="1" ht="65.25" customHeight="1">
      <c r="A430" s="245"/>
      <c r="B430" s="231"/>
      <c r="C430" s="222"/>
      <c r="D430" s="237"/>
      <c r="E430" s="166" t="s">
        <v>123</v>
      </c>
      <c r="F430" s="78">
        <f>3384-2219</f>
        <v>1165</v>
      </c>
      <c r="G430" s="91"/>
      <c r="H430" s="75">
        <f t="shared" si="13"/>
        <v>1165</v>
      </c>
    </row>
    <row r="431" spans="1:8" s="125" customFormat="1" ht="31.5">
      <c r="A431" s="105"/>
      <c r="B431" s="105" t="s">
        <v>400</v>
      </c>
      <c r="C431" s="115"/>
      <c r="D431" s="106" t="s">
        <v>279</v>
      </c>
      <c r="E431" s="106"/>
      <c r="F431" s="82">
        <f>F432+F433+F434+F437+F438+F441+F442+F444+F445+F446+F447+F448+F449+F443</f>
        <v>1143673</v>
      </c>
      <c r="G431" s="82">
        <f>G432+G433+G434+G437+G438+G441+G442+G444+G445+G446+G447+G448+G449</f>
        <v>576664</v>
      </c>
      <c r="H431" s="87">
        <f>F431+G431</f>
        <v>1720337</v>
      </c>
    </row>
    <row r="432" spans="1:8" s="144" customFormat="1" ht="49.5" customHeight="1">
      <c r="A432" s="147"/>
      <c r="B432" s="150" t="s">
        <v>426</v>
      </c>
      <c r="C432" s="148" t="s">
        <v>136</v>
      </c>
      <c r="D432" s="166" t="s">
        <v>427</v>
      </c>
      <c r="E432" s="163" t="s">
        <v>190</v>
      </c>
      <c r="F432" s="78"/>
      <c r="G432" s="75">
        <f>39000+18952</f>
        <v>57952</v>
      </c>
      <c r="H432" s="75">
        <f>F432+G432</f>
        <v>57952</v>
      </c>
    </row>
    <row r="433" spans="1:8" s="125" customFormat="1" ht="49.5" customHeight="1" hidden="1">
      <c r="A433" s="148"/>
      <c r="B433" s="148" t="s">
        <v>316</v>
      </c>
      <c r="C433" s="148"/>
      <c r="D433" s="160" t="s">
        <v>317</v>
      </c>
      <c r="E433" s="166" t="s">
        <v>579</v>
      </c>
      <c r="F433" s="78"/>
      <c r="G433" s="75"/>
      <c r="H433" s="75">
        <f aca="true" t="shared" si="14" ref="H433:H449">F433+G433</f>
        <v>0</v>
      </c>
    </row>
    <row r="434" spans="1:9" s="121" customFormat="1" ht="48.75" customHeight="1">
      <c r="A434" s="148"/>
      <c r="B434" s="232" t="s">
        <v>326</v>
      </c>
      <c r="C434" s="225" t="s">
        <v>166</v>
      </c>
      <c r="D434" s="218" t="s">
        <v>327</v>
      </c>
      <c r="E434" s="163" t="s">
        <v>189</v>
      </c>
      <c r="F434" s="78">
        <f>F435+F436</f>
        <v>953254</v>
      </c>
      <c r="G434" s="78">
        <f>G435+G436</f>
        <v>42288</v>
      </c>
      <c r="H434" s="75">
        <f t="shared" si="14"/>
        <v>995542</v>
      </c>
      <c r="I434" s="131"/>
    </row>
    <row r="435" spans="1:9" s="121" customFormat="1" ht="23.25" customHeight="1">
      <c r="A435" s="149"/>
      <c r="B435" s="233"/>
      <c r="C435" s="221"/>
      <c r="D435" s="219"/>
      <c r="E435" s="164" t="s">
        <v>373</v>
      </c>
      <c r="F435" s="78">
        <f>108435+685928+63282+29964</f>
        <v>887609</v>
      </c>
      <c r="G435" s="75">
        <f>37398+4890</f>
        <v>42288</v>
      </c>
      <c r="H435" s="75">
        <f t="shared" si="14"/>
        <v>929897</v>
      </c>
      <c r="I435" s="131"/>
    </row>
    <row r="436" spans="1:9" s="121" customFormat="1" ht="27.75" customHeight="1">
      <c r="A436" s="151"/>
      <c r="B436" s="234"/>
      <c r="C436" s="222"/>
      <c r="D436" s="220"/>
      <c r="E436" s="76" t="s">
        <v>372</v>
      </c>
      <c r="F436" s="78">
        <v>65645</v>
      </c>
      <c r="G436" s="75"/>
      <c r="H436" s="75">
        <f t="shared" si="14"/>
        <v>65645</v>
      </c>
      <c r="I436" s="131"/>
    </row>
    <row r="437" spans="1:9" s="121" customFormat="1" ht="73.5" customHeight="1" hidden="1">
      <c r="A437" s="149"/>
      <c r="B437" s="149" t="s">
        <v>320</v>
      </c>
      <c r="C437" s="149"/>
      <c r="D437" s="161" t="s">
        <v>321</v>
      </c>
      <c r="E437" s="166" t="s">
        <v>240</v>
      </c>
      <c r="F437" s="78"/>
      <c r="G437" s="75"/>
      <c r="H437" s="75">
        <f t="shared" si="14"/>
        <v>0</v>
      </c>
      <c r="I437" s="131"/>
    </row>
    <row r="438" spans="1:8" s="121" customFormat="1" ht="50.25" customHeight="1">
      <c r="A438" s="148"/>
      <c r="B438" s="232" t="s">
        <v>303</v>
      </c>
      <c r="C438" s="225" t="s">
        <v>139</v>
      </c>
      <c r="D438" s="218" t="s">
        <v>485</v>
      </c>
      <c r="E438" s="166" t="s">
        <v>196</v>
      </c>
      <c r="F438" s="78"/>
      <c r="G438" s="75">
        <f>G439+G440</f>
        <v>26434</v>
      </c>
      <c r="H438" s="75">
        <f t="shared" si="14"/>
        <v>26434</v>
      </c>
    </row>
    <row r="439" spans="1:8" s="121" customFormat="1" ht="23.25" customHeight="1">
      <c r="A439" s="149"/>
      <c r="B439" s="233"/>
      <c r="C439" s="221"/>
      <c r="D439" s="219"/>
      <c r="E439" s="164" t="s">
        <v>373</v>
      </c>
      <c r="F439" s="78"/>
      <c r="G439" s="75">
        <f>45838+16434-40000</f>
        <v>22272</v>
      </c>
      <c r="H439" s="75">
        <f t="shared" si="14"/>
        <v>22272</v>
      </c>
    </row>
    <row r="440" spans="1:8" s="121" customFormat="1" ht="21" customHeight="1">
      <c r="A440" s="151"/>
      <c r="B440" s="234"/>
      <c r="C440" s="222"/>
      <c r="D440" s="220"/>
      <c r="E440" s="76" t="s">
        <v>372</v>
      </c>
      <c r="F440" s="78"/>
      <c r="G440" s="75">
        <v>4162</v>
      </c>
      <c r="H440" s="75">
        <f t="shared" si="14"/>
        <v>4162</v>
      </c>
    </row>
    <row r="441" spans="1:9" s="121" customFormat="1" ht="50.25" customHeight="1">
      <c r="A441" s="245"/>
      <c r="B441" s="231" t="s">
        <v>309</v>
      </c>
      <c r="C441" s="225" t="s">
        <v>139</v>
      </c>
      <c r="D441" s="237" t="s">
        <v>324</v>
      </c>
      <c r="E441" s="166" t="s">
        <v>241</v>
      </c>
      <c r="F441" s="78">
        <v>94521</v>
      </c>
      <c r="G441" s="91"/>
      <c r="H441" s="75">
        <f t="shared" si="14"/>
        <v>94521</v>
      </c>
      <c r="I441" s="131"/>
    </row>
    <row r="442" spans="1:8" s="121" customFormat="1" ht="50.25" customHeight="1">
      <c r="A442" s="245"/>
      <c r="B442" s="231"/>
      <c r="C442" s="221"/>
      <c r="D442" s="237"/>
      <c r="E442" s="166" t="s">
        <v>134</v>
      </c>
      <c r="F442" s="78">
        <v>25366</v>
      </c>
      <c r="G442" s="91"/>
      <c r="H442" s="75">
        <f t="shared" si="14"/>
        <v>25366</v>
      </c>
    </row>
    <row r="443" spans="1:8" s="121" customFormat="1" ht="66.75" customHeight="1">
      <c r="A443" s="245"/>
      <c r="B443" s="231"/>
      <c r="C443" s="221"/>
      <c r="D443" s="237"/>
      <c r="E443" s="166" t="s">
        <v>187</v>
      </c>
      <c r="F443" s="78">
        <v>20000</v>
      </c>
      <c r="G443" s="91"/>
      <c r="H443" s="75">
        <f t="shared" si="14"/>
        <v>20000</v>
      </c>
    </row>
    <row r="444" spans="1:8" s="121" customFormat="1" ht="66" customHeight="1">
      <c r="A444" s="245"/>
      <c r="B444" s="231"/>
      <c r="C444" s="222"/>
      <c r="D444" s="237"/>
      <c r="E444" s="166" t="s">
        <v>195</v>
      </c>
      <c r="F444" s="78">
        <v>50532</v>
      </c>
      <c r="G444" s="91"/>
      <c r="H444" s="75">
        <f t="shared" si="14"/>
        <v>50532</v>
      </c>
    </row>
    <row r="445" spans="1:8" s="121" customFormat="1" ht="69.75" customHeight="1" hidden="1">
      <c r="A445" s="245"/>
      <c r="B445" s="231"/>
      <c r="C445" s="149"/>
      <c r="D445" s="237"/>
      <c r="E445" s="166" t="s">
        <v>246</v>
      </c>
      <c r="F445" s="78"/>
      <c r="G445" s="91"/>
      <c r="H445" s="75">
        <f t="shared" si="14"/>
        <v>0</v>
      </c>
    </row>
    <row r="446" spans="1:8" s="121" customFormat="1" ht="69.75" customHeight="1" hidden="1">
      <c r="A446" s="245"/>
      <c r="B446" s="231"/>
      <c r="C446" s="149"/>
      <c r="D446" s="237"/>
      <c r="E446" s="166" t="s">
        <v>352</v>
      </c>
      <c r="F446" s="78"/>
      <c r="G446" s="91"/>
      <c r="H446" s="75">
        <f t="shared" si="14"/>
        <v>0</v>
      </c>
    </row>
    <row r="447" spans="1:8" s="121" customFormat="1" ht="53.25" customHeight="1" hidden="1">
      <c r="A447" s="245"/>
      <c r="B447" s="231"/>
      <c r="C447" s="149"/>
      <c r="D447" s="237"/>
      <c r="E447" s="166" t="s">
        <v>579</v>
      </c>
      <c r="F447" s="78"/>
      <c r="G447" s="91"/>
      <c r="H447" s="75">
        <f t="shared" si="14"/>
        <v>0</v>
      </c>
    </row>
    <row r="448" spans="1:8" s="121" customFormat="1" ht="69" customHeight="1" hidden="1">
      <c r="A448" s="245"/>
      <c r="B448" s="231"/>
      <c r="C448" s="151"/>
      <c r="D448" s="237"/>
      <c r="E448" s="166" t="s">
        <v>382</v>
      </c>
      <c r="F448" s="78"/>
      <c r="G448" s="91"/>
      <c r="H448" s="75">
        <f t="shared" si="14"/>
        <v>0</v>
      </c>
    </row>
    <row r="449" spans="1:8" s="121" customFormat="1" ht="60.75" customHeight="1">
      <c r="A449" s="150"/>
      <c r="B449" s="168" t="s">
        <v>316</v>
      </c>
      <c r="C449" s="151" t="s">
        <v>138</v>
      </c>
      <c r="D449" s="163" t="s">
        <v>317</v>
      </c>
      <c r="E449" s="166" t="s">
        <v>189</v>
      </c>
      <c r="F449" s="78"/>
      <c r="G449" s="91">
        <f>(449990)</f>
        <v>449990</v>
      </c>
      <c r="H449" s="75">
        <f t="shared" si="14"/>
        <v>449990</v>
      </c>
    </row>
    <row r="450" spans="1:8" s="121" customFormat="1" ht="46.5" customHeight="1">
      <c r="A450" s="105"/>
      <c r="B450" s="105" t="s">
        <v>401</v>
      </c>
      <c r="C450" s="105"/>
      <c r="D450" s="106" t="s">
        <v>280</v>
      </c>
      <c r="E450" s="166"/>
      <c r="F450" s="82">
        <f>F451+F452+F453+F456+F457+F458+F459+F461+F462+F464+F463+F465</f>
        <v>993843</v>
      </c>
      <c r="G450" s="82">
        <f>G451+G452+G453+G456+G457+G458+G459+G461+G462+G464+G463+G465</f>
        <v>563824</v>
      </c>
      <c r="H450" s="82">
        <f>H451+H452+H453+H456+H457+H458+H459+H461+H462+H464+H463+H465</f>
        <v>1557667</v>
      </c>
    </row>
    <row r="451" spans="1:8" s="121" customFormat="1" ht="75" customHeight="1" hidden="1">
      <c r="A451" s="245"/>
      <c r="B451" s="231" t="s">
        <v>426</v>
      </c>
      <c r="C451" s="148"/>
      <c r="D451" s="237" t="s">
        <v>427</v>
      </c>
      <c r="E451" s="166" t="s">
        <v>382</v>
      </c>
      <c r="F451" s="78"/>
      <c r="G451" s="82"/>
      <c r="H451" s="75">
        <f>F451+G451</f>
        <v>0</v>
      </c>
    </row>
    <row r="452" spans="1:8" s="145" customFormat="1" ht="42.75" customHeight="1">
      <c r="A452" s="225"/>
      <c r="B452" s="228"/>
      <c r="C452" s="148" t="s">
        <v>136</v>
      </c>
      <c r="D452" s="238"/>
      <c r="E452" s="163" t="s">
        <v>126</v>
      </c>
      <c r="F452" s="78"/>
      <c r="G452" s="75">
        <v>37824</v>
      </c>
      <c r="H452" s="75">
        <f aca="true" t="shared" si="15" ref="H452:H465">F452+G452</f>
        <v>37824</v>
      </c>
    </row>
    <row r="453" spans="1:9" s="121" customFormat="1" ht="50.25" customHeight="1">
      <c r="A453" s="157"/>
      <c r="B453" s="228" t="s">
        <v>326</v>
      </c>
      <c r="C453" s="225" t="s">
        <v>166</v>
      </c>
      <c r="D453" s="218" t="s">
        <v>327</v>
      </c>
      <c r="E453" s="163" t="s">
        <v>198</v>
      </c>
      <c r="F453" s="78">
        <f>F454+F455</f>
        <v>687883</v>
      </c>
      <c r="G453" s="75"/>
      <c r="H453" s="75">
        <f t="shared" si="15"/>
        <v>687883</v>
      </c>
      <c r="I453" s="131"/>
    </row>
    <row r="454" spans="1:9" s="121" customFormat="1" ht="27" customHeight="1">
      <c r="A454" s="158"/>
      <c r="B454" s="229"/>
      <c r="C454" s="221"/>
      <c r="D454" s="219"/>
      <c r="E454" s="164" t="s">
        <v>373</v>
      </c>
      <c r="F454" s="78">
        <f>30000+620072</f>
        <v>650072</v>
      </c>
      <c r="G454" s="75"/>
      <c r="H454" s="75">
        <f t="shared" si="15"/>
        <v>650072</v>
      </c>
      <c r="I454" s="131"/>
    </row>
    <row r="455" spans="1:9" s="121" customFormat="1" ht="27" customHeight="1">
      <c r="A455" s="159"/>
      <c r="B455" s="230"/>
      <c r="C455" s="222"/>
      <c r="D455" s="220"/>
      <c r="E455" s="76" t="s">
        <v>372</v>
      </c>
      <c r="F455" s="78">
        <v>37811</v>
      </c>
      <c r="G455" s="75"/>
      <c r="H455" s="75">
        <f t="shared" si="15"/>
        <v>37811</v>
      </c>
      <c r="I455" s="131"/>
    </row>
    <row r="456" spans="1:9" s="121" customFormat="1" ht="73.5" customHeight="1" hidden="1">
      <c r="A456" s="151"/>
      <c r="B456" s="151" t="s">
        <v>320</v>
      </c>
      <c r="C456" s="149"/>
      <c r="D456" s="162" t="s">
        <v>321</v>
      </c>
      <c r="E456" s="166" t="s">
        <v>240</v>
      </c>
      <c r="F456" s="78"/>
      <c r="G456" s="75"/>
      <c r="H456" s="75">
        <f t="shared" si="15"/>
        <v>0</v>
      </c>
      <c r="I456" s="131"/>
    </row>
    <row r="457" spans="1:9" s="121" customFormat="1" ht="47.25">
      <c r="A457" s="245"/>
      <c r="B457" s="231" t="s">
        <v>309</v>
      </c>
      <c r="C457" s="225" t="s">
        <v>139</v>
      </c>
      <c r="D457" s="237" t="s">
        <v>324</v>
      </c>
      <c r="E457" s="166" t="s">
        <v>241</v>
      </c>
      <c r="F457" s="78">
        <v>132330</v>
      </c>
      <c r="G457" s="91"/>
      <c r="H457" s="75">
        <f t="shared" si="15"/>
        <v>132330</v>
      </c>
      <c r="I457" s="131"/>
    </row>
    <row r="458" spans="1:8" s="121" customFormat="1" ht="47.25">
      <c r="A458" s="245"/>
      <c r="B458" s="231"/>
      <c r="C458" s="221"/>
      <c r="D458" s="237"/>
      <c r="E458" s="166" t="s">
        <v>134</v>
      </c>
      <c r="F458" s="78">
        <v>80000</v>
      </c>
      <c r="G458" s="91"/>
      <c r="H458" s="75">
        <f t="shared" si="15"/>
        <v>80000</v>
      </c>
    </row>
    <row r="459" spans="1:8" s="121" customFormat="1" ht="63">
      <c r="A459" s="245"/>
      <c r="B459" s="231"/>
      <c r="C459" s="221"/>
      <c r="D459" s="237"/>
      <c r="E459" s="166" t="s">
        <v>195</v>
      </c>
      <c r="F459" s="78">
        <v>73630</v>
      </c>
      <c r="G459" s="91"/>
      <c r="H459" s="75">
        <f t="shared" si="15"/>
        <v>73630</v>
      </c>
    </row>
    <row r="460" spans="1:8" s="121" customFormat="1" ht="47.25" customHeight="1" hidden="1">
      <c r="A460" s="245"/>
      <c r="B460" s="231"/>
      <c r="C460" s="221"/>
      <c r="D460" s="237"/>
      <c r="E460" s="166" t="s">
        <v>246</v>
      </c>
      <c r="F460" s="78"/>
      <c r="G460" s="91"/>
      <c r="H460" s="75">
        <f t="shared" si="15"/>
        <v>0</v>
      </c>
    </row>
    <row r="461" spans="1:8" s="121" customFormat="1" ht="47.25" customHeight="1" hidden="1">
      <c r="A461" s="245"/>
      <c r="B461" s="231"/>
      <c r="C461" s="221"/>
      <c r="D461" s="237"/>
      <c r="E461" s="166" t="s">
        <v>352</v>
      </c>
      <c r="F461" s="78"/>
      <c r="G461" s="91"/>
      <c r="H461" s="75">
        <f t="shared" si="15"/>
        <v>0</v>
      </c>
    </row>
    <row r="462" spans="1:8" s="121" customFormat="1" ht="47.25" customHeight="1" hidden="1">
      <c r="A462" s="245"/>
      <c r="B462" s="231"/>
      <c r="C462" s="221"/>
      <c r="D462" s="237"/>
      <c r="E462" s="166" t="s">
        <v>579</v>
      </c>
      <c r="F462" s="78"/>
      <c r="G462" s="91"/>
      <c r="H462" s="75">
        <f t="shared" si="15"/>
        <v>0</v>
      </c>
    </row>
    <row r="463" spans="1:8" s="121" customFormat="1" ht="66.75" customHeight="1">
      <c r="A463" s="245"/>
      <c r="B463" s="231"/>
      <c r="C463" s="221"/>
      <c r="D463" s="237"/>
      <c r="E463" s="166" t="s">
        <v>187</v>
      </c>
      <c r="F463" s="78">
        <v>20000</v>
      </c>
      <c r="G463" s="91"/>
      <c r="H463" s="75">
        <f t="shared" si="15"/>
        <v>20000</v>
      </c>
    </row>
    <row r="464" spans="1:8" s="121" customFormat="1" ht="63" customHeight="1" hidden="1">
      <c r="A464" s="245"/>
      <c r="B464" s="231"/>
      <c r="C464" s="222"/>
      <c r="D464" s="237"/>
      <c r="E464" s="166" t="s">
        <v>123</v>
      </c>
      <c r="F464" s="140">
        <f>2034-2034</f>
        <v>0</v>
      </c>
      <c r="G464" s="91"/>
      <c r="H464" s="75">
        <f t="shared" si="15"/>
        <v>0</v>
      </c>
    </row>
    <row r="465" spans="1:8" s="121" customFormat="1" ht="63" customHeight="1">
      <c r="A465" s="150"/>
      <c r="B465" s="168" t="s">
        <v>316</v>
      </c>
      <c r="C465" s="150" t="s">
        <v>138</v>
      </c>
      <c r="D465" s="163" t="s">
        <v>317</v>
      </c>
      <c r="E465" s="166" t="s">
        <v>189</v>
      </c>
      <c r="F465" s="78"/>
      <c r="G465" s="91">
        <f>(526000)</f>
        <v>526000</v>
      </c>
      <c r="H465" s="75">
        <f t="shared" si="15"/>
        <v>526000</v>
      </c>
    </row>
    <row r="466" spans="1:8" s="136" customFormat="1" ht="21" customHeight="1">
      <c r="A466" s="106"/>
      <c r="B466" s="106"/>
      <c r="C466" s="117"/>
      <c r="D466" s="106" t="s">
        <v>298</v>
      </c>
      <c r="E466" s="106"/>
      <c r="F466" s="87">
        <f>F11+F34+F111+F147+F180+F208+F217+F265+F269+F280+F283+F293+F314+F322+F334+F345+F361+F376+F394+F413+F431+F450+F341+F278+F175+F178</f>
        <v>665243343</v>
      </c>
      <c r="G466" s="87">
        <f>G11+G34+G111+G147+G180+G208+G217+G265+G269+G280+G283+G293+G314+G322+G334+G345+G361+G376+G394+G413+G431+G450+G341+G278+G175+G178</f>
        <v>686862863</v>
      </c>
      <c r="H466" s="87">
        <f>H11+H34+H111+H147+H180+H208+H217+H265+H269+H280+H283+H293+H314+H322+H334+H345+H361+H376+H394+H413+H431+H450+H341+H278+H175+H178</f>
        <v>1352106206</v>
      </c>
    </row>
    <row r="467" spans="1:8" s="136" customFormat="1" ht="21" customHeight="1">
      <c r="A467" s="134"/>
      <c r="B467" s="134"/>
      <c r="C467" s="134"/>
      <c r="D467" s="134"/>
      <c r="E467" s="134"/>
      <c r="F467" s="178"/>
      <c r="G467" s="178"/>
      <c r="H467" s="178"/>
    </row>
    <row r="468" spans="1:9" ht="15" customHeight="1">
      <c r="A468" s="123"/>
      <c r="B468" s="123"/>
      <c r="C468" s="123"/>
      <c r="D468" s="123"/>
      <c r="E468" s="123"/>
      <c r="F468" s="137"/>
      <c r="G468" s="137"/>
      <c r="H468" s="137"/>
      <c r="I468" s="138"/>
    </row>
    <row r="469" spans="1:9" s="139" customFormat="1" ht="35.25" customHeight="1">
      <c r="A469" s="217" t="s">
        <v>219</v>
      </c>
      <c r="B469" s="217"/>
      <c r="C469" s="217"/>
      <c r="D469" s="216"/>
      <c r="E469" s="124"/>
      <c r="F469" s="217" t="s">
        <v>220</v>
      </c>
      <c r="G469" s="217"/>
      <c r="H469" s="217"/>
      <c r="I469" s="216"/>
    </row>
    <row r="470" spans="7:8" ht="18" customHeight="1">
      <c r="G470" s="136"/>
      <c r="H470" s="135"/>
    </row>
  </sheetData>
  <sheetProtection/>
  <mergeCells count="315">
    <mergeCell ref="A398:A401"/>
    <mergeCell ref="B398:B401"/>
    <mergeCell ref="A368:A374"/>
    <mergeCell ref="C398:C401"/>
    <mergeCell ref="D417:D419"/>
    <mergeCell ref="D414:D415"/>
    <mergeCell ref="D405:D412"/>
    <mergeCell ref="C368:C373"/>
    <mergeCell ref="B381:B383"/>
    <mergeCell ref="B338:B340"/>
    <mergeCell ref="B348:B350"/>
    <mergeCell ref="B363:B365"/>
    <mergeCell ref="B343:B344"/>
    <mergeCell ref="D246:D248"/>
    <mergeCell ref="D327:D329"/>
    <mergeCell ref="D338:D340"/>
    <mergeCell ref="C348:C350"/>
    <mergeCell ref="D267:D268"/>
    <mergeCell ref="C81:C86"/>
    <mergeCell ref="D93:D99"/>
    <mergeCell ref="D140:D141"/>
    <mergeCell ref="D127:D129"/>
    <mergeCell ref="D381:D383"/>
    <mergeCell ref="D378:D380"/>
    <mergeCell ref="D259:D264"/>
    <mergeCell ref="D254:D256"/>
    <mergeCell ref="D272:D277"/>
    <mergeCell ref="E109:E110"/>
    <mergeCell ref="C100:C102"/>
    <mergeCell ref="B104:B106"/>
    <mergeCell ref="D112:D113"/>
    <mergeCell ref="B112:B113"/>
    <mergeCell ref="D71:D73"/>
    <mergeCell ref="B77:B79"/>
    <mergeCell ref="A38:A43"/>
    <mergeCell ref="D38:D43"/>
    <mergeCell ref="A62:A63"/>
    <mergeCell ref="A55:A61"/>
    <mergeCell ref="D74:D75"/>
    <mergeCell ref="B71:B73"/>
    <mergeCell ref="A6:H6"/>
    <mergeCell ref="B24:B33"/>
    <mergeCell ref="D21:D23"/>
    <mergeCell ref="A24:A33"/>
    <mergeCell ref="C21:C23"/>
    <mergeCell ref="C24:C33"/>
    <mergeCell ref="B21:B23"/>
    <mergeCell ref="D24:D33"/>
    <mergeCell ref="A44:A50"/>
    <mergeCell ref="D44:D50"/>
    <mergeCell ref="C38:C43"/>
    <mergeCell ref="A51:A54"/>
    <mergeCell ref="B38:B43"/>
    <mergeCell ref="B44:B50"/>
    <mergeCell ref="B51:B54"/>
    <mergeCell ref="D68:D70"/>
    <mergeCell ref="B66:B67"/>
    <mergeCell ref="C44:C50"/>
    <mergeCell ref="D51:D54"/>
    <mergeCell ref="D55:D61"/>
    <mergeCell ref="D66:D67"/>
    <mergeCell ref="C68:C70"/>
    <mergeCell ref="B55:B61"/>
    <mergeCell ref="D62:D63"/>
    <mergeCell ref="A74:A75"/>
    <mergeCell ref="A68:A69"/>
    <mergeCell ref="B68:B70"/>
    <mergeCell ref="B74:B75"/>
    <mergeCell ref="A66:A67"/>
    <mergeCell ref="C51:C54"/>
    <mergeCell ref="D64:D65"/>
    <mergeCell ref="B64:B65"/>
    <mergeCell ref="B62:B63"/>
    <mergeCell ref="C66:C67"/>
    <mergeCell ref="A64:A65"/>
    <mergeCell ref="B93:B99"/>
    <mergeCell ref="D156:D162"/>
    <mergeCell ref="A112:A113"/>
    <mergeCell ref="D144:D146"/>
    <mergeCell ref="D114:D121"/>
    <mergeCell ref="C130:C132"/>
    <mergeCell ref="B127:B129"/>
    <mergeCell ref="B140:B141"/>
    <mergeCell ref="B144:B146"/>
    <mergeCell ref="A127:A129"/>
    <mergeCell ref="D122:D126"/>
    <mergeCell ref="A148:A151"/>
    <mergeCell ref="C144:C146"/>
    <mergeCell ref="B148:B151"/>
    <mergeCell ref="C156:C162"/>
    <mergeCell ref="B156:B162"/>
    <mergeCell ref="A156:A162"/>
    <mergeCell ref="B114:B121"/>
    <mergeCell ref="B122:B126"/>
    <mergeCell ref="A122:A126"/>
    <mergeCell ref="B134:B139"/>
    <mergeCell ref="B130:B132"/>
    <mergeCell ref="A181:A182"/>
    <mergeCell ref="A163:A164"/>
    <mergeCell ref="A183:A188"/>
    <mergeCell ref="B199:B205"/>
    <mergeCell ref="B169:B171"/>
    <mergeCell ref="A81:A86"/>
    <mergeCell ref="A130:A132"/>
    <mergeCell ref="A89:A90"/>
    <mergeCell ref="A134:A138"/>
    <mergeCell ref="A114:A121"/>
    <mergeCell ref="A93:A97"/>
    <mergeCell ref="A272:A277"/>
    <mergeCell ref="B272:B277"/>
    <mergeCell ref="A244:A245"/>
    <mergeCell ref="C259:C264"/>
    <mergeCell ref="C249:C252"/>
    <mergeCell ref="C254:C256"/>
    <mergeCell ref="B267:B268"/>
    <mergeCell ref="B254:B256"/>
    <mergeCell ref="C246:C248"/>
    <mergeCell ref="B259:B264"/>
    <mergeCell ref="D299:D302"/>
    <mergeCell ref="D307:D310"/>
    <mergeCell ref="B353:B360"/>
    <mergeCell ref="A312:A313"/>
    <mergeCell ref="C353:C360"/>
    <mergeCell ref="A307:A310"/>
    <mergeCell ref="A299:A302"/>
    <mergeCell ref="B299:B306"/>
    <mergeCell ref="A343:A344"/>
    <mergeCell ref="A335:A336"/>
    <mergeCell ref="D343:D344"/>
    <mergeCell ref="B378:B380"/>
    <mergeCell ref="D335:D336"/>
    <mergeCell ref="D368:D374"/>
    <mergeCell ref="C363:C365"/>
    <mergeCell ref="A457:A464"/>
    <mergeCell ref="D457:D464"/>
    <mergeCell ref="B423:B430"/>
    <mergeCell ref="B441:B448"/>
    <mergeCell ref="D453:D455"/>
    <mergeCell ref="A423:A430"/>
    <mergeCell ref="D423:D430"/>
    <mergeCell ref="A441:A448"/>
    <mergeCell ref="D441:D448"/>
    <mergeCell ref="H249:H250"/>
    <mergeCell ref="A451:A452"/>
    <mergeCell ref="D451:D452"/>
    <mergeCell ref="A386:A393"/>
    <mergeCell ref="D386:D393"/>
    <mergeCell ref="A405:A412"/>
    <mergeCell ref="A414:A415"/>
    <mergeCell ref="A353:A360"/>
    <mergeCell ref="D353:D360"/>
    <mergeCell ref="D316:D318"/>
    <mergeCell ref="A165:A168"/>
    <mergeCell ref="B181:B182"/>
    <mergeCell ref="A225:A229"/>
    <mergeCell ref="B165:B168"/>
    <mergeCell ref="B183:B188"/>
    <mergeCell ref="B197:B198"/>
    <mergeCell ref="B218:B219"/>
    <mergeCell ref="B193:B196"/>
    <mergeCell ref="A218:A219"/>
    <mergeCell ref="A193:A196"/>
    <mergeCell ref="A239:A243"/>
    <mergeCell ref="A189:A192"/>
    <mergeCell ref="A197:A198"/>
    <mergeCell ref="A259:A264"/>
    <mergeCell ref="A234:A238"/>
    <mergeCell ref="A249:A250"/>
    <mergeCell ref="A199:A205"/>
    <mergeCell ref="B249:B252"/>
    <mergeCell ref="C225:C229"/>
    <mergeCell ref="C231:C233"/>
    <mergeCell ref="B221:B224"/>
    <mergeCell ref="G249:G250"/>
    <mergeCell ref="F249:F250"/>
    <mergeCell ref="D197:D198"/>
    <mergeCell ref="D193:D196"/>
    <mergeCell ref="E249:E250"/>
    <mergeCell ref="D210:D213"/>
    <mergeCell ref="D215:D216"/>
    <mergeCell ref="D244:D245"/>
    <mergeCell ref="D199:D205"/>
    <mergeCell ref="D231:D233"/>
    <mergeCell ref="D77:D79"/>
    <mergeCell ref="C104:C106"/>
    <mergeCell ref="B100:B102"/>
    <mergeCell ref="D89:D90"/>
    <mergeCell ref="B89:B92"/>
    <mergeCell ref="D81:D86"/>
    <mergeCell ref="D104:D106"/>
    <mergeCell ref="B81:B86"/>
    <mergeCell ref="D100:D102"/>
    <mergeCell ref="C89:C92"/>
    <mergeCell ref="B153:B155"/>
    <mergeCell ref="D153:D155"/>
    <mergeCell ref="C189:C192"/>
    <mergeCell ref="B239:B243"/>
    <mergeCell ref="D221:D224"/>
    <mergeCell ref="B234:B238"/>
    <mergeCell ref="C153:C155"/>
    <mergeCell ref="C163:C164"/>
    <mergeCell ref="D189:D192"/>
    <mergeCell ref="D234:D238"/>
    <mergeCell ref="D134:D139"/>
    <mergeCell ref="D130:D132"/>
    <mergeCell ref="D239:D243"/>
    <mergeCell ref="D148:D151"/>
    <mergeCell ref="D169:D171"/>
    <mergeCell ref="B225:B229"/>
    <mergeCell ref="B319:B321"/>
    <mergeCell ref="B327:B329"/>
    <mergeCell ref="D319:D321"/>
    <mergeCell ref="D288:D290"/>
    <mergeCell ref="B324:B326"/>
    <mergeCell ref="D324:D326"/>
    <mergeCell ref="B307:B310"/>
    <mergeCell ref="B288:B290"/>
    <mergeCell ref="B246:B248"/>
    <mergeCell ref="C338:C340"/>
    <mergeCell ref="C324:C326"/>
    <mergeCell ref="C316:C318"/>
    <mergeCell ref="C319:C321"/>
    <mergeCell ref="C335:C336"/>
    <mergeCell ref="B332:B333"/>
    <mergeCell ref="C332:C333"/>
    <mergeCell ref="D332:D333"/>
    <mergeCell ref="B316:B318"/>
    <mergeCell ref="C327:C329"/>
    <mergeCell ref="B457:B464"/>
    <mergeCell ref="B312:B313"/>
    <mergeCell ref="B335:B336"/>
    <mergeCell ref="D434:D436"/>
    <mergeCell ref="B368:B374"/>
    <mergeCell ref="D398:D401"/>
    <mergeCell ref="C386:C390"/>
    <mergeCell ref="D312:D313"/>
    <mergeCell ref="D438:D440"/>
    <mergeCell ref="B386:B393"/>
    <mergeCell ref="D181:D182"/>
    <mergeCell ref="D225:D229"/>
    <mergeCell ref="B244:B245"/>
    <mergeCell ref="C307:C310"/>
    <mergeCell ref="C221:C224"/>
    <mergeCell ref="C272:C277"/>
    <mergeCell ref="D249:D250"/>
    <mergeCell ref="D218:D219"/>
    <mergeCell ref="C299:C306"/>
    <mergeCell ref="B231:B233"/>
    <mergeCell ref="B215:B216"/>
    <mergeCell ref="C210:C213"/>
    <mergeCell ref="B189:B192"/>
    <mergeCell ref="D163:D164"/>
    <mergeCell ref="D165:D168"/>
    <mergeCell ref="B163:B164"/>
    <mergeCell ref="B210:B213"/>
    <mergeCell ref="D183:D188"/>
    <mergeCell ref="C165:C168"/>
    <mergeCell ref="C183:C188"/>
    <mergeCell ref="C378:C380"/>
    <mergeCell ref="C434:C436"/>
    <mergeCell ref="C417:C419"/>
    <mergeCell ref="C453:C455"/>
    <mergeCell ref="C381:C383"/>
    <mergeCell ref="C414:C415"/>
    <mergeCell ref="C457:C464"/>
    <mergeCell ref="C441:C444"/>
    <mergeCell ref="C438:C440"/>
    <mergeCell ref="C423:C430"/>
    <mergeCell ref="B453:B455"/>
    <mergeCell ref="B405:B412"/>
    <mergeCell ref="B417:B419"/>
    <mergeCell ref="B451:B452"/>
    <mergeCell ref="B434:B436"/>
    <mergeCell ref="B414:B415"/>
    <mergeCell ref="B438:B440"/>
    <mergeCell ref="C112:C113"/>
    <mergeCell ref="C288:C290"/>
    <mergeCell ref="C239:C241"/>
    <mergeCell ref="C312:C313"/>
    <mergeCell ref="C122:C126"/>
    <mergeCell ref="C267:C268"/>
    <mergeCell ref="C169:C171"/>
    <mergeCell ref="C193:C196"/>
    <mergeCell ref="C199:C203"/>
    <mergeCell ref="C215:C216"/>
    <mergeCell ref="B286:B287"/>
    <mergeCell ref="C286:C287"/>
    <mergeCell ref="D286:D287"/>
    <mergeCell ref="B16:B19"/>
    <mergeCell ref="C16:C19"/>
    <mergeCell ref="D16:D19"/>
    <mergeCell ref="B87:B88"/>
    <mergeCell ref="C87:C88"/>
    <mergeCell ref="C55:C61"/>
    <mergeCell ref="C93:C99"/>
    <mergeCell ref="D12:D15"/>
    <mergeCell ref="B12:B15"/>
    <mergeCell ref="C12:C15"/>
    <mergeCell ref="C405:C412"/>
    <mergeCell ref="C234:C238"/>
    <mergeCell ref="C62:C63"/>
    <mergeCell ref="C71:C73"/>
    <mergeCell ref="C74:C75"/>
    <mergeCell ref="C77:C79"/>
    <mergeCell ref="C148:C151"/>
    <mergeCell ref="A469:C469"/>
    <mergeCell ref="F469:H469"/>
    <mergeCell ref="D35:D37"/>
    <mergeCell ref="A36:A37"/>
    <mergeCell ref="B36:B37"/>
    <mergeCell ref="C36:C37"/>
    <mergeCell ref="C134:C139"/>
    <mergeCell ref="C114:C121"/>
    <mergeCell ref="C127:C129"/>
    <mergeCell ref="A286:A287"/>
  </mergeCells>
  <printOptions/>
  <pageMargins left="0.7874015748031497" right="0.7874015748031497" top="1.1811023622047245" bottom="0.3937007874015748" header="0.1968503937007874" footer="0.1968503937007874"/>
  <pageSetup fitToHeight="20" fitToWidth="1" horizontalDpi="600" verticalDpi="600" orientation="landscape" paperSize="9" scale="57" r:id="rId1"/>
  <headerFooter alignWithMargins="0">
    <oddHeader>&amp;C&amp;P</oddHeader>
  </headerFooter>
  <ignoredErrors>
    <ignoredError sqref="B2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458</v>
      </c>
      <c r="G1" s="13"/>
    </row>
    <row r="2" spans="5:7" ht="28.5" customHeight="1">
      <c r="E2" s="14" t="s">
        <v>459</v>
      </c>
      <c r="G2" s="13"/>
    </row>
    <row r="3" spans="3:7" ht="39.75" customHeight="1">
      <c r="C3" s="8"/>
      <c r="E3" s="14" t="s">
        <v>573</v>
      </c>
      <c r="G3" s="13"/>
    </row>
    <row r="5" spans="1:10" s="6" customFormat="1" ht="28.5" customHeight="1">
      <c r="A5" s="253" t="s">
        <v>8</v>
      </c>
      <c r="B5" s="253"/>
      <c r="C5" s="253"/>
      <c r="D5" s="253"/>
      <c r="E5" s="253"/>
      <c r="F5" s="253"/>
      <c r="G5" s="253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297</v>
      </c>
      <c r="H7" s="63"/>
    </row>
    <row r="8" spans="1:8" s="2" customFormat="1" ht="45.75" customHeight="1">
      <c r="A8" s="64" t="s">
        <v>266</v>
      </c>
      <c r="B8" s="188" t="s">
        <v>268</v>
      </c>
      <c r="C8" s="188" t="s">
        <v>292</v>
      </c>
      <c r="D8" s="188"/>
      <c r="E8" s="188" t="s">
        <v>295</v>
      </c>
      <c r="F8" s="188"/>
      <c r="G8" s="4" t="s">
        <v>296</v>
      </c>
      <c r="H8" s="186" t="s">
        <v>234</v>
      </c>
    </row>
    <row r="9" spans="1:8" s="2" customFormat="1" ht="57.75" customHeight="1">
      <c r="A9" s="64" t="s">
        <v>267</v>
      </c>
      <c r="B9" s="188"/>
      <c r="C9" s="4" t="s">
        <v>293</v>
      </c>
      <c r="D9" s="4" t="s">
        <v>294</v>
      </c>
      <c r="E9" s="4" t="s">
        <v>293</v>
      </c>
      <c r="F9" s="4" t="s">
        <v>294</v>
      </c>
      <c r="G9" s="4" t="s">
        <v>294</v>
      </c>
      <c r="H9" s="187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394</v>
      </c>
      <c r="B11" s="23" t="s">
        <v>270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184" t="s">
        <v>426</v>
      </c>
      <c r="B12" s="188" t="s">
        <v>427</v>
      </c>
      <c r="C12" s="4"/>
      <c r="D12" s="17"/>
      <c r="E12" s="4" t="s">
        <v>69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184"/>
      <c r="B13" s="188"/>
      <c r="C13" s="4" t="s">
        <v>38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184" t="s">
        <v>310</v>
      </c>
      <c r="B14" s="188" t="s">
        <v>336</v>
      </c>
      <c r="C14" s="4" t="s">
        <v>232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184"/>
      <c r="B15" s="188"/>
      <c r="C15" s="4"/>
      <c r="D15" s="17"/>
      <c r="E15" s="35" t="s">
        <v>229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184" t="s">
        <v>316</v>
      </c>
      <c r="B16" s="188" t="s">
        <v>317</v>
      </c>
      <c r="C16" s="188"/>
      <c r="D16" s="17"/>
      <c r="E16" s="4" t="s">
        <v>62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184"/>
      <c r="B17" s="188"/>
      <c r="C17" s="188"/>
      <c r="D17" s="5"/>
      <c r="E17" s="4" t="s">
        <v>389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184"/>
      <c r="B18" s="188"/>
      <c r="C18" s="188"/>
      <c r="D18" s="5"/>
      <c r="E18" s="4" t="s">
        <v>388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184"/>
      <c r="B19" s="188"/>
      <c r="C19" s="188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475</v>
      </c>
      <c r="B20" s="40" t="s">
        <v>476</v>
      </c>
      <c r="C20" s="4"/>
      <c r="D20" s="5"/>
      <c r="E20" s="4" t="s">
        <v>518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337</v>
      </c>
      <c r="C21" s="16"/>
      <c r="D21" s="15"/>
      <c r="E21" s="4" t="s">
        <v>28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453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51">
        <v>250404</v>
      </c>
      <c r="B23" s="188" t="s">
        <v>324</v>
      </c>
      <c r="C23" s="4" t="s">
        <v>32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51"/>
      <c r="B24" s="188"/>
      <c r="C24" s="4" t="s">
        <v>31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51"/>
      <c r="B25" s="188"/>
      <c r="C25" s="4" t="s">
        <v>390</v>
      </c>
      <c r="D25" s="17">
        <v>120000</v>
      </c>
      <c r="E25" s="4" t="s">
        <v>390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51"/>
      <c r="B26" s="188"/>
      <c r="C26" s="4" t="s">
        <v>26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51"/>
      <c r="B27" s="188"/>
      <c r="C27" s="4" t="s">
        <v>457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51"/>
      <c r="B28" s="188"/>
      <c r="C28" s="35" t="s">
        <v>528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51"/>
      <c r="B29" s="188"/>
      <c r="C29" s="4" t="s">
        <v>580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51"/>
      <c r="B30" s="188"/>
      <c r="C30" s="4" t="s">
        <v>518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402</v>
      </c>
      <c r="B31" s="23" t="s">
        <v>281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426</v>
      </c>
      <c r="B32" s="4" t="s">
        <v>427</v>
      </c>
      <c r="C32" s="4" t="s">
        <v>451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426</v>
      </c>
      <c r="B33" s="4" t="s">
        <v>427</v>
      </c>
      <c r="C33" s="4" t="s">
        <v>38</v>
      </c>
      <c r="D33" s="17">
        <v>885</v>
      </c>
      <c r="E33" s="4" t="s">
        <v>69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184" t="s">
        <v>299</v>
      </c>
      <c r="B34" s="188" t="s">
        <v>339</v>
      </c>
      <c r="C34" s="4" t="s">
        <v>101</v>
      </c>
      <c r="D34" s="17">
        <v>4567066</v>
      </c>
      <c r="E34" s="4" t="s">
        <v>82</v>
      </c>
      <c r="F34" s="19">
        <f>3158108-F35</f>
        <v>2760193</v>
      </c>
      <c r="G34" s="19">
        <f>D34+F34</f>
        <v>7327259</v>
      </c>
      <c r="H34" s="71" t="s">
        <v>235</v>
      </c>
      <c r="I34" s="46"/>
    </row>
    <row r="35" spans="1:9" s="20" customFormat="1" ht="47.25" hidden="1">
      <c r="A35" s="184"/>
      <c r="B35" s="188"/>
      <c r="C35" s="35" t="s">
        <v>229</v>
      </c>
      <c r="D35" s="38">
        <v>24450</v>
      </c>
      <c r="E35" s="35" t="s">
        <v>229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184"/>
      <c r="B36" s="188"/>
      <c r="C36" s="4" t="s">
        <v>38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184" t="s">
        <v>300</v>
      </c>
      <c r="B37" s="184" t="s">
        <v>340</v>
      </c>
      <c r="C37" s="4" t="s">
        <v>101</v>
      </c>
      <c r="D37" s="17">
        <v>6523141</v>
      </c>
      <c r="E37" s="4" t="s">
        <v>82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184"/>
      <c r="B38" s="184"/>
      <c r="C38" s="4" t="s">
        <v>491</v>
      </c>
      <c r="D38" s="17"/>
      <c r="E38" s="4" t="s">
        <v>491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184"/>
      <c r="B39" s="184"/>
      <c r="C39" s="4" t="s">
        <v>491</v>
      </c>
      <c r="D39" s="17"/>
      <c r="E39" s="4" t="s">
        <v>491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184"/>
      <c r="B40" s="184"/>
      <c r="C40" s="4" t="s">
        <v>102</v>
      </c>
      <c r="D40" s="17">
        <v>522962</v>
      </c>
      <c r="E40" s="4" t="s">
        <v>102</v>
      </c>
      <c r="F40" s="19">
        <v>127071</v>
      </c>
      <c r="G40" s="19">
        <f t="shared" si="1"/>
        <v>650033</v>
      </c>
      <c r="H40" s="4" t="s">
        <v>235</v>
      </c>
      <c r="I40" s="46"/>
    </row>
    <row r="41" spans="1:9" s="20" customFormat="1" ht="47.25" hidden="1">
      <c r="A41" s="184"/>
      <c r="B41" s="184"/>
      <c r="C41" s="35" t="s">
        <v>229</v>
      </c>
      <c r="D41" s="38">
        <v>99122</v>
      </c>
      <c r="E41" s="35" t="s">
        <v>229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184"/>
      <c r="B42" s="184"/>
      <c r="C42" s="4" t="s">
        <v>38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184" t="s">
        <v>301</v>
      </c>
      <c r="B43" s="188" t="s">
        <v>341</v>
      </c>
      <c r="C43" s="4" t="s">
        <v>101</v>
      </c>
      <c r="D43" s="17">
        <v>1636</v>
      </c>
      <c r="E43" s="4" t="s">
        <v>82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184"/>
      <c r="B44" s="188"/>
      <c r="C44" s="4" t="s">
        <v>38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184"/>
      <c r="B45" s="188"/>
      <c r="C45" s="4"/>
      <c r="D45" s="17"/>
      <c r="E45" s="35" t="s">
        <v>229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184" t="s">
        <v>258</v>
      </c>
      <c r="B46" s="188" t="s">
        <v>259</v>
      </c>
      <c r="C46" s="4" t="s">
        <v>103</v>
      </c>
      <c r="D46" s="17">
        <v>29827597</v>
      </c>
      <c r="E46" s="4" t="s">
        <v>83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184"/>
      <c r="B47" s="188"/>
      <c r="C47" s="4" t="s">
        <v>571</v>
      </c>
      <c r="D47" s="17">
        <v>0</v>
      </c>
      <c r="E47" s="4" t="s">
        <v>571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184"/>
      <c r="B48" s="188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184"/>
      <c r="B49" s="188"/>
      <c r="C49" s="35" t="s">
        <v>229</v>
      </c>
      <c r="D49" s="36">
        <v>5000</v>
      </c>
      <c r="E49" s="35" t="s">
        <v>229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184"/>
      <c r="B50" s="188"/>
      <c r="C50" s="4" t="s">
        <v>38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542</v>
      </c>
      <c r="B51" s="4" t="s">
        <v>541</v>
      </c>
      <c r="C51" s="4" t="s">
        <v>38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182" t="s">
        <v>40</v>
      </c>
      <c r="B52" s="186" t="s">
        <v>72</v>
      </c>
      <c r="C52" s="4" t="s">
        <v>101</v>
      </c>
      <c r="D52" s="19">
        <v>30000</v>
      </c>
      <c r="E52" s="4" t="s">
        <v>82</v>
      </c>
      <c r="F52" s="19">
        <v>400000</v>
      </c>
      <c r="G52" s="19">
        <f>D52+F52</f>
        <v>430000</v>
      </c>
      <c r="H52" s="4" t="s">
        <v>235</v>
      </c>
      <c r="I52" s="46"/>
    </row>
    <row r="53" spans="1:9" s="20" customFormat="1" ht="63.75" customHeight="1" hidden="1">
      <c r="A53" s="183"/>
      <c r="B53" s="187"/>
      <c r="C53" s="4" t="s">
        <v>38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182" t="s">
        <v>549</v>
      </c>
      <c r="B54" s="186" t="s">
        <v>550</v>
      </c>
      <c r="C54" s="4" t="s">
        <v>101</v>
      </c>
      <c r="D54" s="19">
        <v>60000</v>
      </c>
      <c r="E54" s="4" t="s">
        <v>82</v>
      </c>
      <c r="F54" s="19">
        <v>94430</v>
      </c>
      <c r="G54" s="19">
        <f t="shared" si="2"/>
        <v>154430</v>
      </c>
      <c r="H54" s="71" t="s">
        <v>235</v>
      </c>
      <c r="I54" s="52"/>
    </row>
    <row r="55" spans="1:9" s="51" customFormat="1" ht="46.5" customHeight="1" hidden="1">
      <c r="A55" s="183"/>
      <c r="B55" s="187"/>
      <c r="C55" s="4" t="s">
        <v>38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543</v>
      </c>
      <c r="B56" s="4" t="s">
        <v>544</v>
      </c>
      <c r="C56" s="4" t="s">
        <v>38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313</v>
      </c>
      <c r="B57" s="4" t="s">
        <v>260</v>
      </c>
      <c r="C57" s="4" t="s">
        <v>106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302</v>
      </c>
      <c r="B58" s="4" t="s">
        <v>335</v>
      </c>
      <c r="C58" s="4" t="s">
        <v>104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418</v>
      </c>
      <c r="B59" s="4" t="s">
        <v>419</v>
      </c>
      <c r="C59" s="4" t="s">
        <v>105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502</v>
      </c>
      <c r="B60" s="4" t="s">
        <v>503</v>
      </c>
      <c r="C60" s="4" t="s">
        <v>105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184" t="s">
        <v>342</v>
      </c>
      <c r="B61" s="188" t="s">
        <v>452</v>
      </c>
      <c r="C61" s="4" t="s">
        <v>105</v>
      </c>
      <c r="D61" s="17">
        <v>447580</v>
      </c>
      <c r="E61" s="4" t="s">
        <v>84</v>
      </c>
      <c r="F61" s="19">
        <f>39500-F62</f>
        <v>0</v>
      </c>
      <c r="G61" s="19">
        <f t="shared" si="2"/>
        <v>447580</v>
      </c>
      <c r="H61" s="4" t="s">
        <v>235</v>
      </c>
      <c r="I61" s="46"/>
    </row>
    <row r="62" spans="1:9" s="20" customFormat="1" ht="47.25" hidden="1">
      <c r="A62" s="184"/>
      <c r="B62" s="188"/>
      <c r="C62" s="35" t="s">
        <v>229</v>
      </c>
      <c r="D62" s="36">
        <v>1000</v>
      </c>
      <c r="E62" s="35" t="s">
        <v>229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184"/>
      <c r="B63" s="188"/>
      <c r="C63" s="4" t="s">
        <v>38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416</v>
      </c>
      <c r="B64" s="4" t="s">
        <v>417</v>
      </c>
      <c r="C64" s="4" t="s">
        <v>222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51">
        <v>130112</v>
      </c>
      <c r="B65" s="188" t="s">
        <v>324</v>
      </c>
      <c r="C65" s="4" t="s">
        <v>38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51"/>
      <c r="B66" s="188"/>
      <c r="C66" s="4" t="s">
        <v>223</v>
      </c>
      <c r="D66" s="21">
        <v>453294</v>
      </c>
      <c r="E66" s="4" t="s">
        <v>223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184" t="s">
        <v>316</v>
      </c>
      <c r="B67" s="188" t="s">
        <v>317</v>
      </c>
      <c r="C67" s="4"/>
      <c r="D67" s="5"/>
      <c r="E67" s="4" t="s">
        <v>85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184"/>
      <c r="B68" s="188"/>
      <c r="C68" s="4"/>
      <c r="D68" s="5"/>
      <c r="E68" s="4" t="s">
        <v>86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184"/>
      <c r="B69" s="188"/>
      <c r="C69" s="4"/>
      <c r="D69" s="5"/>
      <c r="E69" s="4" t="s">
        <v>87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338</v>
      </c>
      <c r="C70" s="4"/>
      <c r="D70" s="5"/>
      <c r="E70" s="4" t="s">
        <v>21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256</v>
      </c>
      <c r="B71" s="4" t="s">
        <v>257</v>
      </c>
      <c r="C71" s="186" t="s">
        <v>81</v>
      </c>
      <c r="D71" s="15">
        <v>2065077</v>
      </c>
      <c r="E71" s="4" t="s">
        <v>81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568</v>
      </c>
      <c r="B72" s="4" t="s">
        <v>569</v>
      </c>
      <c r="C72" s="187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403</v>
      </c>
      <c r="B73" s="23" t="s">
        <v>282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426</v>
      </c>
      <c r="B74" s="4" t="s">
        <v>427</v>
      </c>
      <c r="C74" s="4" t="s">
        <v>39</v>
      </c>
      <c r="D74" s="17">
        <v>2829</v>
      </c>
      <c r="E74" s="4" t="s">
        <v>69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184" t="s">
        <v>304</v>
      </c>
      <c r="B75" s="188" t="s">
        <v>251</v>
      </c>
      <c r="C75" s="4" t="s">
        <v>558</v>
      </c>
      <c r="D75" s="17">
        <v>0</v>
      </c>
      <c r="E75" s="4" t="s">
        <v>558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184"/>
      <c r="B76" s="188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184"/>
      <c r="B77" s="188"/>
      <c r="C77" s="4" t="s">
        <v>559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184"/>
      <c r="B78" s="188"/>
      <c r="C78" s="35" t="s">
        <v>229</v>
      </c>
      <c r="D78" s="38">
        <v>38750</v>
      </c>
      <c r="E78" s="35" t="s">
        <v>229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184"/>
      <c r="B79" s="188"/>
      <c r="C79" s="4" t="s">
        <v>39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184" t="s">
        <v>343</v>
      </c>
      <c r="B80" s="188" t="s">
        <v>493</v>
      </c>
      <c r="C80" s="4" t="s">
        <v>558</v>
      </c>
      <c r="D80" s="17">
        <v>0</v>
      </c>
      <c r="E80" s="4" t="s">
        <v>558</v>
      </c>
      <c r="F80" s="19">
        <v>699466</v>
      </c>
      <c r="G80" s="19">
        <f t="shared" si="3"/>
        <v>699466</v>
      </c>
      <c r="H80" s="71" t="s">
        <v>235</v>
      </c>
      <c r="I80" s="46"/>
    </row>
    <row r="81" spans="1:9" s="20" customFormat="1" ht="47.25" hidden="1">
      <c r="A81" s="184"/>
      <c r="B81" s="188"/>
      <c r="C81" s="35" t="s">
        <v>229</v>
      </c>
      <c r="D81" s="36">
        <v>0</v>
      </c>
      <c r="E81" s="35" t="s">
        <v>229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184"/>
      <c r="B82" s="188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184" t="s">
        <v>305</v>
      </c>
      <c r="B83" s="188" t="s">
        <v>252</v>
      </c>
      <c r="C83" s="4" t="s">
        <v>558</v>
      </c>
      <c r="D83" s="17">
        <v>0</v>
      </c>
      <c r="E83" s="4" t="s">
        <v>558</v>
      </c>
      <c r="F83" s="19">
        <v>668216</v>
      </c>
      <c r="G83" s="19">
        <f t="shared" si="3"/>
        <v>668216</v>
      </c>
      <c r="H83" s="71" t="s">
        <v>235</v>
      </c>
      <c r="I83" s="46"/>
    </row>
    <row r="84" spans="1:9" s="20" customFormat="1" ht="47.25" hidden="1">
      <c r="A84" s="184"/>
      <c r="B84" s="188"/>
      <c r="C84" s="35" t="s">
        <v>229</v>
      </c>
      <c r="D84" s="36">
        <v>28156</v>
      </c>
      <c r="E84" s="35" t="s">
        <v>229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184"/>
      <c r="B85" s="188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184" t="s">
        <v>306</v>
      </c>
      <c r="B86" s="188" t="s">
        <v>253</v>
      </c>
      <c r="C86" s="4" t="s">
        <v>558</v>
      </c>
      <c r="D86" s="17">
        <v>0</v>
      </c>
      <c r="E86" s="4" t="s">
        <v>558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184"/>
      <c r="B87" s="188"/>
      <c r="C87" s="4"/>
      <c r="D87" s="17"/>
      <c r="E87" s="35" t="s">
        <v>229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184"/>
      <c r="B88" s="188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182" t="s">
        <v>551</v>
      </c>
      <c r="B89" s="186" t="s">
        <v>552</v>
      </c>
      <c r="C89" s="4" t="s">
        <v>558</v>
      </c>
      <c r="D89" s="17">
        <v>0</v>
      </c>
      <c r="E89" s="4" t="s">
        <v>558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83"/>
      <c r="B90" s="187"/>
      <c r="C90" s="4" t="s">
        <v>39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344</v>
      </c>
      <c r="B91" s="4" t="s">
        <v>345</v>
      </c>
      <c r="C91" s="4" t="s">
        <v>506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71</v>
      </c>
      <c r="B92" s="4" t="s">
        <v>72</v>
      </c>
      <c r="C92" s="4"/>
      <c r="D92" s="17"/>
      <c r="E92" s="4" t="s">
        <v>70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308</v>
      </c>
      <c r="B93" s="4" t="s">
        <v>494</v>
      </c>
      <c r="C93" s="4" t="s">
        <v>231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316</v>
      </c>
      <c r="B94" s="4" t="s">
        <v>317</v>
      </c>
      <c r="C94" s="4"/>
      <c r="D94" s="5"/>
      <c r="E94" s="4" t="s">
        <v>70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184" t="s">
        <v>303</v>
      </c>
      <c r="B95" s="188" t="s">
        <v>337</v>
      </c>
      <c r="C95" s="4"/>
      <c r="D95" s="5"/>
      <c r="E95" s="4" t="s">
        <v>391</v>
      </c>
      <c r="F95" s="12"/>
      <c r="G95" s="9">
        <v>0</v>
      </c>
      <c r="H95" s="4"/>
      <c r="I95" s="46"/>
    </row>
    <row r="96" spans="1:9" s="20" customFormat="1" ht="33" customHeight="1" hidden="1">
      <c r="A96" s="184"/>
      <c r="B96" s="188"/>
      <c r="C96" s="4"/>
      <c r="D96" s="5"/>
      <c r="E96" s="4" t="s">
        <v>392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404</v>
      </c>
      <c r="B97" s="23" t="s">
        <v>283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184" t="s">
        <v>426</v>
      </c>
      <c r="B98" s="188" t="s">
        <v>427</v>
      </c>
      <c r="C98" s="4"/>
      <c r="D98" s="19"/>
      <c r="E98" s="4" t="s">
        <v>69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184"/>
      <c r="B99" s="188"/>
      <c r="C99" s="4" t="s">
        <v>492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184"/>
      <c r="B100" s="188"/>
      <c r="C100" s="4" t="s">
        <v>39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184" t="s">
        <v>311</v>
      </c>
      <c r="B101" s="188" t="s">
        <v>498</v>
      </c>
      <c r="C101" s="4" t="s">
        <v>39</v>
      </c>
      <c r="D101" s="19">
        <v>239</v>
      </c>
      <c r="E101" s="4" t="s">
        <v>88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184"/>
      <c r="B102" s="188"/>
      <c r="C102" s="4" t="s">
        <v>548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312</v>
      </c>
      <c r="B103" s="4" t="s">
        <v>499</v>
      </c>
      <c r="C103" s="4" t="s">
        <v>88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313</v>
      </c>
      <c r="B104" s="4" t="s">
        <v>500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184" t="s">
        <v>424</v>
      </c>
      <c r="B105" s="188" t="s">
        <v>425</v>
      </c>
      <c r="C105" s="4" t="s">
        <v>64</v>
      </c>
      <c r="D105" s="17">
        <v>3925134</v>
      </c>
      <c r="E105" s="4" t="s">
        <v>89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184"/>
      <c r="B106" s="188"/>
      <c r="C106" s="4" t="s">
        <v>13</v>
      </c>
      <c r="D106" s="17">
        <v>24192</v>
      </c>
      <c r="E106" s="4" t="s">
        <v>13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184"/>
      <c r="B107" s="188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184"/>
      <c r="B108" s="188"/>
      <c r="C108" s="35" t="s">
        <v>229</v>
      </c>
      <c r="D108" s="37">
        <v>3500</v>
      </c>
      <c r="E108" s="35" t="s">
        <v>229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184"/>
      <c r="B109" s="188"/>
      <c r="C109" s="4" t="s">
        <v>39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184" t="s">
        <v>255</v>
      </c>
      <c r="B110" s="188" t="s">
        <v>249</v>
      </c>
      <c r="C110" s="4" t="s">
        <v>65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184"/>
      <c r="B111" s="188"/>
      <c r="C111" s="35" t="s">
        <v>528</v>
      </c>
      <c r="D111" s="37">
        <v>0</v>
      </c>
      <c r="E111" s="35" t="s">
        <v>528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184" t="s">
        <v>318</v>
      </c>
      <c r="B112" s="188" t="s">
        <v>325</v>
      </c>
      <c r="C112" s="4" t="s">
        <v>65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184"/>
      <c r="B113" s="188"/>
      <c r="C113" s="35" t="s">
        <v>528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184" t="s">
        <v>316</v>
      </c>
      <c r="B114" s="188" t="s">
        <v>317</v>
      </c>
      <c r="C114" s="4"/>
      <c r="D114" s="17"/>
      <c r="E114" s="4" t="s">
        <v>535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184"/>
      <c r="B115" s="188"/>
      <c r="C115" s="4"/>
      <c r="D115" s="5"/>
      <c r="E115" s="4" t="s">
        <v>90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265</v>
      </c>
      <c r="B116" s="188" t="s">
        <v>496</v>
      </c>
      <c r="C116" s="4" t="s">
        <v>393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184" t="s">
        <v>265</v>
      </c>
      <c r="B117" s="188"/>
      <c r="C117" s="4" t="s">
        <v>65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184"/>
      <c r="B118" s="188"/>
      <c r="C118" s="4" t="s">
        <v>492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319</v>
      </c>
      <c r="B119" s="4" t="s">
        <v>497</v>
      </c>
      <c r="C119" s="4" t="s">
        <v>65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349</v>
      </c>
      <c r="B120" s="4" t="s">
        <v>484</v>
      </c>
      <c r="C120" s="4" t="s">
        <v>65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437</v>
      </c>
      <c r="B121" s="23" t="s">
        <v>441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426</v>
      </c>
      <c r="B122" s="4" t="s">
        <v>427</v>
      </c>
      <c r="C122" s="4" t="s">
        <v>438</v>
      </c>
      <c r="D122" s="17"/>
      <c r="E122" s="4" t="s">
        <v>438</v>
      </c>
      <c r="F122" s="12"/>
      <c r="G122" s="9">
        <v>0</v>
      </c>
      <c r="H122" s="4"/>
      <c r="I122" s="46"/>
    </row>
    <row r="123" spans="1:9" s="20" customFormat="1" ht="63" hidden="1">
      <c r="A123" s="22" t="s">
        <v>448</v>
      </c>
      <c r="B123" s="23" t="s">
        <v>449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426</v>
      </c>
      <c r="B124" s="4" t="s">
        <v>427</v>
      </c>
      <c r="C124" s="4"/>
      <c r="D124" s="17"/>
      <c r="E124" s="4" t="s">
        <v>69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409</v>
      </c>
      <c r="B125" s="23" t="s">
        <v>286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426</v>
      </c>
      <c r="B126" s="4" t="s">
        <v>427</v>
      </c>
      <c r="C126" s="4" t="s">
        <v>440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184" t="s">
        <v>420</v>
      </c>
      <c r="B127" s="188" t="s">
        <v>421</v>
      </c>
      <c r="C127" s="4" t="s">
        <v>228</v>
      </c>
      <c r="D127" s="17">
        <v>599140</v>
      </c>
      <c r="E127" s="4" t="s">
        <v>228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184"/>
      <c r="B128" s="188"/>
      <c r="C128" s="4" t="s">
        <v>39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184" t="s">
        <v>422</v>
      </c>
      <c r="B129" s="188" t="s">
        <v>423</v>
      </c>
      <c r="C129" s="4" t="s">
        <v>228</v>
      </c>
      <c r="D129" s="17">
        <v>2188093</v>
      </c>
      <c r="E129" s="4" t="s">
        <v>228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184"/>
      <c r="B130" s="188"/>
      <c r="C130" s="35" t="s">
        <v>229</v>
      </c>
      <c r="D130" s="36">
        <v>500</v>
      </c>
      <c r="E130" s="35" t="s">
        <v>229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184"/>
      <c r="B131" s="188"/>
      <c r="C131" s="4" t="s">
        <v>39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182" t="s">
        <v>430</v>
      </c>
      <c r="B132" s="186" t="s">
        <v>431</v>
      </c>
      <c r="C132" s="4" t="s">
        <v>228</v>
      </c>
      <c r="D132" s="17">
        <v>1255924</v>
      </c>
      <c r="E132" s="4" t="s">
        <v>228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49"/>
      <c r="B133" s="250"/>
      <c r="C133" s="35" t="s">
        <v>229</v>
      </c>
      <c r="D133" s="36">
        <v>0</v>
      </c>
      <c r="E133" s="35" t="s">
        <v>229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83"/>
      <c r="B134" s="187"/>
      <c r="C134" s="4" t="s">
        <v>39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184" t="s">
        <v>428</v>
      </c>
      <c r="B135" s="188" t="s">
        <v>429</v>
      </c>
      <c r="C135" s="4" t="s">
        <v>228</v>
      </c>
      <c r="D135" s="17">
        <v>536069</v>
      </c>
      <c r="E135" s="4" t="s">
        <v>228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184"/>
      <c r="B136" s="188"/>
      <c r="C136" s="4" t="s">
        <v>39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184"/>
      <c r="B137" s="188"/>
      <c r="C137" s="4"/>
      <c r="D137" s="17"/>
      <c r="E137" s="35" t="s">
        <v>229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46">
        <v>110300</v>
      </c>
      <c r="B138" s="186" t="s">
        <v>262</v>
      </c>
      <c r="C138" s="4" t="s">
        <v>230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47"/>
      <c r="B139" s="187"/>
      <c r="C139" s="4" t="s">
        <v>39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51">
        <v>110502</v>
      </c>
      <c r="B140" s="188" t="s">
        <v>250</v>
      </c>
      <c r="C140" s="4" t="s">
        <v>225</v>
      </c>
      <c r="D140" s="15">
        <v>1693819</v>
      </c>
      <c r="E140" s="4" t="s">
        <v>91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51"/>
      <c r="B141" s="188"/>
      <c r="C141" s="4" t="s">
        <v>228</v>
      </c>
      <c r="D141" s="15">
        <v>925412</v>
      </c>
      <c r="E141" s="4" t="s">
        <v>228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51"/>
      <c r="B142" s="188"/>
      <c r="C142" s="4" t="s">
        <v>224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51"/>
      <c r="B143" s="188"/>
      <c r="C143" s="4" t="s">
        <v>39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51"/>
      <c r="B144" s="188"/>
      <c r="C144" s="4"/>
      <c r="D144" s="15"/>
      <c r="E144" s="35" t="s">
        <v>528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316</v>
      </c>
      <c r="B145" s="4" t="s">
        <v>317</v>
      </c>
      <c r="C145" s="4"/>
      <c r="D145" s="5"/>
      <c r="E145" s="4" t="s">
        <v>228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560</v>
      </c>
      <c r="B146" s="23" t="s">
        <v>561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426</v>
      </c>
      <c r="B147" s="4" t="s">
        <v>427</v>
      </c>
      <c r="C147" s="4"/>
      <c r="D147" s="5"/>
      <c r="E147" s="55" t="s">
        <v>533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408</v>
      </c>
      <c r="B148" s="23" t="s">
        <v>434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426</v>
      </c>
      <c r="B149" s="4" t="s">
        <v>427</v>
      </c>
      <c r="C149" s="4"/>
      <c r="D149" s="17"/>
      <c r="E149" s="4" t="s">
        <v>69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316</v>
      </c>
      <c r="B150" s="4" t="s">
        <v>317</v>
      </c>
      <c r="C150" s="4"/>
      <c r="D150" s="5"/>
      <c r="E150" s="4" t="s">
        <v>66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309</v>
      </c>
      <c r="B151" s="4" t="s">
        <v>324</v>
      </c>
      <c r="C151" s="4" t="s">
        <v>12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334</v>
      </c>
      <c r="B152" s="4" t="s">
        <v>482</v>
      </c>
      <c r="C152" s="4" t="s">
        <v>4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443</v>
      </c>
      <c r="B153" s="23" t="s">
        <v>444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426</v>
      </c>
      <c r="B154" s="4" t="s">
        <v>427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406</v>
      </c>
      <c r="B155" s="23" t="s">
        <v>489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184" t="s">
        <v>426</v>
      </c>
      <c r="B156" s="188" t="s">
        <v>427</v>
      </c>
      <c r="C156" s="4"/>
      <c r="D156" s="24"/>
      <c r="E156" s="4" t="s">
        <v>69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184"/>
      <c r="B157" s="188"/>
      <c r="C157" s="4" t="s">
        <v>39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318</v>
      </c>
      <c r="B158" s="4" t="s">
        <v>325</v>
      </c>
      <c r="C158" s="4" t="s">
        <v>92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184" t="s">
        <v>480</v>
      </c>
      <c r="B159" s="188" t="s">
        <v>481</v>
      </c>
      <c r="C159" s="4" t="s">
        <v>92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184"/>
      <c r="B160" s="188"/>
      <c r="C160" s="35" t="s">
        <v>229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184" t="s">
        <v>346</v>
      </c>
      <c r="B161" s="188" t="s">
        <v>347</v>
      </c>
      <c r="C161" s="4"/>
      <c r="D161" s="17"/>
      <c r="E161" s="4" t="s">
        <v>93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184"/>
      <c r="B162" s="188"/>
      <c r="C162" s="4" t="s">
        <v>536</v>
      </c>
      <c r="D162" s="17">
        <v>0</v>
      </c>
      <c r="E162" s="4" t="s">
        <v>536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184"/>
      <c r="B163" s="188"/>
      <c r="C163" s="4"/>
      <c r="D163" s="17"/>
      <c r="E163" s="35" t="s">
        <v>229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74</v>
      </c>
      <c r="B164" s="4" t="s">
        <v>75</v>
      </c>
      <c r="C164" s="4" t="s">
        <v>94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524</v>
      </c>
      <c r="B165" s="4" t="s">
        <v>525</v>
      </c>
      <c r="C165" s="4"/>
      <c r="D165" s="17"/>
      <c r="E165" s="4" t="s">
        <v>94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184" t="s">
        <v>326</v>
      </c>
      <c r="B166" s="188" t="s">
        <v>348</v>
      </c>
      <c r="C166" s="4" t="s">
        <v>96</v>
      </c>
      <c r="D166" s="17">
        <v>82050000</v>
      </c>
      <c r="E166" s="4" t="s">
        <v>95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184"/>
      <c r="B167" s="188"/>
      <c r="C167" s="35" t="s">
        <v>229</v>
      </c>
      <c r="D167" s="37">
        <v>0</v>
      </c>
      <c r="E167" s="35" t="s">
        <v>229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553</v>
      </c>
      <c r="B168" s="4" t="s">
        <v>554</v>
      </c>
      <c r="C168" s="35"/>
      <c r="D168" s="37"/>
      <c r="E168" s="4" t="s">
        <v>536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184" t="s">
        <v>316</v>
      </c>
      <c r="B169" s="188" t="s">
        <v>317</v>
      </c>
      <c r="C169" s="4"/>
      <c r="D169" s="5"/>
      <c r="E169" s="4" t="s">
        <v>97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184"/>
      <c r="B170" s="188"/>
      <c r="C170" s="4"/>
      <c r="D170" s="5"/>
      <c r="E170" s="35" t="s">
        <v>229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182" t="s">
        <v>271</v>
      </c>
      <c r="B171" s="186" t="s">
        <v>465</v>
      </c>
      <c r="C171" s="4"/>
      <c r="D171" s="5"/>
      <c r="E171" s="4" t="s">
        <v>536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49"/>
      <c r="B172" s="250"/>
      <c r="C172" s="4"/>
      <c r="D172" s="5"/>
      <c r="E172" s="4" t="s">
        <v>98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83"/>
      <c r="B173" s="187"/>
      <c r="C173" s="4"/>
      <c r="D173" s="5"/>
      <c r="E173" s="4" t="s">
        <v>76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328</v>
      </c>
      <c r="B174" s="4" t="s">
        <v>329</v>
      </c>
      <c r="C174" s="4"/>
      <c r="D174" s="5"/>
      <c r="E174" s="4" t="s">
        <v>73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477</v>
      </c>
      <c r="C175" s="4"/>
      <c r="D175" s="17"/>
      <c r="E175" s="4" t="s">
        <v>495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188">
        <v>180409</v>
      </c>
      <c r="B176" s="188" t="s">
        <v>488</v>
      </c>
      <c r="C176" s="4"/>
      <c r="D176" s="17"/>
      <c r="E176" s="4" t="s">
        <v>99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188"/>
      <c r="B177" s="188"/>
      <c r="C177" s="4"/>
      <c r="D177" s="17"/>
      <c r="E177" s="4" t="s">
        <v>67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261</v>
      </c>
      <c r="B178" s="4" t="s">
        <v>338</v>
      </c>
      <c r="C178" s="4"/>
      <c r="D178" s="5"/>
      <c r="E178" s="4" t="s">
        <v>21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182" t="s">
        <v>309</v>
      </c>
      <c r="B179" s="186" t="s">
        <v>324</v>
      </c>
      <c r="C179" s="4" t="s">
        <v>100</v>
      </c>
      <c r="D179" s="17">
        <v>5627420</v>
      </c>
      <c r="E179" s="4" t="s">
        <v>100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83"/>
      <c r="B180" s="187"/>
      <c r="C180" s="4" t="s">
        <v>13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271</v>
      </c>
      <c r="B181" s="29" t="s">
        <v>465</v>
      </c>
      <c r="C181" s="4"/>
      <c r="D181" s="5"/>
      <c r="E181" s="4" t="s">
        <v>473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487</v>
      </c>
      <c r="B182" s="23" t="s">
        <v>486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318</v>
      </c>
      <c r="B183" s="4" t="s">
        <v>325</v>
      </c>
      <c r="C183" s="4" t="s">
        <v>350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326</v>
      </c>
      <c r="B184" s="4" t="s">
        <v>348</v>
      </c>
      <c r="C184" s="4" t="s">
        <v>463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407</v>
      </c>
      <c r="B185" s="23" t="s">
        <v>285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426</v>
      </c>
      <c r="B186" s="4" t="s">
        <v>427</v>
      </c>
      <c r="C186" s="4"/>
      <c r="D186" s="17"/>
      <c r="E186" s="4" t="s">
        <v>69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309</v>
      </c>
      <c r="B187" s="4" t="s">
        <v>324</v>
      </c>
      <c r="C187" s="4" t="s">
        <v>39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411</v>
      </c>
      <c r="B188" s="23" t="s">
        <v>287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426</v>
      </c>
      <c r="B189" s="4" t="s">
        <v>427</v>
      </c>
      <c r="C189" s="4"/>
      <c r="D189" s="17"/>
      <c r="E189" s="4" t="s">
        <v>69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63</v>
      </c>
      <c r="B190" s="4" t="s">
        <v>68</v>
      </c>
      <c r="C190" s="4" t="s">
        <v>227</v>
      </c>
      <c r="D190" s="17">
        <v>24055</v>
      </c>
      <c r="E190" s="4" t="s">
        <v>227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51">
        <v>250404</v>
      </c>
      <c r="B191" s="251" t="s">
        <v>324</v>
      </c>
      <c r="C191" s="4"/>
      <c r="D191" s="21"/>
      <c r="E191" s="4" t="s">
        <v>233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51"/>
      <c r="B192" s="251"/>
      <c r="C192" s="4" t="s">
        <v>226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52"/>
      <c r="B193" s="251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447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426</v>
      </c>
      <c r="B195" s="4" t="s">
        <v>427</v>
      </c>
      <c r="C195" s="4" t="s">
        <v>439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415</v>
      </c>
      <c r="B196" s="23" t="s">
        <v>291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426</v>
      </c>
      <c r="B197" s="4" t="s">
        <v>427</v>
      </c>
      <c r="C197" s="4"/>
      <c r="D197" s="17"/>
      <c r="E197" s="4" t="s">
        <v>69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273</v>
      </c>
      <c r="B198" s="4" t="s">
        <v>274</v>
      </c>
      <c r="C198" s="4"/>
      <c r="D198" s="17"/>
      <c r="E198" s="70" t="s">
        <v>567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412</v>
      </c>
      <c r="B199" s="23" t="s">
        <v>288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426</v>
      </c>
      <c r="B200" s="4" t="s">
        <v>427</v>
      </c>
      <c r="C200" s="4"/>
      <c r="D200" s="17"/>
      <c r="E200" s="4" t="s">
        <v>69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338</v>
      </c>
      <c r="C201" s="4"/>
      <c r="D201" s="5"/>
      <c r="E201" s="4" t="s">
        <v>21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485</v>
      </c>
      <c r="C202" s="4"/>
      <c r="D202" s="5"/>
      <c r="E202" s="70" t="s">
        <v>28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474</v>
      </c>
      <c r="C203" s="4" t="s">
        <v>574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410</v>
      </c>
      <c r="B204" s="23" t="s">
        <v>289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426</v>
      </c>
      <c r="B205" s="4" t="s">
        <v>427</v>
      </c>
      <c r="C205" s="4"/>
      <c r="D205" s="17"/>
      <c r="E205" s="4" t="s">
        <v>69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263</v>
      </c>
      <c r="B206" s="4" t="s">
        <v>264</v>
      </c>
      <c r="C206" s="4" t="s">
        <v>61</v>
      </c>
      <c r="D206" s="17">
        <v>2300000</v>
      </c>
      <c r="E206" s="4" t="s">
        <v>61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314</v>
      </c>
      <c r="B207" s="4" t="s">
        <v>315</v>
      </c>
      <c r="C207" s="4" t="s">
        <v>77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182" t="s">
        <v>316</v>
      </c>
      <c r="B208" s="186" t="s">
        <v>317</v>
      </c>
      <c r="C208" s="4"/>
      <c r="D208" s="17"/>
      <c r="E208" s="4" t="s">
        <v>77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83"/>
      <c r="B209" s="187"/>
      <c r="C209" s="4"/>
      <c r="D209" s="17"/>
      <c r="E209" s="4" t="s">
        <v>31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184" t="s">
        <v>330</v>
      </c>
      <c r="B210" s="188" t="s">
        <v>488</v>
      </c>
      <c r="C210" s="188"/>
      <c r="D210" s="17"/>
      <c r="E210" s="4" t="s">
        <v>77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184"/>
      <c r="B211" s="188"/>
      <c r="C211" s="188"/>
      <c r="D211" s="248"/>
      <c r="E211" s="4" t="s">
        <v>78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184"/>
      <c r="B212" s="188"/>
      <c r="C212" s="188"/>
      <c r="D212" s="248"/>
      <c r="E212" s="4" t="s">
        <v>570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478</v>
      </c>
      <c r="B213" s="4" t="s">
        <v>479</v>
      </c>
      <c r="C213" s="4" t="s">
        <v>77</v>
      </c>
      <c r="D213" s="17">
        <v>122723</v>
      </c>
      <c r="E213" s="4" t="s">
        <v>78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184" t="s">
        <v>309</v>
      </c>
      <c r="B214" s="188" t="s">
        <v>324</v>
      </c>
      <c r="C214" s="4" t="s">
        <v>78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184"/>
      <c r="B215" s="188"/>
      <c r="C215" s="4" t="s">
        <v>572</v>
      </c>
      <c r="D215" s="17">
        <v>0</v>
      </c>
      <c r="E215" s="4" t="s">
        <v>572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405</v>
      </c>
      <c r="B216" s="23" t="s">
        <v>284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426</v>
      </c>
      <c r="B217" s="4" t="s">
        <v>427</v>
      </c>
      <c r="C217" s="4"/>
      <c r="D217" s="17"/>
      <c r="E217" s="4" t="s">
        <v>69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320</v>
      </c>
      <c r="B218" s="4" t="s">
        <v>321</v>
      </c>
      <c r="C218" s="4" t="s">
        <v>79</v>
      </c>
      <c r="D218" s="17">
        <v>3201442</v>
      </c>
      <c r="E218" s="4" t="s">
        <v>79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184" t="s">
        <v>322</v>
      </c>
      <c r="B219" s="188" t="s">
        <v>323</v>
      </c>
      <c r="C219" s="4" t="s">
        <v>79</v>
      </c>
      <c r="D219" s="17">
        <v>3059895</v>
      </c>
      <c r="E219" s="4" t="s">
        <v>79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184"/>
      <c r="B220" s="188"/>
      <c r="C220" s="4" t="s">
        <v>39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414</v>
      </c>
      <c r="B221" s="23" t="s">
        <v>290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426</v>
      </c>
      <c r="B222" s="4" t="s">
        <v>427</v>
      </c>
      <c r="C222" s="4"/>
      <c r="D222" s="17"/>
      <c r="E222" s="4" t="s">
        <v>69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316</v>
      </c>
      <c r="B223" s="4" t="s">
        <v>317</v>
      </c>
      <c r="C223" s="4"/>
      <c r="D223" s="5"/>
      <c r="E223" s="4" t="s">
        <v>80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331</v>
      </c>
      <c r="B224" s="4" t="s">
        <v>332</v>
      </c>
      <c r="C224" s="4"/>
      <c r="D224" s="5"/>
      <c r="E224" s="4" t="s">
        <v>80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320</v>
      </c>
      <c r="B225" s="4" t="s">
        <v>483</v>
      </c>
      <c r="C225" s="4"/>
      <c r="D225" s="17"/>
      <c r="E225" s="4" t="s">
        <v>537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309</v>
      </c>
      <c r="B226" s="4" t="s">
        <v>324</v>
      </c>
      <c r="C226" s="4" t="s">
        <v>520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413</v>
      </c>
      <c r="B227" s="23" t="s">
        <v>269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426</v>
      </c>
      <c r="B228" s="4" t="s">
        <v>427</v>
      </c>
      <c r="C228" s="4" t="s">
        <v>446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426</v>
      </c>
      <c r="B229" s="4" t="s">
        <v>427</v>
      </c>
      <c r="C229" s="4" t="s">
        <v>39</v>
      </c>
      <c r="D229" s="21">
        <v>2602</v>
      </c>
      <c r="E229" s="4" t="s">
        <v>69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455</v>
      </c>
      <c r="C230" s="188" t="s">
        <v>20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188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309</v>
      </c>
      <c r="B232" s="4" t="s">
        <v>324</v>
      </c>
      <c r="C232" s="188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454</v>
      </c>
      <c r="B233" s="23" t="s">
        <v>269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333</v>
      </c>
      <c r="B234" s="4" t="s">
        <v>456</v>
      </c>
      <c r="C234" s="4"/>
      <c r="D234" s="5"/>
      <c r="E234" s="4" t="s">
        <v>464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46">
        <v>250380</v>
      </c>
      <c r="B235" s="186" t="s">
        <v>555</v>
      </c>
      <c r="C235" s="4"/>
      <c r="D235" s="5"/>
      <c r="E235" s="4" t="s">
        <v>536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47"/>
      <c r="B236" s="187"/>
      <c r="C236" s="4"/>
      <c r="D236" s="5"/>
      <c r="E236" s="4" t="s">
        <v>558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395</v>
      </c>
      <c r="B237" s="23" t="s">
        <v>272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426</v>
      </c>
      <c r="B238" s="4" t="s">
        <v>427</v>
      </c>
      <c r="C238" s="4" t="s">
        <v>432</v>
      </c>
      <c r="D238" s="17"/>
      <c r="E238" s="4" t="s">
        <v>432</v>
      </c>
      <c r="F238" s="19"/>
      <c r="G238" s="9">
        <v>0</v>
      </c>
      <c r="H238" s="4"/>
      <c r="I238" s="46"/>
    </row>
    <row r="239" spans="1:9" s="20" customFormat="1" ht="72" customHeight="1" hidden="1">
      <c r="A239" s="184" t="s">
        <v>426</v>
      </c>
      <c r="B239" s="188" t="s">
        <v>427</v>
      </c>
      <c r="C239" s="4" t="s">
        <v>548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184"/>
      <c r="B240" s="188"/>
      <c r="C240" s="4"/>
      <c r="D240" s="17"/>
      <c r="E240" s="4" t="s">
        <v>69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326</v>
      </c>
      <c r="B241" s="4" t="s">
        <v>327</v>
      </c>
      <c r="C241" s="4" t="s">
        <v>73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316</v>
      </c>
      <c r="B242" s="4" t="s">
        <v>317</v>
      </c>
      <c r="C242" s="4"/>
      <c r="D242" s="17"/>
      <c r="E242" s="4" t="s">
        <v>460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303</v>
      </c>
      <c r="B243" s="4" t="s">
        <v>485</v>
      </c>
      <c r="C243" s="4"/>
      <c r="D243" s="17"/>
      <c r="E243" s="70" t="s">
        <v>546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184" t="s">
        <v>309</v>
      </c>
      <c r="B244" s="188" t="s">
        <v>324</v>
      </c>
      <c r="C244" s="4" t="s">
        <v>10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184"/>
      <c r="B245" s="188"/>
      <c r="C245" s="4" t="s">
        <v>73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184"/>
      <c r="B246" s="188"/>
      <c r="C246" s="4" t="s">
        <v>44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184"/>
      <c r="B247" s="188"/>
      <c r="C247" s="4" t="s">
        <v>11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184"/>
      <c r="B248" s="188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184"/>
      <c r="B249" s="188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184"/>
      <c r="B250" s="188"/>
      <c r="C250" s="4" t="s">
        <v>9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184"/>
      <c r="B251" s="188"/>
      <c r="C251" s="4" t="s">
        <v>39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396</v>
      </c>
      <c r="B252" s="23" t="s">
        <v>275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426</v>
      </c>
      <c r="B253" s="4" t="s">
        <v>427</v>
      </c>
      <c r="C253" s="4"/>
      <c r="D253" s="17"/>
      <c r="E253" s="4" t="s">
        <v>69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184" t="s">
        <v>326</v>
      </c>
      <c r="B254" s="188" t="s">
        <v>327</v>
      </c>
      <c r="C254" s="4" t="s">
        <v>73</v>
      </c>
      <c r="D254" s="17">
        <v>440000</v>
      </c>
      <c r="E254" s="4" t="s">
        <v>73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184"/>
      <c r="B255" s="188"/>
      <c r="C255" s="4"/>
      <c r="D255" s="17"/>
      <c r="E255" s="35" t="s">
        <v>229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316</v>
      </c>
      <c r="B256" s="4" t="s">
        <v>317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303</v>
      </c>
      <c r="B257" s="4" t="s">
        <v>485</v>
      </c>
      <c r="C257" s="4"/>
      <c r="D257" s="17"/>
      <c r="E257" s="70" t="s">
        <v>546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184" t="s">
        <v>309</v>
      </c>
      <c r="B258" s="188" t="s">
        <v>324</v>
      </c>
      <c r="C258" s="4" t="s">
        <v>10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184"/>
      <c r="B259" s="188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184"/>
      <c r="B260" s="188"/>
      <c r="C260" s="4" t="s">
        <v>44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184"/>
      <c r="B261" s="188"/>
      <c r="C261" s="4" t="s">
        <v>11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184"/>
      <c r="B262" s="188"/>
      <c r="C262" s="4" t="s">
        <v>73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184"/>
      <c r="B263" s="188"/>
      <c r="C263" s="4" t="s">
        <v>9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397</v>
      </c>
      <c r="B264" s="23" t="s">
        <v>276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426</v>
      </c>
      <c r="B265" s="4" t="s">
        <v>427</v>
      </c>
      <c r="C265" s="4"/>
      <c r="D265" s="17"/>
      <c r="E265" s="4" t="s">
        <v>69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326</v>
      </c>
      <c r="B266" s="4" t="s">
        <v>327</v>
      </c>
      <c r="C266" s="4" t="s">
        <v>73</v>
      </c>
      <c r="D266" s="17">
        <v>710000</v>
      </c>
      <c r="E266" s="4" t="s">
        <v>73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316</v>
      </c>
      <c r="B267" s="4" t="s">
        <v>317</v>
      </c>
      <c r="C267" s="4"/>
      <c r="D267" s="17"/>
      <c r="E267" s="4" t="s">
        <v>73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303</v>
      </c>
      <c r="B268" s="4" t="s">
        <v>485</v>
      </c>
      <c r="C268" s="4"/>
      <c r="D268" s="17"/>
      <c r="E268" s="70" t="s">
        <v>546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184" t="s">
        <v>309</v>
      </c>
      <c r="B269" s="188" t="s">
        <v>324</v>
      </c>
      <c r="C269" s="4" t="s">
        <v>10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184"/>
      <c r="B270" s="188"/>
      <c r="C270" s="4" t="s">
        <v>73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184"/>
      <c r="B271" s="188"/>
      <c r="C271" s="4" t="s">
        <v>44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184"/>
      <c r="B272" s="188"/>
      <c r="C272" s="4" t="s">
        <v>11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184"/>
      <c r="B273" s="188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184"/>
      <c r="B274" s="188"/>
      <c r="C274" s="4" t="s">
        <v>9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184"/>
      <c r="B275" s="188"/>
      <c r="C275" s="4" t="s">
        <v>39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398</v>
      </c>
      <c r="B276" s="23" t="s">
        <v>277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426</v>
      </c>
      <c r="B277" s="4" t="s">
        <v>427</v>
      </c>
      <c r="C277" s="4"/>
      <c r="D277" s="17"/>
      <c r="E277" s="4" t="s">
        <v>69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326</v>
      </c>
      <c r="B278" s="4" t="s">
        <v>327</v>
      </c>
      <c r="C278" s="4" t="s">
        <v>73</v>
      </c>
      <c r="D278" s="17">
        <v>480000</v>
      </c>
      <c r="E278" s="4" t="s">
        <v>73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316</v>
      </c>
      <c r="B279" s="4" t="s">
        <v>317</v>
      </c>
      <c r="C279" s="4"/>
      <c r="D279" s="17"/>
      <c r="E279" s="4" t="s">
        <v>73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184" t="s">
        <v>309</v>
      </c>
      <c r="B280" s="188" t="s">
        <v>324</v>
      </c>
      <c r="C280" s="4" t="s">
        <v>10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184"/>
      <c r="B281" s="188"/>
      <c r="C281" s="4" t="s">
        <v>73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184"/>
      <c r="B282" s="188"/>
      <c r="C282" s="4" t="s">
        <v>44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184"/>
      <c r="B283" s="188"/>
      <c r="C283" s="4" t="s">
        <v>11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184"/>
      <c r="B284" s="188"/>
      <c r="C284" s="4" t="s">
        <v>9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184"/>
      <c r="B285" s="188"/>
      <c r="C285" s="4" t="s">
        <v>39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399</v>
      </c>
      <c r="B286" s="23" t="s">
        <v>278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426</v>
      </c>
      <c r="B287" s="4" t="s">
        <v>427</v>
      </c>
      <c r="C287" s="4" t="s">
        <v>433</v>
      </c>
      <c r="D287" s="17"/>
      <c r="E287" s="4" t="s">
        <v>433</v>
      </c>
      <c r="F287" s="19"/>
      <c r="G287" s="19">
        <v>0</v>
      </c>
      <c r="H287" s="23"/>
      <c r="I287" s="46"/>
    </row>
    <row r="288" spans="1:9" s="33" customFormat="1" ht="69" customHeight="1" hidden="1">
      <c r="A288" s="182" t="s">
        <v>426</v>
      </c>
      <c r="B288" s="186" t="s">
        <v>427</v>
      </c>
      <c r="C288" s="4" t="s">
        <v>39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83"/>
      <c r="B289" s="187"/>
      <c r="C289" s="4"/>
      <c r="D289" s="17"/>
      <c r="E289" s="4" t="s">
        <v>69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184" t="s">
        <v>326</v>
      </c>
      <c r="B290" s="188" t="s">
        <v>327</v>
      </c>
      <c r="C290" s="4" t="s">
        <v>73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184"/>
      <c r="B291" s="188"/>
      <c r="C291" s="4"/>
      <c r="D291" s="17"/>
      <c r="E291" s="35" t="s">
        <v>528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501</v>
      </c>
      <c r="B292" s="4" t="s">
        <v>324</v>
      </c>
      <c r="C292" s="4" t="s">
        <v>523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303</v>
      </c>
      <c r="B293" s="4" t="s">
        <v>485</v>
      </c>
      <c r="C293" s="4"/>
      <c r="D293" s="17"/>
      <c r="E293" s="4" t="s">
        <v>29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184" t="s">
        <v>309</v>
      </c>
      <c r="B294" s="188" t="s">
        <v>324</v>
      </c>
      <c r="C294" s="4" t="s">
        <v>10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184"/>
      <c r="B295" s="188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184"/>
      <c r="B296" s="188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184"/>
      <c r="B297" s="188"/>
      <c r="C297" s="4" t="s">
        <v>44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184"/>
      <c r="B298" s="188"/>
      <c r="C298" s="4" t="s">
        <v>11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184"/>
      <c r="B299" s="188"/>
      <c r="C299" s="4" t="s">
        <v>9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184"/>
      <c r="B300" s="188"/>
      <c r="C300" s="4" t="s">
        <v>73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184"/>
      <c r="B301" s="188"/>
      <c r="C301" s="4" t="s">
        <v>39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400</v>
      </c>
      <c r="B302" s="23" t="s">
        <v>279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426</v>
      </c>
      <c r="B303" s="4" t="s">
        <v>427</v>
      </c>
      <c r="C303" s="4"/>
      <c r="D303" s="17"/>
      <c r="E303" s="4" t="s">
        <v>69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316</v>
      </c>
      <c r="B304" s="4" t="s">
        <v>317</v>
      </c>
      <c r="C304" s="4"/>
      <c r="D304" s="17"/>
      <c r="E304" s="4" t="s">
        <v>73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326</v>
      </c>
      <c r="B305" s="4" t="s">
        <v>327</v>
      </c>
      <c r="C305" s="4" t="s">
        <v>73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303</v>
      </c>
      <c r="B306" s="4" t="s">
        <v>485</v>
      </c>
      <c r="C306" s="4"/>
      <c r="D306" s="17"/>
      <c r="E306" s="4" t="s">
        <v>29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184" t="s">
        <v>309</v>
      </c>
      <c r="B307" s="188" t="s">
        <v>324</v>
      </c>
      <c r="C307" s="4" t="s">
        <v>10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184"/>
      <c r="B308" s="188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184"/>
      <c r="B309" s="188"/>
      <c r="C309" s="4" t="s">
        <v>44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184"/>
      <c r="B310" s="188"/>
      <c r="C310" s="4" t="s">
        <v>11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184"/>
      <c r="B311" s="188"/>
      <c r="C311" s="4" t="s">
        <v>9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184"/>
      <c r="B312" s="188"/>
      <c r="C312" s="4" t="s">
        <v>73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184"/>
      <c r="B313" s="188"/>
      <c r="C313" s="4" t="s">
        <v>39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401</v>
      </c>
      <c r="B314" s="23" t="s">
        <v>280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184" t="s">
        <v>426</v>
      </c>
      <c r="B315" s="188" t="s">
        <v>427</v>
      </c>
      <c r="C315" s="4" t="s">
        <v>39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184"/>
      <c r="B316" s="188"/>
      <c r="C316" s="4"/>
      <c r="D316" s="17"/>
      <c r="E316" s="4" t="s">
        <v>69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326</v>
      </c>
      <c r="B317" s="4" t="s">
        <v>327</v>
      </c>
      <c r="C317" s="4" t="s">
        <v>73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184" t="s">
        <v>309</v>
      </c>
      <c r="B318" s="188" t="s">
        <v>324</v>
      </c>
      <c r="C318" s="4" t="s">
        <v>10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184"/>
      <c r="B319" s="188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184"/>
      <c r="B320" s="188"/>
      <c r="C320" s="4" t="s">
        <v>44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184"/>
      <c r="B321" s="188"/>
      <c r="C321" s="4" t="s">
        <v>11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184"/>
      <c r="B322" s="188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184"/>
      <c r="B323" s="188"/>
      <c r="C323" s="4" t="s">
        <v>9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184"/>
      <c r="B324" s="188"/>
      <c r="C324" s="4" t="s">
        <v>73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184"/>
      <c r="B325" s="188"/>
      <c r="C325" s="4" t="s">
        <v>39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298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85" t="s">
        <v>461</v>
      </c>
      <c r="B328" s="185"/>
      <c r="C328" s="66"/>
      <c r="D328" s="67"/>
      <c r="E328" s="54"/>
      <c r="F328" s="57" t="s">
        <v>462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14</v>
      </c>
      <c r="D334" s="10">
        <f>D318+D307+D294+D280+D269+D258+D244</f>
        <v>803906</v>
      </c>
      <c r="F334" s="10"/>
    </row>
    <row r="335" spans="2:6" ht="15.75" hidden="1">
      <c r="B335" s="1" t="s">
        <v>15</v>
      </c>
      <c r="D335" s="10">
        <f>D321+D310+D298+D283+D272+D261+D247</f>
        <v>25756</v>
      </c>
      <c r="F335" s="10"/>
    </row>
    <row r="336" spans="2:6" ht="15.75" hidden="1">
      <c r="B336" s="1" t="s">
        <v>16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17</v>
      </c>
      <c r="D337" s="10">
        <f>D320+D309+D297+D282+D271+D260+D246</f>
        <v>496776</v>
      </c>
      <c r="F337" s="10"/>
    </row>
    <row r="338" spans="2:6" ht="15.75" hidden="1">
      <c r="B338" s="1" t="s">
        <v>18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19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22</v>
      </c>
      <c r="D342" s="10">
        <f>D151</f>
        <v>120711</v>
      </c>
      <c r="F342" s="10"/>
    </row>
    <row r="343" spans="2:6" ht="15.75" hidden="1">
      <c r="B343" s="1" t="s">
        <v>23</v>
      </c>
      <c r="D343" s="10">
        <f>D106+D180</f>
        <v>680000</v>
      </c>
      <c r="E343" s="1" t="s">
        <v>24</v>
      </c>
      <c r="F343" s="10">
        <f>F106</f>
        <v>24192</v>
      </c>
    </row>
    <row r="344" spans="2:6" ht="15.75" hidden="1">
      <c r="B344" s="1" t="s">
        <v>25</v>
      </c>
      <c r="D344" s="10">
        <f>D232</f>
        <v>33000</v>
      </c>
      <c r="F344" s="10"/>
    </row>
    <row r="345" spans="2:6" ht="15.75" hidden="1">
      <c r="B345" s="1" t="s">
        <v>27</v>
      </c>
      <c r="D345" s="10">
        <f>D26</f>
        <v>3348800</v>
      </c>
      <c r="F345" s="10"/>
    </row>
    <row r="346" spans="2:6" ht="15.75" hidden="1">
      <c r="B346" s="1" t="s">
        <v>30</v>
      </c>
      <c r="D346" s="10">
        <f>D14</f>
        <v>480000</v>
      </c>
      <c r="F346" s="10"/>
    </row>
    <row r="347" spans="2:6" ht="15.75" hidden="1">
      <c r="B347" s="1" t="s">
        <v>33</v>
      </c>
      <c r="D347" s="10">
        <f>D23</f>
        <v>304955</v>
      </c>
      <c r="F347" s="10"/>
    </row>
    <row r="348" spans="2:6" ht="15.75" hidden="1">
      <c r="B348" s="1" t="s">
        <v>34</v>
      </c>
      <c r="D348" s="10">
        <f>D24</f>
        <v>209200</v>
      </c>
      <c r="F348" s="10">
        <f>F16</f>
        <v>415760</v>
      </c>
    </row>
    <row r="349" spans="2:6" ht="15.75" hidden="1">
      <c r="B349" s="1" t="s">
        <v>35</v>
      </c>
      <c r="D349" s="10">
        <f>D206</f>
        <v>2300000</v>
      </c>
      <c r="F349" s="10"/>
    </row>
    <row r="350" spans="2:8" ht="15.75" hidden="1">
      <c r="B350" s="1" t="s">
        <v>36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41</v>
      </c>
      <c r="D351" s="10">
        <f>D190</f>
        <v>24055</v>
      </c>
      <c r="F351" s="1">
        <f>F190</f>
        <v>1550464</v>
      </c>
    </row>
    <row r="352" spans="2:7" ht="15.75" hidden="1">
      <c r="B352" s="1" t="s">
        <v>42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43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37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45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46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47</v>
      </c>
      <c r="D360" s="10">
        <f>D40+D58</f>
        <v>4900252</v>
      </c>
    </row>
    <row r="361" spans="2:4" ht="15.75" hidden="1">
      <c r="B361" s="1" t="s">
        <v>48</v>
      </c>
      <c r="D361" s="10">
        <f>D46</f>
        <v>29827597</v>
      </c>
    </row>
    <row r="362" spans="2:6" ht="15.75" hidden="1">
      <c r="B362" s="1" t="s">
        <v>49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50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51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52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53</v>
      </c>
      <c r="D368" s="10">
        <f>D138</f>
        <v>1114809</v>
      </c>
    </row>
    <row r="369" spans="2:6" ht="15.75" hidden="1">
      <c r="B369" s="1" t="s">
        <v>54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55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56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57</v>
      </c>
      <c r="D376" s="10">
        <f>D207+D213</f>
        <v>10122723</v>
      </c>
      <c r="F376" s="10">
        <f>F210</f>
        <v>66000</v>
      </c>
    </row>
    <row r="377" spans="2:6" ht="15.75">
      <c r="B377" s="1" t="s">
        <v>58</v>
      </c>
      <c r="D377" s="10">
        <f>D214</f>
        <v>2425000</v>
      </c>
      <c r="F377" s="10">
        <f>F211+F213</f>
        <v>2053987</v>
      </c>
    </row>
    <row r="378" spans="2:6" ht="15.75">
      <c r="B378" s="1" t="s">
        <v>59</v>
      </c>
      <c r="D378" s="10">
        <f>D215</f>
        <v>0</v>
      </c>
      <c r="F378" s="10">
        <f>F215</f>
        <v>0</v>
      </c>
    </row>
    <row r="380" spans="2:6" ht="15.75">
      <c r="B380" s="1" t="s">
        <v>60</v>
      </c>
      <c r="F380" s="10">
        <f>F201+F178+F70</f>
        <v>16840000</v>
      </c>
    </row>
  </sheetData>
  <sheetProtection/>
  <mergeCells count="127">
    <mergeCell ref="B37:B42"/>
    <mergeCell ref="A16:A19"/>
    <mergeCell ref="B16:B19"/>
    <mergeCell ref="A12:A13"/>
    <mergeCell ref="C16:C19"/>
    <mergeCell ref="A23:A30"/>
    <mergeCell ref="B23:B30"/>
    <mergeCell ref="B12:B13"/>
    <mergeCell ref="A14:A15"/>
    <mergeCell ref="B14:B15"/>
    <mergeCell ref="A5:G5"/>
    <mergeCell ref="B8:B9"/>
    <mergeCell ref="C8:D8"/>
    <mergeCell ref="E8:F8"/>
    <mergeCell ref="B54:B55"/>
    <mergeCell ref="A46:A50"/>
    <mergeCell ref="A34:A36"/>
    <mergeCell ref="B34:B36"/>
    <mergeCell ref="A37:A42"/>
    <mergeCell ref="B46:B50"/>
    <mergeCell ref="A52:A53"/>
    <mergeCell ref="B52:B53"/>
    <mergeCell ref="A43:A45"/>
    <mergeCell ref="B43:B45"/>
    <mergeCell ref="B83:B85"/>
    <mergeCell ref="A83:A85"/>
    <mergeCell ref="A65:A66"/>
    <mergeCell ref="B65:B66"/>
    <mergeCell ref="A67:A69"/>
    <mergeCell ref="B67:B69"/>
    <mergeCell ref="A61:A63"/>
    <mergeCell ref="B61:B63"/>
    <mergeCell ref="A54:A55"/>
    <mergeCell ref="B116:B118"/>
    <mergeCell ref="A117:A118"/>
    <mergeCell ref="A98:A100"/>
    <mergeCell ref="B98:B100"/>
    <mergeCell ref="A105:A109"/>
    <mergeCell ref="B105:B109"/>
    <mergeCell ref="A89:A90"/>
    <mergeCell ref="C71:C72"/>
    <mergeCell ref="A75:A79"/>
    <mergeCell ref="B75:B79"/>
    <mergeCell ref="A80:A82"/>
    <mergeCell ref="B80:B82"/>
    <mergeCell ref="A101:A102"/>
    <mergeCell ref="B101:B102"/>
    <mergeCell ref="B89:B90"/>
    <mergeCell ref="A95:A96"/>
    <mergeCell ref="B95:B96"/>
    <mergeCell ref="A86:A88"/>
    <mergeCell ref="B86:B88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61:A163"/>
    <mergeCell ref="B161:B163"/>
    <mergeCell ref="A114:A115"/>
    <mergeCell ref="B114:B115"/>
    <mergeCell ref="A132:A134"/>
    <mergeCell ref="B132:B134"/>
    <mergeCell ref="A135:A137"/>
    <mergeCell ref="B135:B137"/>
    <mergeCell ref="A159:A160"/>
    <mergeCell ref="B159:B160"/>
    <mergeCell ref="A156:A157"/>
    <mergeCell ref="B156:B157"/>
    <mergeCell ref="A169:A170"/>
    <mergeCell ref="B169:B170"/>
    <mergeCell ref="A166:A167"/>
    <mergeCell ref="B166:B167"/>
    <mergeCell ref="A138:A139"/>
    <mergeCell ref="B138:B139"/>
    <mergeCell ref="A140:A144"/>
    <mergeCell ref="B140:B144"/>
    <mergeCell ref="A191:A193"/>
    <mergeCell ref="B191:B193"/>
    <mergeCell ref="A179:A180"/>
    <mergeCell ref="B179:B180"/>
    <mergeCell ref="A171:A173"/>
    <mergeCell ref="B171:B173"/>
    <mergeCell ref="A176:A177"/>
    <mergeCell ref="B176:B177"/>
    <mergeCell ref="B258:B263"/>
    <mergeCell ref="A219:A220"/>
    <mergeCell ref="B219:B220"/>
    <mergeCell ref="A208:A209"/>
    <mergeCell ref="B208:B209"/>
    <mergeCell ref="C210:C212"/>
    <mergeCell ref="D211:D212"/>
    <mergeCell ref="A214:A215"/>
    <mergeCell ref="B214:B215"/>
    <mergeCell ref="A210:A212"/>
    <mergeCell ref="B210:B212"/>
    <mergeCell ref="A254:A255"/>
    <mergeCell ref="B254:B255"/>
    <mergeCell ref="A244:A251"/>
    <mergeCell ref="B280:B285"/>
    <mergeCell ref="B244:B251"/>
    <mergeCell ref="A315:A316"/>
    <mergeCell ref="B315:B316"/>
    <mergeCell ref="A290:A291"/>
    <mergeCell ref="B290:B291"/>
    <mergeCell ref="B288:B289"/>
    <mergeCell ref="A269:A275"/>
    <mergeCell ref="B269:B275"/>
    <mergeCell ref="A258:A263"/>
    <mergeCell ref="B239:B240"/>
    <mergeCell ref="B235:B236"/>
    <mergeCell ref="A239:A240"/>
    <mergeCell ref="C230:C232"/>
    <mergeCell ref="A235:A236"/>
    <mergeCell ref="A288:A289"/>
    <mergeCell ref="A280:A285"/>
    <mergeCell ref="A328:B328"/>
    <mergeCell ref="H8:H9"/>
    <mergeCell ref="A294:A301"/>
    <mergeCell ref="B294:B301"/>
    <mergeCell ref="A307:A313"/>
    <mergeCell ref="B307:B313"/>
    <mergeCell ref="A318:A325"/>
    <mergeCell ref="B318:B32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458</v>
      </c>
      <c r="G1" s="13"/>
    </row>
    <row r="2" spans="5:7" ht="28.5" customHeight="1">
      <c r="E2" s="14" t="s">
        <v>459</v>
      </c>
      <c r="G2" s="13"/>
    </row>
    <row r="3" spans="3:7" ht="39.75" customHeight="1">
      <c r="C3" s="8"/>
      <c r="E3" s="14" t="s">
        <v>573</v>
      </c>
      <c r="G3" s="13"/>
    </row>
    <row r="5" spans="1:10" s="6" customFormat="1" ht="28.5" customHeight="1">
      <c r="A5" s="253" t="s">
        <v>8</v>
      </c>
      <c r="B5" s="253"/>
      <c r="C5" s="253"/>
      <c r="D5" s="253"/>
      <c r="E5" s="253"/>
      <c r="F5" s="253"/>
      <c r="G5" s="253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297</v>
      </c>
      <c r="H7" s="63"/>
    </row>
    <row r="8" spans="1:8" s="2" customFormat="1" ht="45.75" customHeight="1">
      <c r="A8" s="64" t="s">
        <v>266</v>
      </c>
      <c r="B8" s="188" t="s">
        <v>268</v>
      </c>
      <c r="C8" s="188" t="s">
        <v>292</v>
      </c>
      <c r="D8" s="188"/>
      <c r="E8" s="188" t="s">
        <v>295</v>
      </c>
      <c r="F8" s="188"/>
      <c r="G8" s="4" t="s">
        <v>296</v>
      </c>
      <c r="H8" s="20"/>
    </row>
    <row r="9" spans="1:8" s="2" customFormat="1" ht="57.75" customHeight="1">
      <c r="A9" s="64" t="s">
        <v>267</v>
      </c>
      <c r="B9" s="188"/>
      <c r="C9" s="4" t="s">
        <v>293</v>
      </c>
      <c r="D9" s="4" t="s">
        <v>294</v>
      </c>
      <c r="E9" s="4" t="s">
        <v>293</v>
      </c>
      <c r="F9" s="4" t="s">
        <v>294</v>
      </c>
      <c r="G9" s="4" t="s">
        <v>294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394</v>
      </c>
      <c r="B11" s="23" t="s">
        <v>270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184" t="s">
        <v>426</v>
      </c>
      <c r="B12" s="188" t="s">
        <v>427</v>
      </c>
      <c r="C12" s="4"/>
      <c r="D12" s="17"/>
      <c r="E12" s="4" t="s">
        <v>581</v>
      </c>
      <c r="F12" s="19"/>
      <c r="G12" s="19">
        <f>D12+F12</f>
        <v>0</v>
      </c>
      <c r="I12" s="46"/>
    </row>
    <row r="13" spans="1:9" s="20" customFormat="1" ht="68.25" customHeight="1">
      <c r="A13" s="184"/>
      <c r="B13" s="188"/>
      <c r="C13" s="61" t="s">
        <v>548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184" t="s">
        <v>310</v>
      </c>
      <c r="B14" s="188" t="s">
        <v>336</v>
      </c>
      <c r="C14" s="4" t="s">
        <v>584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184"/>
      <c r="B15" s="188"/>
      <c r="C15" s="4"/>
      <c r="D15" s="17"/>
      <c r="E15" s="35" t="s">
        <v>583</v>
      </c>
      <c r="F15" s="36"/>
      <c r="G15" s="59">
        <f t="shared" si="0"/>
        <v>0</v>
      </c>
      <c r="I15" s="46"/>
    </row>
    <row r="16" spans="1:9" s="20" customFormat="1" ht="63">
      <c r="A16" s="184" t="s">
        <v>316</v>
      </c>
      <c r="B16" s="188" t="s">
        <v>317</v>
      </c>
      <c r="C16" s="188"/>
      <c r="D16" s="17"/>
      <c r="E16" s="4" t="s">
        <v>582</v>
      </c>
      <c r="F16" s="19"/>
      <c r="G16" s="19">
        <f t="shared" si="0"/>
        <v>0</v>
      </c>
      <c r="I16" s="46"/>
    </row>
    <row r="17" spans="1:9" s="20" customFormat="1" ht="44.25" customHeight="1" hidden="1">
      <c r="A17" s="184"/>
      <c r="B17" s="188"/>
      <c r="C17" s="188"/>
      <c r="D17" s="5"/>
      <c r="E17" s="4" t="s">
        <v>389</v>
      </c>
      <c r="F17" s="9"/>
      <c r="G17" s="19">
        <f t="shared" si="0"/>
        <v>0</v>
      </c>
      <c r="I17" s="46"/>
    </row>
    <row r="18" spans="1:9" s="20" customFormat="1" ht="47.25" customHeight="1" hidden="1">
      <c r="A18" s="184"/>
      <c r="B18" s="188"/>
      <c r="C18" s="188"/>
      <c r="D18" s="5"/>
      <c r="E18" s="4" t="s">
        <v>388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184"/>
      <c r="B19" s="188"/>
      <c r="C19" s="188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475</v>
      </c>
      <c r="B20" s="40" t="s">
        <v>476</v>
      </c>
      <c r="C20" s="4"/>
      <c r="D20" s="5"/>
      <c r="E20" s="4" t="s">
        <v>518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337</v>
      </c>
      <c r="C21" s="16"/>
      <c r="D21" s="15"/>
      <c r="E21" s="4" t="s">
        <v>585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453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51">
        <v>250404</v>
      </c>
      <c r="B23" s="188" t="s">
        <v>324</v>
      </c>
      <c r="C23" s="4" t="s">
        <v>564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51"/>
      <c r="B24" s="188"/>
      <c r="C24" s="4" t="s">
        <v>582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51"/>
      <c r="B25" s="188"/>
      <c r="C25" s="4" t="s">
        <v>390</v>
      </c>
      <c r="D25" s="17">
        <v>120000</v>
      </c>
      <c r="E25" s="4" t="s">
        <v>390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51"/>
      <c r="B26" s="188"/>
      <c r="C26" s="4" t="s">
        <v>586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51"/>
      <c r="B27" s="188"/>
      <c r="C27" s="4" t="s">
        <v>457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51"/>
      <c r="B28" s="188"/>
      <c r="C28" s="35" t="s">
        <v>583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51"/>
      <c r="B29" s="188"/>
      <c r="C29" s="4" t="s">
        <v>580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51"/>
      <c r="B30" s="188"/>
      <c r="C30" s="4" t="s">
        <v>518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402</v>
      </c>
      <c r="B31" s="23" t="s">
        <v>281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426</v>
      </c>
      <c r="B32" s="4" t="s">
        <v>427</v>
      </c>
      <c r="C32" s="4" t="s">
        <v>451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426</v>
      </c>
      <c r="B33" s="4" t="s">
        <v>427</v>
      </c>
      <c r="C33" s="58" t="s">
        <v>548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184" t="s">
        <v>299</v>
      </c>
      <c r="B34" s="188" t="s">
        <v>339</v>
      </c>
      <c r="C34" s="58" t="s">
        <v>540</v>
      </c>
      <c r="D34" s="17">
        <v>0</v>
      </c>
      <c r="E34" s="4" t="s">
        <v>587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184"/>
      <c r="B35" s="188"/>
      <c r="C35" s="35" t="s">
        <v>528</v>
      </c>
      <c r="D35" s="38">
        <v>0</v>
      </c>
      <c r="E35" s="35" t="s">
        <v>528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184"/>
      <c r="B36" s="188"/>
      <c r="C36" s="58" t="s">
        <v>548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184" t="s">
        <v>300</v>
      </c>
      <c r="B37" s="184" t="s">
        <v>340</v>
      </c>
      <c r="C37" s="58" t="s">
        <v>540</v>
      </c>
      <c r="D37" s="17">
        <v>0</v>
      </c>
      <c r="E37" s="4" t="s">
        <v>587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184"/>
      <c r="B38" s="184"/>
      <c r="C38" s="58" t="s">
        <v>491</v>
      </c>
      <c r="D38" s="17"/>
      <c r="E38" s="4" t="s">
        <v>491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184"/>
      <c r="B39" s="184"/>
      <c r="C39" s="58" t="s">
        <v>491</v>
      </c>
      <c r="D39" s="17"/>
      <c r="E39" s="4" t="s">
        <v>491</v>
      </c>
      <c r="F39" s="19"/>
      <c r="G39" s="19">
        <f t="shared" si="2"/>
        <v>0</v>
      </c>
      <c r="I39" s="46"/>
    </row>
    <row r="40" spans="1:9" s="20" customFormat="1" ht="35.25" customHeight="1">
      <c r="A40" s="184"/>
      <c r="B40" s="184"/>
      <c r="C40" s="58" t="s">
        <v>545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184"/>
      <c r="B41" s="184"/>
      <c r="C41" s="35" t="s">
        <v>528</v>
      </c>
      <c r="D41" s="38">
        <v>0</v>
      </c>
      <c r="E41" s="35" t="s">
        <v>528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184"/>
      <c r="B42" s="184"/>
      <c r="C42" s="58" t="s">
        <v>548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184" t="s">
        <v>301</v>
      </c>
      <c r="B43" s="188" t="s">
        <v>341</v>
      </c>
      <c r="C43" s="58" t="s">
        <v>540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184"/>
      <c r="B44" s="188"/>
      <c r="C44" s="58" t="s">
        <v>548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184"/>
      <c r="B45" s="188"/>
      <c r="C45" s="4"/>
      <c r="D45" s="17"/>
      <c r="E45" s="35" t="s">
        <v>583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184" t="s">
        <v>258</v>
      </c>
      <c r="B46" s="188" t="s">
        <v>259</v>
      </c>
      <c r="C46" s="58" t="s">
        <v>527</v>
      </c>
      <c r="D46" s="17">
        <v>0</v>
      </c>
      <c r="E46" s="4" t="s">
        <v>588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184"/>
      <c r="B47" s="188"/>
      <c r="C47" s="4" t="s">
        <v>571</v>
      </c>
      <c r="D47" s="17">
        <v>0</v>
      </c>
      <c r="E47" s="4" t="s">
        <v>571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184"/>
      <c r="B48" s="188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184"/>
      <c r="B49" s="188"/>
      <c r="C49" s="35" t="s">
        <v>528</v>
      </c>
      <c r="D49" s="36">
        <v>0</v>
      </c>
      <c r="E49" s="35" t="s">
        <v>528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184"/>
      <c r="B50" s="188"/>
      <c r="C50" s="58" t="s">
        <v>548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542</v>
      </c>
      <c r="B51" s="4" t="s">
        <v>541</v>
      </c>
      <c r="C51" s="58" t="s">
        <v>548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549</v>
      </c>
      <c r="B52" s="4" t="s">
        <v>550</v>
      </c>
      <c r="C52" s="58" t="s">
        <v>540</v>
      </c>
      <c r="D52" s="19">
        <v>0</v>
      </c>
      <c r="E52" s="4" t="s">
        <v>587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543</v>
      </c>
      <c r="B53" s="4" t="s">
        <v>544</v>
      </c>
      <c r="C53" s="60" t="s">
        <v>548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313</v>
      </c>
      <c r="B54" s="4" t="s">
        <v>260</v>
      </c>
      <c r="C54" s="4" t="s">
        <v>590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302</v>
      </c>
      <c r="B55" s="4" t="s">
        <v>335</v>
      </c>
      <c r="C55" s="60" t="s">
        <v>545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418</v>
      </c>
      <c r="B56" s="4" t="s">
        <v>419</v>
      </c>
      <c r="C56" s="60" t="s">
        <v>505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502</v>
      </c>
      <c r="B57" s="4" t="s">
        <v>503</v>
      </c>
      <c r="C57" s="60" t="s">
        <v>505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184" t="s">
        <v>342</v>
      </c>
      <c r="B58" s="188" t="s">
        <v>452</v>
      </c>
      <c r="C58" s="60" t="s">
        <v>505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184"/>
      <c r="B59" s="188"/>
      <c r="C59" s="35" t="s">
        <v>528</v>
      </c>
      <c r="D59" s="36">
        <v>0</v>
      </c>
      <c r="E59" s="35" t="s">
        <v>583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184"/>
      <c r="B60" s="188"/>
      <c r="C60" s="4" t="s">
        <v>548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416</v>
      </c>
      <c r="B61" s="4" t="s">
        <v>417</v>
      </c>
      <c r="C61" s="4" t="s">
        <v>519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51">
        <v>130112</v>
      </c>
      <c r="B62" s="188" t="s">
        <v>324</v>
      </c>
      <c r="C62" s="58" t="s">
        <v>548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51"/>
      <c r="B63" s="188"/>
      <c r="C63" s="4" t="s">
        <v>589</v>
      </c>
      <c r="D63" s="21">
        <v>0</v>
      </c>
      <c r="E63" s="60" t="s">
        <v>505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184" t="s">
        <v>316</v>
      </c>
      <c r="B64" s="188" t="s">
        <v>317</v>
      </c>
      <c r="C64" s="4"/>
      <c r="D64" s="5"/>
      <c r="E64" s="4" t="s">
        <v>587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184"/>
      <c r="B65" s="188"/>
      <c r="C65" s="4"/>
      <c r="D65" s="5"/>
      <c r="E65" s="4" t="s">
        <v>588</v>
      </c>
      <c r="F65" s="12">
        <v>0</v>
      </c>
      <c r="G65" s="19">
        <f t="shared" si="3"/>
        <v>0</v>
      </c>
      <c r="I65" s="46"/>
    </row>
    <row r="66" spans="1:9" s="20" customFormat="1" ht="31.5">
      <c r="A66" s="184"/>
      <c r="B66" s="188"/>
      <c r="C66" s="4"/>
      <c r="D66" s="5"/>
      <c r="E66" s="4" t="s">
        <v>591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338</v>
      </c>
      <c r="C67" s="4"/>
      <c r="D67" s="5"/>
      <c r="E67" s="4" t="s">
        <v>592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256</v>
      </c>
      <c r="B68" s="4" t="s">
        <v>257</v>
      </c>
      <c r="C68" s="186" t="s">
        <v>590</v>
      </c>
      <c r="D68" s="15">
        <v>0</v>
      </c>
      <c r="E68" s="60" t="s">
        <v>504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568</v>
      </c>
      <c r="B69" s="4" t="s">
        <v>569</v>
      </c>
      <c r="C69" s="187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403</v>
      </c>
      <c r="B70" s="23" t="s">
        <v>282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426</v>
      </c>
      <c r="B71" s="4" t="s">
        <v>427</v>
      </c>
      <c r="C71" s="4" t="s">
        <v>435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184" t="s">
        <v>304</v>
      </c>
      <c r="B72" s="188" t="s">
        <v>251</v>
      </c>
      <c r="C72" s="60" t="s">
        <v>558</v>
      </c>
      <c r="D72" s="17">
        <v>0</v>
      </c>
      <c r="E72" s="4" t="s">
        <v>593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184"/>
      <c r="B73" s="188"/>
      <c r="C73" s="4" t="s">
        <v>571</v>
      </c>
      <c r="D73" s="17">
        <v>0</v>
      </c>
      <c r="E73" s="4" t="s">
        <v>571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184"/>
      <c r="B74" s="188"/>
      <c r="C74" s="60" t="s">
        <v>559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184"/>
      <c r="B75" s="188"/>
      <c r="C75" s="60" t="s">
        <v>528</v>
      </c>
      <c r="D75" s="38">
        <v>0</v>
      </c>
      <c r="E75" s="35" t="s">
        <v>583</v>
      </c>
      <c r="F75" s="36">
        <v>0</v>
      </c>
      <c r="G75" s="19">
        <f t="shared" si="4"/>
        <v>0</v>
      </c>
      <c r="I75" s="46"/>
    </row>
    <row r="76" spans="1:9" s="20" customFormat="1" ht="63">
      <c r="A76" s="184"/>
      <c r="B76" s="188"/>
      <c r="C76" s="60" t="s">
        <v>548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184" t="s">
        <v>343</v>
      </c>
      <c r="B77" s="188" t="s">
        <v>493</v>
      </c>
      <c r="C77" s="60" t="s">
        <v>558</v>
      </c>
      <c r="D77" s="17">
        <v>0</v>
      </c>
      <c r="E77" s="4" t="s">
        <v>593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184"/>
      <c r="B78" s="188"/>
      <c r="C78" s="35" t="s">
        <v>528</v>
      </c>
      <c r="D78" s="36">
        <v>0</v>
      </c>
      <c r="E78" s="35" t="s">
        <v>583</v>
      </c>
      <c r="F78" s="36">
        <v>0</v>
      </c>
      <c r="G78" s="19">
        <f t="shared" si="4"/>
        <v>0</v>
      </c>
      <c r="I78" s="46"/>
    </row>
    <row r="79" spans="1:9" s="20" customFormat="1" ht="63">
      <c r="A79" s="184"/>
      <c r="B79" s="188"/>
      <c r="C79" s="61" t="s">
        <v>548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184" t="s">
        <v>305</v>
      </c>
      <c r="B80" s="188" t="s">
        <v>252</v>
      </c>
      <c r="C80" s="61" t="s">
        <v>558</v>
      </c>
      <c r="D80" s="17">
        <v>0</v>
      </c>
      <c r="E80" s="4" t="s">
        <v>593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184"/>
      <c r="B81" s="188"/>
      <c r="C81" s="35" t="s">
        <v>528</v>
      </c>
      <c r="D81" s="36">
        <v>0</v>
      </c>
      <c r="E81" s="35" t="s">
        <v>583</v>
      </c>
      <c r="F81" s="36">
        <v>0</v>
      </c>
      <c r="G81" s="19">
        <f t="shared" si="4"/>
        <v>0</v>
      </c>
      <c r="I81" s="46"/>
    </row>
    <row r="82" spans="1:9" s="20" customFormat="1" ht="63">
      <c r="A82" s="184"/>
      <c r="B82" s="188"/>
      <c r="C82" s="61" t="s">
        <v>548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184" t="s">
        <v>306</v>
      </c>
      <c r="B83" s="188" t="s">
        <v>253</v>
      </c>
      <c r="C83" s="61" t="s">
        <v>558</v>
      </c>
      <c r="D83" s="17">
        <v>0</v>
      </c>
      <c r="E83" s="4" t="s">
        <v>593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184"/>
      <c r="B84" s="188"/>
      <c r="C84" s="4"/>
      <c r="D84" s="17"/>
      <c r="E84" s="35" t="s">
        <v>583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184"/>
      <c r="B85" s="188"/>
      <c r="C85" s="61" t="s">
        <v>548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551</v>
      </c>
      <c r="B86" s="4" t="s">
        <v>552</v>
      </c>
      <c r="C86" s="61" t="s">
        <v>558</v>
      </c>
      <c r="D86" s="17">
        <v>0</v>
      </c>
      <c r="E86" s="4" t="s">
        <v>593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344</v>
      </c>
      <c r="B87" s="4" t="s">
        <v>345</v>
      </c>
      <c r="C87" s="61" t="s">
        <v>506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307</v>
      </c>
      <c r="B88" s="4" t="s">
        <v>254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308</v>
      </c>
      <c r="B89" s="4" t="s">
        <v>494</v>
      </c>
      <c r="C89" s="61" t="s">
        <v>507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316</v>
      </c>
      <c r="B90" s="4" t="s">
        <v>317</v>
      </c>
      <c r="C90" s="4"/>
      <c r="D90" s="5"/>
      <c r="E90" s="4" t="s">
        <v>593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184" t="s">
        <v>303</v>
      </c>
      <c r="B91" s="188" t="s">
        <v>337</v>
      </c>
      <c r="C91" s="4"/>
      <c r="D91" s="5"/>
      <c r="E91" s="4" t="s">
        <v>391</v>
      </c>
      <c r="F91" s="12"/>
      <c r="G91" s="9">
        <v>0</v>
      </c>
      <c r="I91" s="46"/>
    </row>
    <row r="92" spans="1:9" s="20" customFormat="1" ht="33" customHeight="1" hidden="1">
      <c r="A92" s="184"/>
      <c r="B92" s="188"/>
      <c r="C92" s="4"/>
      <c r="D92" s="5"/>
      <c r="E92" s="4" t="s">
        <v>392</v>
      </c>
      <c r="F92" s="12"/>
      <c r="G92" s="9">
        <v>0</v>
      </c>
      <c r="I92" s="46"/>
    </row>
    <row r="93" spans="1:9" s="20" customFormat="1" ht="49.5" customHeight="1">
      <c r="A93" s="22" t="s">
        <v>404</v>
      </c>
      <c r="B93" s="23" t="s">
        <v>283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184" t="s">
        <v>426</v>
      </c>
      <c r="B94" s="188" t="s">
        <v>427</v>
      </c>
      <c r="C94" s="4"/>
      <c r="D94" s="19"/>
      <c r="E94" s="4" t="s">
        <v>581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184"/>
      <c r="B95" s="188"/>
      <c r="C95" s="4" t="s">
        <v>492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184"/>
      <c r="B96" s="188"/>
      <c r="C96" s="61" t="s">
        <v>548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184" t="s">
        <v>311</v>
      </c>
      <c r="B97" s="188" t="s">
        <v>498</v>
      </c>
      <c r="C97" s="4"/>
      <c r="D97" s="19"/>
      <c r="E97" s="4" t="s">
        <v>581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184"/>
      <c r="B98" s="188"/>
      <c r="C98" s="4" t="s">
        <v>548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312</v>
      </c>
      <c r="B99" s="4" t="s">
        <v>499</v>
      </c>
      <c r="C99" s="4" t="s">
        <v>0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313</v>
      </c>
      <c r="B100" s="4" t="s">
        <v>500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184" t="s">
        <v>424</v>
      </c>
      <c r="B101" s="188" t="s">
        <v>425</v>
      </c>
      <c r="C101" s="4" t="s">
        <v>594</v>
      </c>
      <c r="D101" s="17">
        <v>0</v>
      </c>
      <c r="E101" s="4" t="s">
        <v>594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184"/>
      <c r="B102" s="188"/>
      <c r="C102" s="4" t="s">
        <v>571</v>
      </c>
      <c r="D102" s="17">
        <v>0</v>
      </c>
      <c r="E102" s="4" t="s">
        <v>571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184"/>
      <c r="B103" s="188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184"/>
      <c r="B104" s="188"/>
      <c r="C104" s="35" t="s">
        <v>528</v>
      </c>
      <c r="D104" s="37">
        <v>0</v>
      </c>
      <c r="E104" s="35" t="s">
        <v>528</v>
      </c>
      <c r="F104" s="37">
        <v>0</v>
      </c>
      <c r="G104" s="19">
        <f t="shared" si="5"/>
        <v>0</v>
      </c>
      <c r="I104" s="46"/>
    </row>
    <row r="105" spans="1:9" s="20" customFormat="1" ht="63">
      <c r="A105" s="184"/>
      <c r="B105" s="188"/>
      <c r="C105" s="61" t="s">
        <v>548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184" t="s">
        <v>255</v>
      </c>
      <c r="B106" s="188" t="s">
        <v>249</v>
      </c>
      <c r="C106" s="4" t="s">
        <v>594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184"/>
      <c r="B107" s="188"/>
      <c r="C107" s="35" t="s">
        <v>528</v>
      </c>
      <c r="D107" s="37">
        <v>0</v>
      </c>
      <c r="E107" s="35" t="s">
        <v>583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184" t="s">
        <v>318</v>
      </c>
      <c r="B108" s="188" t="s">
        <v>325</v>
      </c>
      <c r="C108" s="61" t="s">
        <v>508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184"/>
      <c r="B109" s="188"/>
      <c r="C109" s="35" t="s">
        <v>528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184" t="s">
        <v>316</v>
      </c>
      <c r="B110" s="188" t="s">
        <v>317</v>
      </c>
      <c r="C110" s="4"/>
      <c r="D110" s="17"/>
      <c r="E110" s="4" t="s">
        <v>535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184"/>
      <c r="B111" s="188"/>
      <c r="C111" s="4"/>
      <c r="D111" s="5"/>
      <c r="E111" s="4" t="s">
        <v>594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265</v>
      </c>
      <c r="B112" s="188" t="s">
        <v>496</v>
      </c>
      <c r="C112" s="4" t="s">
        <v>393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184" t="s">
        <v>265</v>
      </c>
      <c r="B113" s="188"/>
      <c r="C113" s="61" t="s">
        <v>509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184"/>
      <c r="B114" s="188"/>
      <c r="C114" s="61" t="s">
        <v>492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319</v>
      </c>
      <c r="B115" s="4" t="s">
        <v>497</v>
      </c>
      <c r="C115" s="61" t="s">
        <v>509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349</v>
      </c>
      <c r="B116" s="4" t="s">
        <v>484</v>
      </c>
      <c r="C116" s="61" t="s">
        <v>509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437</v>
      </c>
      <c r="B117" s="23" t="s">
        <v>441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426</v>
      </c>
      <c r="B118" s="4" t="s">
        <v>427</v>
      </c>
      <c r="C118" s="4" t="s">
        <v>438</v>
      </c>
      <c r="D118" s="17"/>
      <c r="E118" s="4" t="s">
        <v>438</v>
      </c>
      <c r="F118" s="12"/>
      <c r="G118" s="9">
        <v>0</v>
      </c>
      <c r="I118" s="46"/>
    </row>
    <row r="119" spans="1:9" s="20" customFormat="1" ht="63" hidden="1">
      <c r="A119" s="22" t="s">
        <v>448</v>
      </c>
      <c r="B119" s="23" t="s">
        <v>449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426</v>
      </c>
      <c r="B120" s="4" t="s">
        <v>427</v>
      </c>
      <c r="C120" s="4" t="s">
        <v>450</v>
      </c>
      <c r="D120" s="17"/>
      <c r="E120" s="4" t="s">
        <v>450</v>
      </c>
      <c r="F120" s="12"/>
      <c r="G120" s="9">
        <v>0</v>
      </c>
      <c r="I120" s="46"/>
    </row>
    <row r="121" spans="1:9" s="20" customFormat="1" ht="35.25" customHeight="1">
      <c r="A121" s="22" t="s">
        <v>409</v>
      </c>
      <c r="B121" s="23" t="s">
        <v>286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426</v>
      </c>
      <c r="B122" s="4" t="s">
        <v>427</v>
      </c>
      <c r="C122" s="4" t="s">
        <v>440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184" t="s">
        <v>420</v>
      </c>
      <c r="B123" s="188" t="s">
        <v>421</v>
      </c>
      <c r="C123" s="61" t="s">
        <v>510</v>
      </c>
      <c r="D123" s="17">
        <v>0</v>
      </c>
      <c r="E123" s="4" t="s">
        <v>2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184"/>
      <c r="B124" s="188"/>
      <c r="C124" s="61" t="s">
        <v>548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184" t="s">
        <v>422</v>
      </c>
      <c r="B125" s="188" t="s">
        <v>423</v>
      </c>
      <c r="C125" s="61" t="s">
        <v>511</v>
      </c>
      <c r="D125" s="17">
        <v>0</v>
      </c>
      <c r="E125" s="4" t="s">
        <v>2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184"/>
      <c r="B126" s="188"/>
      <c r="C126" s="35" t="s">
        <v>528</v>
      </c>
      <c r="D126" s="36">
        <v>0</v>
      </c>
      <c r="E126" s="35" t="s">
        <v>583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184"/>
      <c r="B127" s="188"/>
      <c r="C127" s="61" t="s">
        <v>548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184" t="s">
        <v>430</v>
      </c>
      <c r="B128" s="188" t="s">
        <v>431</v>
      </c>
      <c r="C128" s="61" t="s">
        <v>511</v>
      </c>
      <c r="D128" s="17">
        <v>0</v>
      </c>
      <c r="E128" s="4" t="s">
        <v>2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184"/>
      <c r="B129" s="188"/>
      <c r="C129" s="35" t="s">
        <v>528</v>
      </c>
      <c r="D129" s="36">
        <v>0</v>
      </c>
      <c r="E129" s="35" t="s">
        <v>583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184" t="s">
        <v>428</v>
      </c>
      <c r="B130" s="188" t="s">
        <v>429</v>
      </c>
      <c r="C130" s="61" t="s">
        <v>511</v>
      </c>
      <c r="D130" s="17">
        <v>0</v>
      </c>
      <c r="E130" s="4" t="s">
        <v>2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184"/>
      <c r="B131" s="188"/>
      <c r="C131" s="4"/>
      <c r="D131" s="17"/>
      <c r="E131" s="35" t="s">
        <v>583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184"/>
      <c r="B132" s="188"/>
      <c r="C132" s="61" t="s">
        <v>548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262</v>
      </c>
      <c r="C133" s="61" t="s">
        <v>512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51">
        <v>110502</v>
      </c>
      <c r="B134" s="188" t="s">
        <v>250</v>
      </c>
      <c r="C134" s="61" t="s">
        <v>565</v>
      </c>
      <c r="D134" s="15">
        <v>0</v>
      </c>
      <c r="E134" s="61" t="s">
        <v>565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51"/>
      <c r="B135" s="188"/>
      <c r="C135" s="61" t="s">
        <v>511</v>
      </c>
      <c r="D135" s="15">
        <v>0</v>
      </c>
      <c r="E135" s="4" t="s">
        <v>2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51"/>
      <c r="B136" s="188"/>
      <c r="C136" s="61" t="s">
        <v>513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51"/>
      <c r="B137" s="188"/>
      <c r="C137" s="4" t="s">
        <v>548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51"/>
      <c r="B138" s="188"/>
      <c r="C138" s="4"/>
      <c r="D138" s="15"/>
      <c r="E138" s="35" t="s">
        <v>528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316</v>
      </c>
      <c r="B139" s="4" t="s">
        <v>317</v>
      </c>
      <c r="C139" s="4"/>
      <c r="D139" s="5"/>
      <c r="E139" s="4" t="s">
        <v>1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560</v>
      </c>
      <c r="B140" s="23" t="s">
        <v>561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426</v>
      </c>
      <c r="B141" s="4" t="s">
        <v>427</v>
      </c>
      <c r="C141" s="4"/>
      <c r="D141" s="5"/>
      <c r="E141" s="55" t="s">
        <v>533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408</v>
      </c>
      <c r="B142" s="23" t="s">
        <v>434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426</v>
      </c>
      <c r="B143" s="4" t="s">
        <v>427</v>
      </c>
      <c r="C143" s="4"/>
      <c r="D143" s="17"/>
      <c r="E143" s="61" t="s">
        <v>533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316</v>
      </c>
      <c r="B144" s="4" t="s">
        <v>317</v>
      </c>
      <c r="C144" s="4"/>
      <c r="D144" s="5"/>
      <c r="E144" s="4" t="s">
        <v>3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309</v>
      </c>
      <c r="B145" s="4" t="s">
        <v>324</v>
      </c>
      <c r="C145" s="61" t="s">
        <v>514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334</v>
      </c>
      <c r="B146" s="4" t="s">
        <v>482</v>
      </c>
      <c r="C146" s="4" t="s">
        <v>4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443</v>
      </c>
      <c r="B147" s="23" t="s">
        <v>444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426</v>
      </c>
      <c r="B148" s="4" t="s">
        <v>427</v>
      </c>
      <c r="C148" s="4"/>
      <c r="D148" s="17"/>
      <c r="E148" s="4" t="s">
        <v>533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406</v>
      </c>
      <c r="B149" s="23" t="s">
        <v>489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184" t="s">
        <v>426</v>
      </c>
      <c r="B150" s="188" t="s">
        <v>427</v>
      </c>
      <c r="C150" s="4"/>
      <c r="D150" s="24"/>
      <c r="E150" s="61" t="s">
        <v>533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184"/>
      <c r="B151" s="188"/>
      <c r="C151" s="61" t="s">
        <v>548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318</v>
      </c>
      <c r="B152" s="4" t="s">
        <v>325</v>
      </c>
      <c r="C152" s="61" t="s">
        <v>536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184" t="s">
        <v>480</v>
      </c>
      <c r="B153" s="188" t="s">
        <v>481</v>
      </c>
      <c r="C153" s="61" t="s">
        <v>536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184"/>
      <c r="B154" s="188"/>
      <c r="C154" s="61" t="s">
        <v>528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184" t="s">
        <v>346</v>
      </c>
      <c r="B155" s="188" t="s">
        <v>347</v>
      </c>
      <c r="C155" s="4"/>
      <c r="D155" s="17"/>
      <c r="E155" s="4" t="s">
        <v>495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184"/>
      <c r="B156" s="188"/>
      <c r="C156" s="4" t="s">
        <v>490</v>
      </c>
      <c r="D156" s="17">
        <v>0</v>
      </c>
      <c r="E156" s="4" t="s">
        <v>495</v>
      </c>
      <c r="F156" s="9"/>
      <c r="G156" s="19">
        <f t="shared" si="8"/>
        <v>0</v>
      </c>
      <c r="I156" s="46"/>
    </row>
    <row r="157" spans="1:9" s="20" customFormat="1" ht="47.25">
      <c r="A157" s="184"/>
      <c r="B157" s="188"/>
      <c r="C157" s="4"/>
      <c r="D157" s="17"/>
      <c r="E157" s="61" t="s">
        <v>528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524</v>
      </c>
      <c r="B158" s="4" t="s">
        <v>525</v>
      </c>
      <c r="C158" s="4"/>
      <c r="D158" s="17"/>
      <c r="E158" s="4" t="s">
        <v>495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184" t="s">
        <v>326</v>
      </c>
      <c r="B159" s="188" t="s">
        <v>348</v>
      </c>
      <c r="C159" s="61" t="s">
        <v>536</v>
      </c>
      <c r="D159" s="62">
        <v>0</v>
      </c>
      <c r="E159" s="4" t="s">
        <v>495</v>
      </c>
      <c r="F159" s="19">
        <v>0</v>
      </c>
      <c r="G159" s="19">
        <f t="shared" si="8"/>
        <v>0</v>
      </c>
      <c r="I159" s="46"/>
    </row>
    <row r="160" spans="1:9" s="20" customFormat="1" ht="47.25">
      <c r="A160" s="184"/>
      <c r="B160" s="188"/>
      <c r="C160" s="61" t="s">
        <v>528</v>
      </c>
      <c r="D160" s="37">
        <v>0</v>
      </c>
      <c r="E160" s="35" t="s">
        <v>583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553</v>
      </c>
      <c r="B161" s="4" t="s">
        <v>554</v>
      </c>
      <c r="C161" s="35"/>
      <c r="D161" s="37"/>
      <c r="E161" s="4" t="s">
        <v>536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184" t="s">
        <v>316</v>
      </c>
      <c r="B162" s="188" t="s">
        <v>317</v>
      </c>
      <c r="C162" s="4"/>
      <c r="D162" s="5"/>
      <c r="E162" s="4" t="s">
        <v>495</v>
      </c>
      <c r="F162" s="12">
        <v>0</v>
      </c>
      <c r="G162" s="19">
        <f t="shared" si="8"/>
        <v>0</v>
      </c>
      <c r="I162" s="46"/>
    </row>
    <row r="163" spans="1:9" s="20" customFormat="1" ht="31.5">
      <c r="A163" s="184"/>
      <c r="B163" s="188"/>
      <c r="C163" s="4"/>
      <c r="D163" s="5"/>
      <c r="E163" s="35" t="s">
        <v>583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182" t="s">
        <v>271</v>
      </c>
      <c r="B164" s="186" t="s">
        <v>465</v>
      </c>
      <c r="C164" s="4"/>
      <c r="D164" s="5"/>
      <c r="E164" s="4" t="s">
        <v>536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49"/>
      <c r="B165" s="250"/>
      <c r="C165" s="4"/>
      <c r="D165" s="5"/>
      <c r="E165" s="4" t="s">
        <v>5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83"/>
      <c r="B166" s="187"/>
      <c r="C166" s="4"/>
      <c r="D166" s="5"/>
      <c r="E166" s="4" t="s">
        <v>6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328</v>
      </c>
      <c r="B167" s="4" t="s">
        <v>329</v>
      </c>
      <c r="C167" s="4"/>
      <c r="D167" s="5"/>
      <c r="E167" s="61" t="s">
        <v>536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477</v>
      </c>
      <c r="C168" s="4"/>
      <c r="D168" s="17"/>
      <c r="E168" s="4" t="s">
        <v>495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188">
        <v>180409</v>
      </c>
      <c r="B169" s="188" t="s">
        <v>488</v>
      </c>
      <c r="C169" s="4"/>
      <c r="D169" s="17"/>
      <c r="E169" s="4" t="s">
        <v>495</v>
      </c>
      <c r="F169" s="19">
        <v>0</v>
      </c>
      <c r="G169" s="19">
        <f t="shared" si="8"/>
        <v>0</v>
      </c>
      <c r="I169" s="46"/>
    </row>
    <row r="170" spans="1:9" s="20" customFormat="1" ht="47.25">
      <c r="A170" s="188"/>
      <c r="B170" s="188"/>
      <c r="C170" s="4"/>
      <c r="D170" s="17"/>
      <c r="E170" s="4" t="s">
        <v>7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261</v>
      </c>
      <c r="B171" s="4" t="s">
        <v>338</v>
      </c>
      <c r="C171" s="4"/>
      <c r="D171" s="5"/>
      <c r="E171" s="4" t="s">
        <v>592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309</v>
      </c>
      <c r="B172" s="4" t="s">
        <v>324</v>
      </c>
      <c r="C172" s="61" t="s">
        <v>536</v>
      </c>
      <c r="D172" s="17">
        <v>0</v>
      </c>
      <c r="E172" s="4" t="s">
        <v>495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271</v>
      </c>
      <c r="B173" s="29" t="s">
        <v>465</v>
      </c>
      <c r="C173" s="4"/>
      <c r="D173" s="5"/>
      <c r="E173" s="4" t="s">
        <v>473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487</v>
      </c>
      <c r="B174" s="23" t="s">
        <v>486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318</v>
      </c>
      <c r="B175" s="4" t="s">
        <v>325</v>
      </c>
      <c r="C175" s="4" t="s">
        <v>350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326</v>
      </c>
      <c r="B176" s="4" t="s">
        <v>348</v>
      </c>
      <c r="C176" s="4" t="s">
        <v>463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407</v>
      </c>
      <c r="B177" s="23" t="s">
        <v>285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426</v>
      </c>
      <c r="B178" s="4" t="s">
        <v>427</v>
      </c>
      <c r="C178" s="4"/>
      <c r="D178" s="17"/>
      <c r="E178" s="4" t="s">
        <v>581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309</v>
      </c>
      <c r="B179" s="4" t="s">
        <v>324</v>
      </c>
      <c r="C179" s="61" t="s">
        <v>548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411</v>
      </c>
      <c r="B180" s="23" t="s">
        <v>287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426</v>
      </c>
      <c r="B181" s="4" t="s">
        <v>427</v>
      </c>
      <c r="C181" s="4"/>
      <c r="D181" s="17"/>
      <c r="E181" s="4" t="s">
        <v>533</v>
      </c>
      <c r="F181" s="19">
        <v>0</v>
      </c>
      <c r="G181" s="19">
        <f t="shared" si="9"/>
        <v>0</v>
      </c>
      <c r="I181" s="46"/>
    </row>
    <row r="182" spans="1:9" s="20" customFormat="1" ht="63">
      <c r="A182" s="251">
        <v>250404</v>
      </c>
      <c r="B182" s="251" t="s">
        <v>324</v>
      </c>
      <c r="C182" s="4" t="s">
        <v>557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51"/>
      <c r="B183" s="251"/>
      <c r="C183" s="4" t="s">
        <v>575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52"/>
      <c r="B184" s="251"/>
      <c r="C184" s="4" t="s">
        <v>576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447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426</v>
      </c>
      <c r="B186" s="4" t="s">
        <v>427</v>
      </c>
      <c r="C186" s="4" t="s">
        <v>439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415</v>
      </c>
      <c r="B187" s="23" t="s">
        <v>291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426</v>
      </c>
      <c r="B188" s="4" t="s">
        <v>427</v>
      </c>
      <c r="C188" s="4"/>
      <c r="D188" s="17"/>
      <c r="E188" s="4" t="s">
        <v>566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273</v>
      </c>
      <c r="B189" s="4" t="s">
        <v>274</v>
      </c>
      <c r="C189" s="4"/>
      <c r="D189" s="17"/>
      <c r="E189" s="4" t="s">
        <v>567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412</v>
      </c>
      <c r="B190" s="23" t="s">
        <v>288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426</v>
      </c>
      <c r="B191" s="4" t="s">
        <v>427</v>
      </c>
      <c r="C191" s="4" t="s">
        <v>442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338</v>
      </c>
      <c r="C192" s="4"/>
      <c r="D192" s="5"/>
      <c r="E192" s="4" t="s">
        <v>556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485</v>
      </c>
      <c r="C193" s="4"/>
      <c r="D193" s="5"/>
      <c r="E193" s="4" t="s">
        <v>546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474</v>
      </c>
      <c r="C194" s="4" t="s">
        <v>574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410</v>
      </c>
      <c r="B195" s="23" t="s">
        <v>289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426</v>
      </c>
      <c r="B196" s="4" t="s">
        <v>427</v>
      </c>
      <c r="C196" s="4" t="s">
        <v>445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263</v>
      </c>
      <c r="B197" s="4" t="s">
        <v>264</v>
      </c>
      <c r="C197" s="4" t="s">
        <v>562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314</v>
      </c>
      <c r="B198" s="4" t="s">
        <v>315</v>
      </c>
      <c r="C198" s="4" t="s">
        <v>516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182" t="s">
        <v>316</v>
      </c>
      <c r="B199" s="186" t="s">
        <v>317</v>
      </c>
      <c r="C199" s="4"/>
      <c r="D199" s="17"/>
      <c r="E199" s="4" t="s">
        <v>516</v>
      </c>
      <c r="F199" s="19">
        <v>0</v>
      </c>
      <c r="G199" s="24">
        <f t="shared" si="11"/>
        <v>0</v>
      </c>
      <c r="I199" s="46"/>
    </row>
    <row r="200" spans="1:9" s="20" customFormat="1" ht="63">
      <c r="A200" s="183"/>
      <c r="B200" s="187"/>
      <c r="C200" s="4"/>
      <c r="D200" s="17"/>
      <c r="E200" s="4" t="s">
        <v>534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184" t="s">
        <v>330</v>
      </c>
      <c r="B201" s="188" t="s">
        <v>488</v>
      </c>
      <c r="C201" s="188"/>
      <c r="D201" s="17"/>
      <c r="E201" s="4" t="s">
        <v>516</v>
      </c>
      <c r="F201" s="19">
        <v>0</v>
      </c>
      <c r="G201" s="17">
        <f t="shared" si="11"/>
        <v>0</v>
      </c>
      <c r="I201" s="46"/>
    </row>
    <row r="202" spans="1:9" s="20" customFormat="1" ht="63">
      <c r="A202" s="184"/>
      <c r="B202" s="188"/>
      <c r="C202" s="188"/>
      <c r="D202" s="248"/>
      <c r="E202" s="4" t="s">
        <v>547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184"/>
      <c r="B203" s="188"/>
      <c r="C203" s="188"/>
      <c r="D203" s="248"/>
      <c r="E203" s="4" t="s">
        <v>570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478</v>
      </c>
      <c r="B204" s="4" t="s">
        <v>479</v>
      </c>
      <c r="C204" s="4" t="s">
        <v>516</v>
      </c>
      <c r="D204" s="17">
        <v>0</v>
      </c>
      <c r="E204" s="4" t="s">
        <v>547</v>
      </c>
      <c r="F204" s="19">
        <v>0</v>
      </c>
      <c r="G204" s="17">
        <f t="shared" si="11"/>
        <v>0</v>
      </c>
      <c r="I204" s="46"/>
    </row>
    <row r="205" spans="1:9" s="20" customFormat="1" ht="63">
      <c r="A205" s="184" t="s">
        <v>309</v>
      </c>
      <c r="B205" s="188" t="s">
        <v>324</v>
      </c>
      <c r="C205" s="4" t="s">
        <v>547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184"/>
      <c r="B206" s="188"/>
      <c r="C206" s="4" t="s">
        <v>572</v>
      </c>
      <c r="D206" s="17">
        <v>0</v>
      </c>
      <c r="E206" s="4" t="s">
        <v>572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405</v>
      </c>
      <c r="B207" s="23" t="s">
        <v>284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426</v>
      </c>
      <c r="B208" s="4" t="s">
        <v>427</v>
      </c>
      <c r="C208" s="4" t="s">
        <v>436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320</v>
      </c>
      <c r="B209" s="4" t="s">
        <v>321</v>
      </c>
      <c r="C209" s="4" t="s">
        <v>537</v>
      </c>
      <c r="D209" s="17">
        <v>0</v>
      </c>
      <c r="E209" s="4" t="s">
        <v>537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184" t="s">
        <v>322</v>
      </c>
      <c r="B210" s="188" t="s">
        <v>323</v>
      </c>
      <c r="C210" s="4" t="s">
        <v>537</v>
      </c>
      <c r="D210" s="17">
        <v>0</v>
      </c>
      <c r="E210" s="4" t="s">
        <v>537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184"/>
      <c r="B211" s="188"/>
      <c r="C211" s="4" t="s">
        <v>563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414</v>
      </c>
      <c r="B212" s="23" t="s">
        <v>290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426</v>
      </c>
      <c r="B213" s="4" t="s">
        <v>427</v>
      </c>
      <c r="C213" s="4"/>
      <c r="D213" s="17"/>
      <c r="E213" s="4" t="s">
        <v>515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316</v>
      </c>
      <c r="B214" s="4" t="s">
        <v>317</v>
      </c>
      <c r="C214" s="4"/>
      <c r="D214" s="5"/>
      <c r="E214" s="4" t="s">
        <v>538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331</v>
      </c>
      <c r="B215" s="4" t="s">
        <v>332</v>
      </c>
      <c r="C215" s="4"/>
      <c r="D215" s="5"/>
      <c r="E215" s="4" t="s">
        <v>538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320</v>
      </c>
      <c r="B216" s="4" t="s">
        <v>483</v>
      </c>
      <c r="C216" s="4"/>
      <c r="D216" s="17"/>
      <c r="E216" s="4" t="s">
        <v>537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309</v>
      </c>
      <c r="B217" s="4" t="s">
        <v>324</v>
      </c>
      <c r="C217" s="4" t="s">
        <v>520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413</v>
      </c>
      <c r="B218" s="23" t="s">
        <v>269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426</v>
      </c>
      <c r="B219" s="4" t="s">
        <v>427</v>
      </c>
      <c r="C219" s="4" t="s">
        <v>446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426</v>
      </c>
      <c r="B220" s="4" t="s">
        <v>427</v>
      </c>
      <c r="C220" s="4" t="s">
        <v>548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455</v>
      </c>
      <c r="C221" s="188" t="s">
        <v>577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188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309</v>
      </c>
      <c r="B223" s="4" t="s">
        <v>324</v>
      </c>
      <c r="C223" s="188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454</v>
      </c>
      <c r="B224" s="23" t="s">
        <v>269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333</v>
      </c>
      <c r="B225" s="4" t="s">
        <v>456</v>
      </c>
      <c r="C225" s="4"/>
      <c r="D225" s="5"/>
      <c r="E225" s="4" t="s">
        <v>464</v>
      </c>
      <c r="F225" s="12">
        <v>0</v>
      </c>
      <c r="G225" s="9">
        <v>0</v>
      </c>
      <c r="I225" s="46"/>
    </row>
    <row r="226" spans="1:9" s="20" customFormat="1" ht="51.75" customHeight="1">
      <c r="A226" s="246">
        <v>250380</v>
      </c>
      <c r="B226" s="186" t="s">
        <v>555</v>
      </c>
      <c r="C226" s="4"/>
      <c r="D226" s="5"/>
      <c r="E226" s="4" t="s">
        <v>536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47"/>
      <c r="B227" s="187"/>
      <c r="C227" s="4"/>
      <c r="D227" s="5"/>
      <c r="E227" s="4" t="s">
        <v>558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395</v>
      </c>
      <c r="B228" s="23" t="s">
        <v>272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426</v>
      </c>
      <c r="B229" s="4" t="s">
        <v>427</v>
      </c>
      <c r="C229" s="4" t="s">
        <v>432</v>
      </c>
      <c r="D229" s="17"/>
      <c r="E229" s="4" t="s">
        <v>432</v>
      </c>
      <c r="F229" s="19"/>
      <c r="G229" s="9">
        <v>0</v>
      </c>
      <c r="I229" s="46"/>
    </row>
    <row r="230" spans="1:9" s="20" customFormat="1" ht="72" customHeight="1" hidden="1">
      <c r="A230" s="184" t="s">
        <v>426</v>
      </c>
      <c r="B230" s="188" t="s">
        <v>427</v>
      </c>
      <c r="C230" s="4" t="s">
        <v>548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184"/>
      <c r="B231" s="188"/>
      <c r="C231" s="4"/>
      <c r="D231" s="17"/>
      <c r="E231" s="4" t="s">
        <v>533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326</v>
      </c>
      <c r="B232" s="4" t="s">
        <v>327</v>
      </c>
      <c r="C232" s="4" t="s">
        <v>536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316</v>
      </c>
      <c r="B233" s="4" t="s">
        <v>317</v>
      </c>
      <c r="C233" s="4"/>
      <c r="D233" s="17"/>
      <c r="E233" s="4" t="s">
        <v>460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303</v>
      </c>
      <c r="B234" s="4" t="s">
        <v>485</v>
      </c>
      <c r="C234" s="4"/>
      <c r="D234" s="17"/>
      <c r="E234" s="4" t="s">
        <v>546</v>
      </c>
      <c r="F234" s="19">
        <v>0</v>
      </c>
      <c r="G234" s="19">
        <f>F234</f>
        <v>0</v>
      </c>
      <c r="I234" s="46"/>
    </row>
    <row r="235" spans="1:9" s="20" customFormat="1" ht="47.25">
      <c r="A235" s="184" t="s">
        <v>309</v>
      </c>
      <c r="B235" s="188" t="s">
        <v>324</v>
      </c>
      <c r="C235" s="4" t="s">
        <v>517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184"/>
      <c r="B236" s="188"/>
      <c r="C236" s="4" t="s">
        <v>536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184"/>
      <c r="B237" s="188"/>
      <c r="C237" s="4" t="s">
        <v>521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184"/>
      <c r="B238" s="188"/>
      <c r="C238" s="4" t="s">
        <v>526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184"/>
      <c r="B239" s="188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184"/>
      <c r="B240" s="188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184"/>
      <c r="B241" s="188"/>
      <c r="C241" s="4" t="s">
        <v>539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184"/>
      <c r="B242" s="188"/>
      <c r="C242" s="4" t="s">
        <v>548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396</v>
      </c>
      <c r="B243" s="23" t="s">
        <v>275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426</v>
      </c>
      <c r="B244" s="4" t="s">
        <v>427</v>
      </c>
      <c r="C244" s="4"/>
      <c r="D244" s="17"/>
      <c r="E244" s="4" t="s">
        <v>533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184" t="s">
        <v>326</v>
      </c>
      <c r="B245" s="188" t="s">
        <v>327</v>
      </c>
      <c r="C245" s="4" t="s">
        <v>536</v>
      </c>
      <c r="D245" s="17">
        <v>0</v>
      </c>
      <c r="E245" s="4" t="s">
        <v>536</v>
      </c>
      <c r="F245" s="19">
        <v>0</v>
      </c>
      <c r="G245" s="19">
        <f>D245+F245</f>
        <v>0</v>
      </c>
      <c r="I245" s="46"/>
    </row>
    <row r="246" spans="1:9" s="20" customFormat="1" ht="47.25">
      <c r="A246" s="184"/>
      <c r="B246" s="188"/>
      <c r="C246" s="4"/>
      <c r="D246" s="17"/>
      <c r="E246" s="35" t="s">
        <v>528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316</v>
      </c>
      <c r="B247" s="4" t="s">
        <v>317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303</v>
      </c>
      <c r="B248" s="4" t="s">
        <v>485</v>
      </c>
      <c r="C248" s="4"/>
      <c r="D248" s="17"/>
      <c r="E248" s="4" t="s">
        <v>546</v>
      </c>
      <c r="F248" s="19">
        <v>0</v>
      </c>
      <c r="G248" s="19">
        <f>F248</f>
        <v>0</v>
      </c>
      <c r="I248" s="46"/>
    </row>
    <row r="249" spans="1:9" s="20" customFormat="1" ht="47.25">
      <c r="A249" s="184" t="s">
        <v>309</v>
      </c>
      <c r="B249" s="188" t="s">
        <v>324</v>
      </c>
      <c r="C249" s="4" t="s">
        <v>517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184"/>
      <c r="B250" s="188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184"/>
      <c r="B251" s="188"/>
      <c r="C251" s="4" t="s">
        <v>521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184"/>
      <c r="B252" s="188"/>
      <c r="C252" s="4" t="s">
        <v>526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184"/>
      <c r="B253" s="188"/>
      <c r="C253" s="4" t="s">
        <v>536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184"/>
      <c r="B254" s="188"/>
      <c r="C254" s="4" t="s">
        <v>539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397</v>
      </c>
      <c r="B255" s="23" t="s">
        <v>276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426</v>
      </c>
      <c r="B256" s="4" t="s">
        <v>427</v>
      </c>
      <c r="C256" s="4"/>
      <c r="D256" s="17"/>
      <c r="E256" s="4" t="s">
        <v>533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326</v>
      </c>
      <c r="B257" s="4" t="s">
        <v>327</v>
      </c>
      <c r="C257" s="4" t="s">
        <v>536</v>
      </c>
      <c r="D257" s="17">
        <v>0</v>
      </c>
      <c r="E257" s="4" t="s">
        <v>536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316</v>
      </c>
      <c r="B258" s="4" t="s">
        <v>317</v>
      </c>
      <c r="C258" s="4"/>
      <c r="D258" s="17"/>
      <c r="E258" s="4" t="s">
        <v>536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303</v>
      </c>
      <c r="B259" s="4" t="s">
        <v>485</v>
      </c>
      <c r="C259" s="4"/>
      <c r="D259" s="17"/>
      <c r="E259" s="4" t="s">
        <v>546</v>
      </c>
      <c r="F259" s="19">
        <v>0</v>
      </c>
      <c r="G259" s="19">
        <f>F259</f>
        <v>0</v>
      </c>
      <c r="I259" s="46"/>
    </row>
    <row r="260" spans="1:9" s="20" customFormat="1" ht="47.25">
      <c r="A260" s="184" t="s">
        <v>309</v>
      </c>
      <c r="B260" s="188" t="s">
        <v>324</v>
      </c>
      <c r="C260" s="4" t="s">
        <v>517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184"/>
      <c r="B261" s="188"/>
      <c r="C261" s="4" t="s">
        <v>536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184"/>
      <c r="B262" s="188"/>
      <c r="C262" s="4" t="s">
        <v>521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184"/>
      <c r="B263" s="188"/>
      <c r="C263" s="4" t="s">
        <v>526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184"/>
      <c r="B264" s="188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184"/>
      <c r="B265" s="188"/>
      <c r="C265" s="4" t="s">
        <v>539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184"/>
      <c r="B266" s="188"/>
      <c r="C266" s="4" t="s">
        <v>548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398</v>
      </c>
      <c r="B267" s="23" t="s">
        <v>277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426</v>
      </c>
      <c r="B268" s="4" t="s">
        <v>427</v>
      </c>
      <c r="C268" s="4"/>
      <c r="D268" s="17"/>
      <c r="E268" s="4" t="s">
        <v>533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326</v>
      </c>
      <c r="B269" s="4" t="s">
        <v>327</v>
      </c>
      <c r="C269" s="4" t="s">
        <v>536</v>
      </c>
      <c r="D269" s="17">
        <v>0</v>
      </c>
      <c r="E269" s="4" t="s">
        <v>536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316</v>
      </c>
      <c r="B270" s="4" t="s">
        <v>317</v>
      </c>
      <c r="C270" s="4"/>
      <c r="D270" s="17"/>
      <c r="E270" s="4" t="s">
        <v>536</v>
      </c>
      <c r="F270" s="19">
        <v>0</v>
      </c>
      <c r="G270" s="19">
        <f>F270</f>
        <v>0</v>
      </c>
      <c r="I270" s="46"/>
    </row>
    <row r="271" spans="1:9" s="20" customFormat="1" ht="47.25">
      <c r="A271" s="184" t="s">
        <v>309</v>
      </c>
      <c r="B271" s="188" t="s">
        <v>324</v>
      </c>
      <c r="C271" s="4" t="s">
        <v>517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184"/>
      <c r="B272" s="188"/>
      <c r="C272" s="4" t="s">
        <v>536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184"/>
      <c r="B273" s="188"/>
      <c r="C273" s="4" t="s">
        <v>521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184"/>
      <c r="B274" s="188"/>
      <c r="C274" s="4" t="s">
        <v>526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184"/>
      <c r="B275" s="188"/>
      <c r="C275" s="4" t="s">
        <v>539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184"/>
      <c r="B276" s="188"/>
      <c r="C276" s="4" t="s">
        <v>548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399</v>
      </c>
      <c r="B277" s="23" t="s">
        <v>278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426</v>
      </c>
      <c r="B278" s="4" t="s">
        <v>427</v>
      </c>
      <c r="C278" s="4" t="s">
        <v>433</v>
      </c>
      <c r="D278" s="17"/>
      <c r="E278" s="4" t="s">
        <v>433</v>
      </c>
      <c r="F278" s="19"/>
      <c r="G278" s="19">
        <v>0</v>
      </c>
      <c r="I278" s="46"/>
    </row>
    <row r="279" spans="1:9" s="33" customFormat="1" ht="69" customHeight="1">
      <c r="A279" s="182" t="s">
        <v>426</v>
      </c>
      <c r="B279" s="186" t="s">
        <v>427</v>
      </c>
      <c r="C279" s="4" t="s">
        <v>548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83"/>
      <c r="B280" s="187"/>
      <c r="C280" s="4"/>
      <c r="D280" s="17"/>
      <c r="E280" s="4" t="s">
        <v>533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184" t="s">
        <v>326</v>
      </c>
      <c r="B281" s="188" t="s">
        <v>327</v>
      </c>
      <c r="C281" s="4" t="s">
        <v>536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184"/>
      <c r="B282" s="188"/>
      <c r="C282" s="4"/>
      <c r="D282" s="17"/>
      <c r="E282" s="35" t="s">
        <v>528</v>
      </c>
      <c r="F282" s="39">
        <v>0</v>
      </c>
      <c r="G282" s="39">
        <v>0</v>
      </c>
      <c r="I282" s="46"/>
    </row>
    <row r="283" spans="1:9" s="20" customFormat="1" ht="47.25">
      <c r="A283" s="18" t="s">
        <v>501</v>
      </c>
      <c r="B283" s="4" t="s">
        <v>324</v>
      </c>
      <c r="C283" s="4" t="s">
        <v>523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303</v>
      </c>
      <c r="B284" s="4" t="s">
        <v>485</v>
      </c>
      <c r="C284" s="4"/>
      <c r="D284" s="17"/>
      <c r="E284" s="4" t="s">
        <v>546</v>
      </c>
      <c r="F284" s="19">
        <v>0</v>
      </c>
      <c r="G284" s="19">
        <f>F284</f>
        <v>0</v>
      </c>
      <c r="I284" s="46"/>
    </row>
    <row r="285" spans="1:9" s="20" customFormat="1" ht="47.25">
      <c r="A285" s="184" t="s">
        <v>309</v>
      </c>
      <c r="B285" s="188" t="s">
        <v>324</v>
      </c>
      <c r="C285" s="4" t="s">
        <v>517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184"/>
      <c r="B286" s="188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184"/>
      <c r="B287" s="188"/>
      <c r="C287" s="4" t="s">
        <v>522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184"/>
      <c r="B288" s="188"/>
      <c r="C288" s="4" t="s">
        <v>521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184"/>
      <c r="B289" s="188"/>
      <c r="C289" s="4" t="s">
        <v>526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184"/>
      <c r="B290" s="188"/>
      <c r="C290" s="4" t="s">
        <v>539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184"/>
      <c r="B291" s="188"/>
      <c r="C291" s="4" t="s">
        <v>536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184"/>
      <c r="B292" s="188"/>
      <c r="C292" s="4" t="s">
        <v>548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400</v>
      </c>
      <c r="B293" s="23" t="s">
        <v>279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426</v>
      </c>
      <c r="B294" s="4" t="s">
        <v>427</v>
      </c>
      <c r="C294" s="4"/>
      <c r="D294" s="17"/>
      <c r="E294" s="4" t="s">
        <v>533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316</v>
      </c>
      <c r="B295" s="4" t="s">
        <v>317</v>
      </c>
      <c r="C295" s="4"/>
      <c r="D295" s="17"/>
      <c r="E295" s="4" t="s">
        <v>536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326</v>
      </c>
      <c r="B296" s="4" t="s">
        <v>327</v>
      </c>
      <c r="C296" s="4" t="s">
        <v>536</v>
      </c>
      <c r="D296" s="17">
        <v>0</v>
      </c>
      <c r="E296" s="4" t="s">
        <v>536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303</v>
      </c>
      <c r="B297" s="4" t="s">
        <v>485</v>
      </c>
      <c r="C297" s="4"/>
      <c r="D297" s="17"/>
      <c r="E297" s="4" t="s">
        <v>546</v>
      </c>
      <c r="F297" s="19">
        <v>0</v>
      </c>
      <c r="G297" s="19">
        <f>F297</f>
        <v>0</v>
      </c>
      <c r="I297" s="46"/>
    </row>
    <row r="298" spans="1:9" s="20" customFormat="1" ht="47.25">
      <c r="A298" s="184" t="s">
        <v>309</v>
      </c>
      <c r="B298" s="188" t="s">
        <v>324</v>
      </c>
      <c r="C298" s="4" t="s">
        <v>517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184"/>
      <c r="B299" s="188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184"/>
      <c r="B300" s="188"/>
      <c r="C300" s="4" t="s">
        <v>521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184"/>
      <c r="B301" s="188"/>
      <c r="C301" s="4" t="s">
        <v>526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184"/>
      <c r="B302" s="188"/>
      <c r="C302" s="4" t="s">
        <v>539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184"/>
      <c r="B303" s="188"/>
      <c r="C303" s="4" t="s">
        <v>536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184"/>
      <c r="B304" s="188"/>
      <c r="C304" s="4" t="s">
        <v>548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401</v>
      </c>
      <c r="B305" s="23" t="s">
        <v>280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184" t="s">
        <v>426</v>
      </c>
      <c r="B306" s="188" t="s">
        <v>427</v>
      </c>
      <c r="C306" s="4" t="s">
        <v>548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184"/>
      <c r="B307" s="188"/>
      <c r="C307" s="4"/>
      <c r="D307" s="17"/>
      <c r="E307" s="4" t="s">
        <v>533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326</v>
      </c>
      <c r="B308" s="4" t="s">
        <v>327</v>
      </c>
      <c r="C308" s="4" t="s">
        <v>536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184" t="s">
        <v>309</v>
      </c>
      <c r="B309" s="188" t="s">
        <v>324</v>
      </c>
      <c r="C309" s="4" t="s">
        <v>517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184"/>
      <c r="B310" s="188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184"/>
      <c r="B311" s="188"/>
      <c r="C311" s="4" t="s">
        <v>521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184"/>
      <c r="B312" s="188"/>
      <c r="C312" s="4" t="s">
        <v>526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184"/>
      <c r="B313" s="188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184"/>
      <c r="B314" s="188"/>
      <c r="C314" s="4" t="s">
        <v>539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184"/>
      <c r="B315" s="188"/>
      <c r="C315" s="4" t="s">
        <v>536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184"/>
      <c r="B316" s="188"/>
      <c r="C316" s="4" t="s">
        <v>548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298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85" t="s">
        <v>461</v>
      </c>
      <c r="B319" s="185"/>
      <c r="C319" s="66"/>
      <c r="D319" s="67"/>
      <c r="E319" s="54"/>
      <c r="F319" s="57" t="s">
        <v>462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153:A154"/>
    <mergeCell ref="B153:B154"/>
    <mergeCell ref="D202:D203"/>
    <mergeCell ref="A164:A166"/>
    <mergeCell ref="B164:B166"/>
    <mergeCell ref="A169:A170"/>
    <mergeCell ref="B169:B170"/>
    <mergeCell ref="A182:A184"/>
    <mergeCell ref="B182:B184"/>
    <mergeCell ref="A125:A127"/>
    <mergeCell ref="B125:B127"/>
    <mergeCell ref="A128:A129"/>
    <mergeCell ref="B128:B129"/>
    <mergeCell ref="A162:A163"/>
    <mergeCell ref="B162:B163"/>
    <mergeCell ref="A134:A138"/>
    <mergeCell ref="B134:B138"/>
    <mergeCell ref="A150:A151"/>
    <mergeCell ref="B150:B151"/>
    <mergeCell ref="A159:A160"/>
    <mergeCell ref="B159:B160"/>
    <mergeCell ref="A155:A157"/>
    <mergeCell ref="B155:B157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72:A76"/>
    <mergeCell ref="B72:B76"/>
    <mergeCell ref="A43:A45"/>
    <mergeCell ref="B43:B45"/>
    <mergeCell ref="A46:A50"/>
    <mergeCell ref="B46:B50"/>
    <mergeCell ref="A58:A60"/>
    <mergeCell ref="B58:B60"/>
    <mergeCell ref="B16:B19"/>
    <mergeCell ref="A34:A36"/>
    <mergeCell ref="B34:B36"/>
    <mergeCell ref="C68:C69"/>
    <mergeCell ref="A37:A42"/>
    <mergeCell ref="B37:B42"/>
    <mergeCell ref="A23:A30"/>
    <mergeCell ref="B23:B30"/>
    <mergeCell ref="C16:C19"/>
    <mergeCell ref="A5:G5"/>
    <mergeCell ref="B8:B9"/>
    <mergeCell ref="C8:D8"/>
    <mergeCell ref="E8:F8"/>
    <mergeCell ref="A12:A13"/>
    <mergeCell ref="B12:B13"/>
    <mergeCell ref="A14:A15"/>
    <mergeCell ref="B14:B15"/>
    <mergeCell ref="A16:A19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2015-12-21T12:47:27Z</cp:lastPrinted>
  <dcterms:created xsi:type="dcterms:W3CDTF">1996-10-08T23:32:33Z</dcterms:created>
  <dcterms:modified xsi:type="dcterms:W3CDTF">2015-12-21T12:47:28Z</dcterms:modified>
  <cp:category/>
  <cp:version/>
  <cp:contentType/>
  <cp:contentStatus/>
</cp:coreProperties>
</file>