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40" yWindow="195" windowWidth="11550" windowHeight="9855" tabRatio="612" activeTab="0"/>
  </bookViews>
  <sheets>
    <sheet name="таб.4.1" sheetId="1" r:id="rId1"/>
    <sheet name="таб. 4.2" sheetId="2" r:id="rId2"/>
    <sheet name="Лист1" sheetId="3" r:id="rId3"/>
  </sheets>
  <definedNames>
    <definedName name="_xlnm._FilterDatabase" localSheetId="0" hidden="1">'таб.4.1'!$H$1:$H$299</definedName>
    <definedName name="_xlnm.Print_Titles" localSheetId="1">'таб. 4.2'!$6:$6</definedName>
    <definedName name="_xlnm.Print_Titles" localSheetId="0">'таб.4.1'!$13:$13</definedName>
    <definedName name="_xlnm.Print_Area" localSheetId="1">'таб. 4.2'!$A$1:$D$93</definedName>
    <definedName name="_xlnm.Print_Area" localSheetId="0">'таб.4.1'!$A$1:$H$299</definedName>
  </definedNames>
  <calcPr fullCalcOnLoad="1"/>
</workbook>
</file>

<file path=xl/sharedStrings.xml><?xml version="1.0" encoding="utf-8"?>
<sst xmlns="http://schemas.openxmlformats.org/spreadsheetml/2006/main" count="1154" uniqueCount="440">
  <si>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</si>
  <si>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Будівництво мереж зовнішнього освітлення по вул. Горького (від вул. Радянської до вул. Червоногвардійської) у м.Запоріжжі  (проектні та будівельні  роботи )</t>
  </si>
  <si>
    <t>Будівництво мереж зовнішнього освітлення по вул. Свердлова (від вул. Жуковського до вул. Гоголя) у м. Запоріжжя (проектні та будівельні роботи)</t>
  </si>
  <si>
    <t>Будівництво мереж зовнішнього освітлення вулиці Історична від (ж/б № 1 до ж/б №5) у м. Запоріжжі (проектні та будівельні роботи)</t>
  </si>
  <si>
    <t>Будівництво мереж зовнішнього освітлення вулиці  Косарєва (від вул. Билкіна  до вул. Автобусної) у м. Запоріжжі (проектні та будівельні роботи)</t>
  </si>
  <si>
    <t>Будівництво мереж зовнішнього освітлення вулиці Байконурівська у м. Запоріжжя</t>
  </si>
  <si>
    <t>Будівництво мереж зовнішнього освітлення по вул. Сурікова у м. Запоріжжі</t>
  </si>
  <si>
    <t>Будівництво мереж зовнішнього освітлення по вул. Булавіна у м. Запоріжжі</t>
  </si>
  <si>
    <t>Будівництво мереж зовнішнього освітлення по вул. Колонтай у м. Запоріжжі</t>
  </si>
  <si>
    <t>Будівництво мереж зовнішнього освітлення по вул. Тимірязєва (від вул. Балкова до вул. Баранова) у м. Запоріжжі</t>
  </si>
  <si>
    <t>Будівництво мереж зовнішнього освітлення по вул. Тимірязєва (від вул. 8 Березня до пров. Преснєнський) у м. Запоріжжі</t>
  </si>
  <si>
    <t>Реконструкція мереж зовнішнього освітлення по вул. Новокузнецька (пішохідна доріжка від вул. Автозаводська до вул.Нагнибіди) в м.Запоріжжя</t>
  </si>
  <si>
    <t xml:space="preserve">Реконструкція філії Центру надання адміністративних послуг Заводського району в м.Запоріжжя </t>
  </si>
  <si>
    <t xml:space="preserve">Реконструкція Центру надання адміністративних послуг Центральний по бул.Центральному, б.27 в м.Запоріжжя </t>
  </si>
  <si>
    <t xml:space="preserve">Реконструкція філії Центру надання адміністративних послуг Ленінського та Хортицького районів по вул.Кіяшко буд.22 в м.Запоріжжя </t>
  </si>
  <si>
    <t xml:space="preserve">Реконструкція філії Центру надання адміністративних послуг Комунарського району в м.Запоріжжя </t>
  </si>
  <si>
    <t>СКП "Запорізька ритуальна служба"</t>
  </si>
  <si>
    <t>Будівництво мереж зовнішнього освітлення по вул. Грязнова, 88, 88а, 88б, 90а, 90, 94 у м.Запоріжжі</t>
  </si>
  <si>
    <t xml:space="preserve">Реконструкція світлофорного об'єкту вул.Чарівна - зупинка "Заводська" в м.Запоріжжі </t>
  </si>
  <si>
    <t>Будівництво світлофорного об'єкту з визивним пристроєм в районі зупинкового комплексу "Скворцова" по вул. Скворцова в м.Запоріжжі</t>
  </si>
  <si>
    <t>Будівництво світлофорного об'єкту з визивним пристроєм  для пішоходів на перехресті вул. Б.Хмельницького - вул. Леонова в м. Запоріжжя</t>
  </si>
  <si>
    <t>Будівництво світлофорного об'єкту на перехресті вул. Північне шосе - дорога на Сталепрокатний завод в м. Запоріжжя</t>
  </si>
  <si>
    <t>Вертикальне планування котловану на території КЗ «Запорізька міська багатопрофільна дитяча лікарня №5» по вул.Новгородська, 28а в м.Запоріжжі - нове будівництво</t>
  </si>
  <si>
    <t>32</t>
  </si>
  <si>
    <t>Реконструкція площі Т.Г. Шевченка з прилеглою територією у Шевченківському районі м. Запоріжжя</t>
  </si>
  <si>
    <t>Будівництво мереж зовнішнього освітлення по вул. Донецька -  вул. Зелена у м. Запоріжжі</t>
  </si>
  <si>
    <t>вул.Зернова, 42</t>
  </si>
  <si>
    <t>91</t>
  </si>
  <si>
    <t>96</t>
  </si>
  <si>
    <t>субвенція з державного бюджету місцевим бюджетам на здійснення заходів щодо  соціально-економічного розвитку окремих територій</t>
  </si>
  <si>
    <t>Проектування та реконструкція водопроводу технічної води для поливу зелених насаджень і технічного водопостачання парку "Енергетиків" в м.Запоріжжя</t>
  </si>
  <si>
    <t>Реконструкція мереж зовнішнього освітлення по вул. Червоногвардійська у м.Запоріжжі</t>
  </si>
  <si>
    <t>вул.Товариська, 39а - вул. Зернова, 44</t>
  </si>
  <si>
    <t>Департамент комунальної власності та приватизації Запорізької міської ради</t>
  </si>
  <si>
    <t>45</t>
  </si>
  <si>
    <t>Ліквідація аварійного стану ділянки самопливного каналізаційного колектору від вул.Будьоного до майданчику ЦОС-2 в м.Запоріжжя. Укріплення схилу між ПК-46 - ПК-47 і відновлення рельєфу місцевості</t>
  </si>
  <si>
    <t>Реконструкція приміщень роздягальні та комп"ютерного класу навчально-виховного оздоровчого комплексу  № 110  по вул.Стешенка,19 Комунарського району м. Запоріжжя</t>
  </si>
  <si>
    <t>Комунальна установа «Запорізька міська багатопрофільна дитяча лікарня №5»  (відділення недоношених новонароджених)  - реконструкція, м.Запоріжжя</t>
  </si>
  <si>
    <t>Комунальний заклад "Міська клінічна лікарня №3" - реконструкція відділення очної травми та приймального відділення, м. Запоріжжя</t>
  </si>
  <si>
    <t>Житловий будинок по бул. Вінтера,50 - реконструкція  в м. Запоріжжя</t>
  </si>
  <si>
    <t>Будівництво дороги до каналізаційної насосної станції №3 по вул. Лізи Чайкіної  м. Запоріжжя</t>
  </si>
  <si>
    <t>Реконструкція тротуару по вул. Новокузнецька (непарна сторона) в м. Запоріжжі</t>
  </si>
  <si>
    <r>
      <rPr>
        <b/>
        <sz val="14"/>
        <rFont val="Times New Roman"/>
        <family val="1"/>
      </rPr>
      <t>СКП "Запорізька ритуальна служба"</t>
    </r>
    <r>
      <rPr>
        <sz val="14"/>
        <rFont val="Times New Roman"/>
        <family val="1"/>
      </rPr>
      <t xml:space="preserve"> (катафалк - 1 од., автобус "Богдан" - 1 од.)</t>
    </r>
  </si>
  <si>
    <t>Реконструкція каналізаційного напірного колектору Д=710мм від КНС-23. Ділянка №3 від вул. Істоміна до камери гасіння м. Запоріжжя</t>
  </si>
  <si>
    <t>Заходи щодо відновлення і підтримання сприятливого гідрологічного режиму та санітарного стану річок. Розчистка русла балки Поповка м. Запоріжжя</t>
  </si>
  <si>
    <t>Реконструкція контактної мережі тролейбусу на греблі "Дніпрогес" і на ділянці від площі Леніна до естакади через шлюзи у м. Запоріжжя</t>
  </si>
  <si>
    <t>Реконструкція дороги по вул. Південноукраїнська та вул. Панфіловців з влаштуванням гостьових автомобільних стоянок м. Запоріжжя</t>
  </si>
  <si>
    <t xml:space="preserve">Реконструкція дороги по вул. Чубаря з влаштуванням гостьових автомобільних стоянок, м. Запоріжжя </t>
  </si>
  <si>
    <t xml:space="preserve">Будівництво світлофорного об'єкту на перехресті вул. Л.Чайкіної - вул. Історична в м.Запоріжжя </t>
  </si>
  <si>
    <t>23</t>
  </si>
  <si>
    <t>Управління з питань правового забезпечення роботи галузей міського господарства Запорізької міської ради</t>
  </si>
  <si>
    <t>Реконструкція теплового вузла багатоквартирного житлового будинку по вул. 40 років Радянської України, 78 у м. Запоріжжі</t>
  </si>
  <si>
    <t>Будівництво мереж зовнішнього освітлення у парку Трудової слави (майданчик "Фортеця") в м. Запоріжжі</t>
  </si>
  <si>
    <t>Реконструкція мереж зовнішнього освітлення Дамби (розділювальна смуга) в м. Запоріжжі</t>
  </si>
  <si>
    <t>вул. Узбекістанська, 9а</t>
  </si>
  <si>
    <t>Будівництво декоративних підпірних стін від вул. Правда до вул. Перемога (проектні та будівельні роботи)</t>
  </si>
  <si>
    <t xml:space="preserve">Реконструкція ділянки пішохідної алеї від вул. Правдв до вул. Патріотична (проектні та будівельні роботи) </t>
  </si>
  <si>
    <t>Будівництво мереж зовнішнього освітлення у парку Трудової слави (майданчик для заняття паркуром) в м. Запоріжжі</t>
  </si>
  <si>
    <t>091209</t>
  </si>
  <si>
    <t>Фінансова підтримка громадських організацій інвалідів і ветеранів</t>
  </si>
  <si>
    <t xml:space="preserve">Реконструкція водопроводу DN250 мм на селище Креміно з території Абразивного комбінату м. Запоріжжя (проектні роботи) </t>
  </si>
  <si>
    <t>Реконструкція розділювальної смуги на Прибережній магістралі від вул. Української до вул. Глісерної з будівництвом світлофорних об'єктів у м. Запоріжжі (проектні та будівельні роботи)</t>
  </si>
  <si>
    <t>Реконструкція будівлі дошкільного навчального закладу №186 по вул.12 Квітня, 2а, м. Запоріжжя (проектні та будівельні роботи)</t>
  </si>
  <si>
    <t>Будівля котельні по вул. Карпенка-Карого, 21-Б, м. Запоріжжя - ліквідація аварійного стану</t>
  </si>
  <si>
    <t>Будівництво світлофорного об'єкту з пішохідним визивним пристроєм ПВП по вул. Яценка в районі парку Перемоги у м.Запоріжжі</t>
  </si>
  <si>
    <t xml:space="preserve">Будівництво світлофорного об'єкту на перехресті вул. Радгоспної - вул. Магара в м.Запоріжжя </t>
  </si>
  <si>
    <t>Реконструкція світлофорного об'єкту на перехресті вул.Іванова-вул.Безіменна в м.Запоріжжі</t>
  </si>
  <si>
    <r>
      <rPr>
        <b/>
        <sz val="14"/>
        <rFont val="Times New Roman"/>
        <family val="1"/>
      </rPr>
      <t xml:space="preserve">Міське комунальне підприємство "Основаніє" </t>
    </r>
    <r>
      <rPr>
        <sz val="14"/>
        <rFont val="Times New Roman"/>
        <family val="1"/>
      </rPr>
      <t>(придбання: трактор Беларусь 82.1 - 5 од., трактор Борекс - 2 од., причеп тракторний ПТС-4,5 - 2 од.,  деревоподрібнююча машина - 2од., кутова шліфувальна машина - 1од., ремонтне обладнання-3 од., персональний комп"ютер-50 од., сервер-2 од., дизельний генератор-1 од., кондиціонер-2 од., телевізор-1 од., джерело безперебійного живлення-1 од., різограф-1 од., принтер-3 од., відвал-5 од., щітка дорожня-3 од.)</t>
    </r>
  </si>
  <si>
    <r>
      <rPr>
        <b/>
        <sz val="14"/>
        <rFont val="Times New Roman"/>
        <family val="1"/>
      </rPr>
      <t>Концерн "Міські теплові мережі"</t>
    </r>
    <r>
      <rPr>
        <sz val="14"/>
        <rFont val="Times New Roman"/>
        <family val="1"/>
      </rPr>
      <t xml:space="preserve">  (придбання: екскаватор навантажувач з навісним обладнанням - 2 од.,  гідромолот - 1 од., компресор - 1 од. , дизельний генератор - 1 од., вантажопасажирський автомобіль ГАЗ  - 3 од., магнітогідродинамічний резонатор МГДР-ПМЦ-СА-150/80 - 1 од.)</t>
    </r>
  </si>
  <si>
    <r>
      <rPr>
        <b/>
        <sz val="14"/>
        <rFont val="Times New Roman"/>
        <family val="1"/>
      </rPr>
      <t>Комунальне підприємств</t>
    </r>
    <r>
      <rPr>
        <sz val="14"/>
        <rFont val="Times New Roman"/>
        <family val="1"/>
      </rPr>
      <t xml:space="preserve">о </t>
    </r>
    <r>
      <rPr>
        <b/>
        <sz val="14"/>
        <rFont val="Times New Roman"/>
        <family val="1"/>
      </rPr>
      <t xml:space="preserve">"Водоканал" </t>
    </r>
    <r>
      <rPr>
        <sz val="14"/>
        <rFont val="Times New Roman"/>
        <family val="1"/>
      </rPr>
      <t>(придбання: каналопромивочна машина МАЗ -1 од., автоцистерна на шасі ГАЗ - 2 од., навантажувач-екскаватор - 2 од., система виготовлення робочого розчину сульфату амонію MixLine - 1 од., станція дозування  розчину - 1 од. комплексна каналізаційна насосона станція - 1од., матеріали для ремонту колектору)</t>
    </r>
  </si>
  <si>
    <t>КП "Преса"</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</si>
  <si>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 придбання 6-ти нових тролейбусів вітчизняного виробництва)</t>
  </si>
  <si>
    <t>Комунальне підприємство "Міжнародний аеропорт Запоріжжя" (придбання детектору вибухових речовин - 1 од., технологічний автомобіль - 3 од., установка наземного живлення - 1 од., установка повітряного запуску - 1 од., машина для антиожиледної обробки повітряних суден - 1 од., санітарний автомобіль-1 од., монітор для аерозалу-1 од.)</t>
  </si>
  <si>
    <t>Комунальне підприємство "Запорізьке енергетичне агенство Запорізької міської ради" (придбання багатофункціонального пристрою - 1 од.)</t>
  </si>
  <si>
    <t>КП "Запорізьке енергетичне агенство Запорізької міської ради"</t>
  </si>
  <si>
    <t>Комунальне підприємство "Преса" (придбання обладнання інфрачервоної системи опалення)</t>
  </si>
  <si>
    <r>
      <rPr>
        <b/>
        <sz val="14"/>
        <rFont val="Times New Roman"/>
        <family val="1"/>
      </rPr>
      <t>Комунальне підприємство "Експлуатаційне лінійне управління автомобільних шляхів"</t>
    </r>
    <r>
      <rPr>
        <sz val="14"/>
        <rFont val="Times New Roman"/>
        <family val="1"/>
      </rPr>
      <t xml:space="preserve"> (придбання: фронтальний навантажувач - 1 од., асфальтоукладач на гусеничному ходу з комплектацією - 1 од., газель вантажопассажирська - 2 од., самоскид вантажопідйомністю до 20 т з поворотним відвалом - 1 од., зварювальний генератор - 1 од.,  зварювальний апарат-інвектор Енергомаш - 1 од., відбійний молоток - 1од., перфоратор - 1 од., самоскид до 30 т. - 2 од., каток відраційний до 3 т - 1 од., дорожня-розміточна машина -1од.)</t>
    </r>
  </si>
  <si>
    <r>
      <rPr>
        <b/>
        <sz val="14"/>
        <rFont val="Times New Roman"/>
        <family val="1"/>
      </rPr>
      <t>КП "Титан"</t>
    </r>
    <r>
      <rPr>
        <sz val="14"/>
        <rFont val="Times New Roman"/>
        <family val="1"/>
      </rPr>
      <t xml:space="preserve"> (придбання: автомобіль спеціального призначення (вакуумна машина) - 1 од., автомобіль для перевезення вантажів - 1 од., пляжеприбиральна машина - 1 од., придбання памятних знаків "Запорізьким захисникам України" - 2 од., сміттєві контейнери - 13 од., модульні туалетні кабіни-7 од.)</t>
    </r>
  </si>
  <si>
    <r>
      <rPr>
        <b/>
        <sz val="14"/>
        <rFont val="Times New Roman"/>
        <family val="1"/>
      </rPr>
      <t>Комунальне підприємство</t>
    </r>
    <r>
      <rPr>
        <sz val="14"/>
        <rFont val="Times New Roman"/>
        <family val="1"/>
      </rPr>
      <t xml:space="preserve"> </t>
    </r>
    <r>
      <rPr>
        <b/>
        <sz val="14"/>
        <rFont val="Times New Roman"/>
        <family val="1"/>
      </rPr>
      <t xml:space="preserve">"Запоріжміськсвітло" </t>
    </r>
    <r>
      <rPr>
        <sz val="14"/>
        <rFont val="Times New Roman"/>
        <family val="1"/>
      </rPr>
      <t xml:space="preserve">(придбання станції диспетчерського пункту з програмним забезпеченням АРМ Міськсвітло - 1 од.,  автопідйомник з висотою підйому не менше 18 м - 2 од., мінітрактор з навісним обладнанням - 2 од., </t>
    </r>
    <r>
      <rPr>
        <sz val="14"/>
        <color indexed="10"/>
        <rFont val="Times New Roman"/>
        <family val="1"/>
      </rPr>
      <t>бензопила - 5 од., трасошукач - 1 од., мотокоса - 1 од., зварювальний апарат інвекторний - 1 од., тепловізор - 1 од.</t>
    </r>
    <r>
      <rPr>
        <sz val="14"/>
        <rFont val="Times New Roman"/>
        <family val="1"/>
      </rPr>
      <t>)</t>
    </r>
  </si>
  <si>
    <r>
      <rPr>
        <b/>
        <sz val="14"/>
        <rFont val="Times New Roman"/>
        <family val="1"/>
      </rPr>
      <t>Комунальне ремонтно-будівельне підприємство "Зеленбуд"</t>
    </r>
    <r>
      <rPr>
        <sz val="14"/>
        <rFont val="Times New Roman"/>
        <family val="1"/>
      </rPr>
      <t xml:space="preserve"> (придбання поливомийного автомобілю МДКЗ на базі  МАЗ - 2 од.,  екскаватор Борекс на базі трактора МТЗ - 1 од., трактор МТЗ - 2 од, установка для створення газонів методом гідровисіву - 1 од., </t>
    </r>
    <r>
      <rPr>
        <sz val="14"/>
        <color indexed="10"/>
        <rFont val="Times New Roman"/>
        <family val="1"/>
      </rPr>
      <t>відвал для очистки снігу - 4 од., причет тракторний - 1 од., мінітрактор-косарка - 1 од., подрібнювач гілля - 1 од., мотокоса - 9 од., бензопила - 10 од., газонокосарка - 7 од, мотоножиці - 3 од., висоторіз - 2 од., легковий автомобіль - 1 од.)</t>
    </r>
  </si>
  <si>
    <t>Р.О. Пидорич</t>
  </si>
  <si>
    <t>25.12.2015 №8</t>
  </si>
  <si>
    <t>Назва головного розпорядника коштів</t>
  </si>
  <si>
    <t>Департамент економічного розвитку Запорізької міської ради</t>
  </si>
  <si>
    <t>Департамент освіти і науки, молоді та спорту Запорізької міської ради</t>
  </si>
  <si>
    <t>Управління соціального захисту населення Запорізької міської ради</t>
  </si>
  <si>
    <t>Районна адміністрація Запорізької міської ради по Орджонікідзевському району</t>
  </si>
  <si>
    <t>210105</t>
  </si>
  <si>
    <t>(тис.грн.)</t>
  </si>
  <si>
    <t>Код типової відомчої класифікації видатків місцевих бюджетів</t>
  </si>
  <si>
    <t>Назва об'єктів відповідно до проектно-кошторисної документації, тощо</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</si>
  <si>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</si>
  <si>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бюджетів</t>
  </si>
  <si>
    <t>Всього</t>
  </si>
  <si>
    <t>Видатки на запобігання та ліквідацію надзвичайних ситуацій та наслідків стихійного лиха</t>
  </si>
  <si>
    <t>Таблиця 4.2</t>
  </si>
  <si>
    <t>03</t>
  </si>
  <si>
    <t>010116</t>
  </si>
  <si>
    <t>Органи місцевого самоврядування</t>
  </si>
  <si>
    <t>капітальні видатки</t>
  </si>
  <si>
    <t>Інші видатки</t>
  </si>
  <si>
    <t>070101</t>
  </si>
  <si>
    <t>Дошкільні заклади освіти</t>
  </si>
  <si>
    <t>070201</t>
  </si>
  <si>
    <t xml:space="preserve">Загальноосвітні школи (в т.ч.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</si>
  <si>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</si>
  <si>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</si>
  <si>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</si>
  <si>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</si>
  <si>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</si>
  <si>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</si>
  <si>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</si>
  <si>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</si>
  <si>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</si>
  <si>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</si>
  <si>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</si>
  <si>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</si>
  <si>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</si>
  <si>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</si>
  <si>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</si>
  <si>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</si>
  <si>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</si>
  <si>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</si>
  <si>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</si>
  <si>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</si>
  <si>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100102</t>
  </si>
  <si>
    <t>Капітальний ремонт житлового фонду місцевих органів ради</t>
  </si>
  <si>
    <t>250404</t>
  </si>
  <si>
    <t xml:space="preserve">                                                                                                                                                                                                                                                                                                                                                                                                                                                                                                                                                                                                                                                                                                                                                                                                                                                                                                                                                                                                                                                                                </t>
  </si>
  <si>
    <t>100203</t>
  </si>
  <si>
    <t>65</t>
  </si>
  <si>
    <t>Управління з питань транспортного забезпечення та зв"язку Запорізької міської ради</t>
  </si>
  <si>
    <t>210110</t>
  </si>
  <si>
    <t>Заходи з організації рятування на водах</t>
  </si>
  <si>
    <t>091204</t>
  </si>
  <si>
    <t>Територіальні центри соціального обслуговування (надання соціальних послуг)</t>
  </si>
  <si>
    <t>Департамент житлово-комунального  господарства Запорізької міської ради</t>
  </si>
  <si>
    <t>Благоустрій міст, сіл, селищ</t>
  </si>
  <si>
    <t xml:space="preserve">Управління з питань попередження надзвичайних ситуацій та цивільного захисту населення Запорізької міської ради </t>
  </si>
  <si>
    <t xml:space="preserve">Виконавчий комітет міської ради </t>
  </si>
  <si>
    <t>080500</t>
  </si>
  <si>
    <t>Загальні і спеціалізовані стоматологічні поліклініки</t>
  </si>
  <si>
    <t>070202</t>
  </si>
  <si>
    <t>Вечірні (змінні) школи</t>
  </si>
  <si>
    <t>130107</t>
  </si>
  <si>
    <t>Утримання та навчально-тренувальна робота дитячо-юнацьких спортивних шкіл</t>
  </si>
  <si>
    <t xml:space="preserve">Органи місцевого самоврядування </t>
  </si>
  <si>
    <t>100106</t>
  </si>
  <si>
    <t>Капітальний ремонт житлового фонду об'єднань співвласників багатоквартирних будинків</t>
  </si>
  <si>
    <t>171000</t>
  </si>
  <si>
    <t>Діяльність і послуги не віднесені до інших категорій</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</si>
  <si>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</si>
  <si>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</si>
  <si>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</si>
  <si>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</si>
  <si>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93</t>
  </si>
  <si>
    <t>Районна адміністрація Запорізької міської ради по Жовтневого району</t>
  </si>
  <si>
    <t>Департамент архітектури та містобудування Запорізької міської ради</t>
  </si>
  <si>
    <t>ЗАТВЕРДЖЕНО</t>
  </si>
  <si>
    <t>Рішення міської ради</t>
  </si>
  <si>
    <t>Додаток 4</t>
  </si>
  <si>
    <t>Таблиця 4.1</t>
  </si>
  <si>
    <t>Загальний обсяг фінансування будівництва (інших капітальних вкладень, кошторисна вартість</t>
  </si>
  <si>
    <t xml:space="preserve">Відсоток завершеності будівництва об'єкта на майбутні роки </t>
  </si>
  <si>
    <t>Всього видатків на завершення будівництва об'єктів на майбутні роки</t>
  </si>
  <si>
    <t>Замовник / розпорядник бюджетних коштів нижчого рівня / одержувач бюджетних коштів</t>
  </si>
  <si>
    <t>Капітальні вкладення</t>
  </si>
  <si>
    <t>150101</t>
  </si>
  <si>
    <t>Будівля навчального комплексу "Запорізька Січ" о.Хортиця, м.Запоріжжя - реконструкція</t>
  </si>
  <si>
    <t>КП "УКБ"</t>
  </si>
  <si>
    <t>Реконструкція будівлі дошкільного навчального закладу №285  по пр. 40-річчя Перемоги, 15а, Комунарського району (проектні та будівельні роботи)</t>
  </si>
  <si>
    <t>Управління з питань охорони здоров"я  Запорізької  міської ради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</si>
  <si>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</si>
  <si>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t>
  </si>
  <si>
    <t xml:space="preserve">Реконструкція  приміщень комунальної установи  "Міська клінічна лікарня №2", м. Запоріжжя (проектні та будівельні роботи) </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</si>
  <si>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</si>
  <si>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Термомодернізація будівлі комунальної установи "Центральна поліклініка Жовтневого району" по пр. Леніна, 88, м.Запоріжжя - реконструкція</t>
  </si>
  <si>
    <t>Ремонтні та реставраційні роботи по будівлі комунального закладу охорони здоров’я «Студентська поліклініка» по пр. Леніна, 59 м.Запоріжжя</t>
  </si>
  <si>
    <t>Реконструкція будівлі по вул. Таганська, 8 під соціальний готель (проектні та будівельні роботи)</t>
  </si>
  <si>
    <t xml:space="preserve">Управління розвитку підприємництва та дозвільних послуг Запорізької міської ради </t>
  </si>
  <si>
    <t>Реконструкція ринку Соцміста КП "Запоріжринок" вул. Рекордна, 2, м. Запоріжжя (проектні та будівельні роботи)</t>
  </si>
  <si>
    <t>Департамент житлово-комунального господарства Запорізької міської ради</t>
  </si>
  <si>
    <t xml:space="preserve">Реконструкція системи диспетчеризації ліфтового господарства в Комунарському районі м. Запоріжжя </t>
  </si>
  <si>
    <t>Житловий будинок по вул. Республіканській,185 - реконструкція  системи теплопостачання</t>
  </si>
  <si>
    <t>150118</t>
  </si>
  <si>
    <t>Житлове будівництво та придбання житла для окремих категорій населення</t>
  </si>
  <si>
    <t>Реконструкція шляхопроводу через р. Мокра Московка на автошляху Харків-Сімферополь (проектні та будівельні роботи)</t>
  </si>
  <si>
    <t>Ліквідація аварійного стану автодороги, зливової та побутової каналізації по вул. М.Судця, м.Запоріжжя</t>
  </si>
  <si>
    <t xml:space="preserve">Завершення будівництва по вул. Калнишевського, вул. Дорошенко, вул. Рубана (зовнішнє освітлення та дороги) </t>
  </si>
  <si>
    <t>КП "Титан"</t>
  </si>
  <si>
    <t xml:space="preserve">Будівництво водогону Д=315 мм по вул.Сапожнікова, м.Запоріжжя </t>
  </si>
  <si>
    <t>Реконструкція скверу  Театрального  в м. Запоріжжя (проектні та будівельні роботи)</t>
  </si>
  <si>
    <t>Будівництво трамвайної колії від пр. Леніна до вул. Жовтневої в м. Запоріжжі (проектно-вишукувальні роботи, експертиза)</t>
  </si>
  <si>
    <t>Управління з питань транспортного забезпечення та зв'язку Запорізької міської ради</t>
  </si>
  <si>
    <t>Реконструкція хлораторної ДВС-2,  м. Запоріжжя (проектні та будівельні роботи)</t>
  </si>
  <si>
    <r>
      <t>Газифікація житлових будинків по вул. Воєнбуд м.Запоріжжя</t>
    </r>
  </si>
  <si>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</si>
  <si>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</si>
  <si>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</si>
  <si>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Газифікація житлових будинків по вул. Шушенська в Ленінському районі м.Запоріжжя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</si>
  <si>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</si>
  <si>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t>Реконструкція парку "Трудової слави" в м. Запоріжжі</t>
  </si>
  <si>
    <t xml:space="preserve">Реконструкція будівлі Міського Палацу дитячої та юнацької творчості по пл. Леніна, 1 </t>
  </si>
  <si>
    <t>Реконструкція зовнішнього освітлення в районі вул. Правда - вул. Чубаря, м.Запоріжжя (проектні та будівельні роботи)</t>
  </si>
  <si>
    <t>вул.Перемоги, 131а</t>
  </si>
  <si>
    <t>вул.Дегтярьова, 5а</t>
  </si>
  <si>
    <t>вул.Тенісна, 11</t>
  </si>
  <si>
    <t>пр.Ювілейний,23А</t>
  </si>
  <si>
    <t>пр.40 річчя Перемоги,67</t>
  </si>
  <si>
    <t>вул.Чернівецька, 6</t>
  </si>
  <si>
    <t>вул.Узбекистанська, 5</t>
  </si>
  <si>
    <t>Реконструкція мереж зовнішнього освітлення в сквері по вул.Космічній,22 (біля Комунарського РВ ЗМУ) в м.Запоріжжя</t>
  </si>
  <si>
    <t>Реконструкція мереж зовнішнього освітлення на внутрішньоквартальній території по пр. Радянський (5 мікрорайон) ТП-612</t>
  </si>
  <si>
    <t>Реконструкція мереж зовнішнього освітлення по вул. Метрополітенівській</t>
  </si>
  <si>
    <t>Реконструкція мереж зовнішнього освітлення по вул. Станіславського</t>
  </si>
  <si>
    <t>Реконструкція мереж зовнішнього освітлення по вул. Деповська</t>
  </si>
  <si>
    <t>Реконструкція мереж зовнішнього освітлення по вул. Армавірська</t>
  </si>
  <si>
    <t>Управління з питань екологічної безпеки  Запорізької міської ради</t>
  </si>
  <si>
    <t xml:space="preserve">150101 </t>
  </si>
  <si>
    <t>Будівництво дитячого будинку сімейного типу в сел. Тепличне по вул. Центральній між будинками №№ 7а та 7 в м.Запоріжжі (проектні роботи, експертиза, будівельні роботи)</t>
  </si>
  <si>
    <t>070802</t>
  </si>
  <si>
    <t>Методична робота, інші заходи у сфері народної освіти</t>
  </si>
  <si>
    <t xml:space="preserve">Секретар міської ради </t>
  </si>
  <si>
    <t xml:space="preserve">Реконструкція будівель та інженерних мереж комунальної установи "Міська клінічна лікарня екстреної та швидкої медичної допомоги м.Запоріжжя" по вул.Перемоги, 80  м. Запоріжжя (проектні, будівельні роботи та експертиза) </t>
  </si>
  <si>
    <t xml:space="preserve">Комунальна установа «Міська клінічна лікарня екстреної та швидкої медичної допомоги м.Запоріжжя» - реконструкція резервного джерела енергопостачання </t>
  </si>
  <si>
    <t>Реконструкція будівлі під центр реінтеграції бездомних осіб по вул. Перспективна, 2А в м.Запоріжжі (проектні роботи та експертиза)</t>
  </si>
  <si>
    <t xml:space="preserve">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 та експертиза) </t>
  </si>
  <si>
    <t>Реконструкція будівлі  насосної станції (літера А) з розташуванням в ній котельної та насосної групи по вул. Софіївській, 232б в м. Запоріжжі</t>
  </si>
  <si>
    <t>Гуртожиток по вул.Жовтнева,2 - реконструкція системи теплопостачання</t>
  </si>
  <si>
    <t>Реконструкція вул. Уральської від вул. Кругової до вул. Чарівної  в Шевченківському районі м. Запоріжжя (проектні роботи)</t>
  </si>
  <si>
    <t>Будівництво водопропуску через річку Сагайдачку по вул.Скельній в м.Запоріжжя</t>
  </si>
  <si>
    <t>Реконструкція вул. Жовтневої від пр. Леніна  до вул.  Жуковського в Жовтневому районі м. Запоріжжя (проектні роботи)</t>
  </si>
  <si>
    <t xml:space="preserve">Реконструкція будівлі дошкільного навчального закладу № 220 по вул. Давидова, 11 Ленінського району м.Запоріжжя (проектні та будівельні роботи)  </t>
  </si>
  <si>
    <t>Будівництво спортивних майданчиків для занять паркуром в районі будинку №19 по вул. Південноукраїнській в м.Запоріжжі</t>
  </si>
  <si>
    <t>Реконструкція тротуару по вул. Південноукраїнській до вул. Чубаря під пішохідну алею з влаштуванням дитячих майданчиків в м. Запоріжжі</t>
  </si>
  <si>
    <t>Реконструкція житлового будинку  по вул.Республіканській, 88  в м. Запоріжжя</t>
  </si>
  <si>
    <t>Реконструкція житлового будинку по вул.Ракетній, 38а  в м. Запоріжжя</t>
  </si>
  <si>
    <t>Реконструкція Палацу спорту "Юність" у м.Запоріжжя (проектні  та будівельні роботи)</t>
  </si>
  <si>
    <t>Реконструкція мостового переходу через залізницю по вул. Заводській в м.Запоріжжі</t>
  </si>
  <si>
    <t>070806</t>
  </si>
  <si>
    <t>Групи централізованого господарського обслуговування</t>
  </si>
  <si>
    <t>Реконструкція нежитлового приміщення по вул. Горького, 55 під амбулаторію сімейного лікаря КЗ "Запорізький центр первинної медико-санітарної допомоги № 1" в м.Запоріжжя</t>
  </si>
  <si>
    <t>Житловий будинок по вул.Дзержинського, 52 - реконструкція в м. Запоріжжі</t>
  </si>
  <si>
    <t>Реконструкція мереж зовнішнього освітлення Центрального парку культури і відпочинку "Дубовий гай" в м. Запоріжжі ТП-267 (парк "Дубовий гай")"</t>
  </si>
  <si>
    <t xml:space="preserve">Реконструкція амбулаторії №6  Центру первинної медико-санітарної допомоги № 2 по вул. Брюллова, 6 в м.Запоріжжя (проектні роботи) </t>
  </si>
  <si>
    <t>Нове будівництво гостьової автостоянки КП "Центральний парк культури і відпочинку "Дубовий гай" по Прибережній магістралі в м. Запоріжжі</t>
  </si>
  <si>
    <t>Нове будівництво ґрунтової підпірної  стінки в котловані незавершеного будівництва житлового будинку по вул.Горького, 167 в м. Запоріжжі</t>
  </si>
  <si>
    <t>Реконструкція вул. Сталеварів (від пр. Леніна  до вул. Перемоги)</t>
  </si>
  <si>
    <t>КП "УКБ", МКП "Основаніє"</t>
  </si>
  <si>
    <t>Будівництво споруд зливової каналізації в межах відновлення берегової території сел. Павло-Кічкас м. Запоріжжя (проектні роботи)</t>
  </si>
  <si>
    <t>Реконструкція мереж зовнішнього освітлення по вул. Тополіна ТП-52 у м. Запоріжжя</t>
  </si>
  <si>
    <t xml:space="preserve">Реконструкція вул. Жуковського від вул. Леппіка до вул. Залізничної  у Жовтневому районі м. Запоріжжя (проектні  роботи) </t>
  </si>
  <si>
    <t>до Програми економічного і соціального розвитку                                                                                   м. Запоріжжя на 2015 рік</t>
  </si>
  <si>
    <t xml:space="preserve">Перелік видатків,  які у 2015 році будуть проводитися за рахунок коштів бюджету розвитку міста </t>
  </si>
  <si>
    <t xml:space="preserve">Перелік першочергових об'єктів будівництва, реконструкції та ліквідації аварійного стану об'єктів, видатки на які у 2015 році будуть проводитися за рахунок коштів бюджету розвитку міста </t>
  </si>
  <si>
    <t>Видатки на 2015 рік</t>
  </si>
  <si>
    <t>Перелік капітальних видатків, які у 2015 році будуть проводитися за рахунок коштів бюджету розвитку  міста</t>
  </si>
  <si>
    <t>Реконструкція будівлі дошкільного навчального закладу № 144 Комунарського району (проектні та будівельні роботи)</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</si>
  <si>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</si>
  <si>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 xml:space="preserve">Реконструкція системи вентиляції і кондиціювання в корпусах комунальної установи "Міська клінічна лікарня екстреної та швидкої медичної допомоги м.Запоріжжя"  по вул. Перемоги, 80 (проектні роботи та експертиза) </t>
  </si>
  <si>
    <t>Комунальна установа "Центральна лікарня Орджонікідзевського району" по бул. Шевченка, 25 м.Запоріжжя - реконструкція</t>
  </si>
  <si>
    <t>Термомодернізація будівлі комунального закладу "Центр первинної медико-санітарної допомоги №2"  по вул Авраменко, 4 в Шевченківському районі м. Запоріжжя - реконструкція (проектні роботи)</t>
  </si>
  <si>
    <t>Термомодернізація будівлі комунального закладу "Запорізький центр первинної медико-санітарної допомоги №5" по вул. Запорозького Козацтва, 25 в Хортицькому районі м.Запоріжжя - реконструкція (проектні роботи)</t>
  </si>
  <si>
    <t>Реконструкція автодороги Запоріжжя-Підпорожнянка на Дніпровську водопровідну станцію (ДВС-1) в районі шлакових відвалів ВАТ "Запоріжсталь" у м. Запоріжжя</t>
  </si>
  <si>
    <t xml:space="preserve">Будівництво дорожнього полотна пров. Ставропольський в м. Запоріжжя </t>
  </si>
  <si>
    <t xml:space="preserve">Будівництво зливової каналізації по вул. Іванова у Шевченківському районі м. Запоріжжя </t>
  </si>
  <si>
    <t>Реконструкція мереж зовнішнього освітлення по вул. Північне шосе в м.Запоріжжя</t>
  </si>
  <si>
    <t xml:space="preserve">Житловий будинок  по вул. Вузлова,21 - реконструкція мереж гарячого водопостачання та системи теплопостачання </t>
  </si>
  <si>
    <t>Реконструкція по газифікації житлового будинку  по вул.Горького, 99, в м. Запоріжжя</t>
  </si>
  <si>
    <t>Будівництво світлофорного об'єкту з визивним пристроєм на перехресті бул.Шевченка-бул.Гвардійського  в м.Запоріжжя (проектні роботи)</t>
  </si>
  <si>
    <t>070803</t>
  </si>
  <si>
    <t>Забезпечення технічного нагляду за будівництвом і капітальним ремонтом та іншими окремими господарськими функціями</t>
  </si>
  <si>
    <t>070805</t>
  </si>
  <si>
    <t>200700</t>
  </si>
  <si>
    <t>Інші природоохоронні заходи</t>
  </si>
  <si>
    <t>Внески органів місцевого самоврядування у статутні капітали суб'єктів підприємницької діяльності</t>
  </si>
  <si>
    <t>МКП "Основаніє"</t>
  </si>
  <si>
    <t>КП "ЕЛУАШ"</t>
  </si>
  <si>
    <t>КП "Запоріжміськсвітло"</t>
  </si>
  <si>
    <t>КРБП "Зеленбуд"</t>
  </si>
  <si>
    <t xml:space="preserve">170703 </t>
  </si>
  <si>
    <t>Заходи щодо відновлення і підтримання сприятливого гідрологічного режиму та санітарного стану річок. Розчистка русла р. Верхня Хортиця на ділянці від залізничного переїзду до р. Дніпро</t>
  </si>
  <si>
    <t>120100</t>
  </si>
  <si>
    <t>Телебачення і радіомовлення</t>
  </si>
  <si>
    <t>180409</t>
  </si>
  <si>
    <t>Реконструкція системи газопостачання газопроводу низького тиску в районі житлового будинку №24 по вул.Лобановського</t>
  </si>
  <si>
    <t xml:space="preserve">Реконструкція вул.Рекордної від вул. Портова до вул. Алюмінієва (проектні роботи) </t>
  </si>
  <si>
    <t xml:space="preserve">Реконструкція вулично-шляхової мережі   по вул. Грибоєдова  від Щасливої до вул. Тобольської у Ленінському районі м. Запоріжжя  (проектні  роботи) </t>
  </si>
  <si>
    <t>Реконструкція зливової каналізації по вул. Тургенєва в м. Запоріжжя  (проектні роботи)</t>
  </si>
  <si>
    <t>Реконструкція скверу на пл. Театральній зі спорудженням пам'ятника Т.Г. Шевченку (проектні роботи та експертиза)</t>
  </si>
  <si>
    <t>Влаштування флагштоків у парку Металургів в м.Запоріжжі на Алеї Пам'яті Героїв, загиблих в АТО - нове будівництво</t>
  </si>
  <si>
    <t>Будівництво світлофорних об'єктів, в тому числі:</t>
  </si>
  <si>
    <t>вул. Кузнєцова,34б</t>
  </si>
  <si>
    <t>ЗКПМЕ "Запоріжелектротранс"</t>
  </si>
  <si>
    <t>КП "Міжнародний аеропорт Запоріжжя"</t>
  </si>
  <si>
    <t xml:space="preserve">Реконструкція зливової каналізації по вул. Задніпровської в м. Запоріжжя (проектні роботи) </t>
  </si>
  <si>
    <t>Будівництво світлофорного об'єкту на перехресті вул. Леппіка - вул. Дзержинського в м. Запоріжжі</t>
  </si>
  <si>
    <t>Будівництво світлофорного об'єкту на перехресті вул. Гоголя - вул. Комунарівська в м. Запоріжжі</t>
  </si>
  <si>
    <t>Будівництво світлофорного об'єкту на перехресті вул. Сєдова - виїзд з 7 медсанчастини  в м. Запоріжжі</t>
  </si>
  <si>
    <t>Будівництво мереж зовнішнього освітлення по вул.Прияружна, 4а-12 у м. Запоріжжі (проектні та будівельні роботи)</t>
  </si>
  <si>
    <t>Будівництво мереж зовнішнього освітлення по вул. Вогнетривка, 1-11 у м.Запоріжжя (проектні та будівельні роботи)</t>
  </si>
  <si>
    <t>Будівництво мереж зовнішнього освітлення пров.Якутський (від вул. Панфьорова до вул. Паторжинського)  у м. Запоріжжі (проектні та будівельні роботи)</t>
  </si>
  <si>
    <t>Будівництво мереж зовнішнього освітлення по вул. Скеляста у м.Запоріжжі (проектні роботи та експертиза)</t>
  </si>
  <si>
    <t>Будівництво мереж зовнішнього освітлення по вул. Аджарська у м.Запоріжжі (проектні роботи та експертиза)</t>
  </si>
  <si>
    <t>Будівництво мереж зовнішнього освітлення по вул. Рилєєва, 7-18 у м. Запоріжжі (проектні роботи та експертиза)</t>
  </si>
  <si>
    <t xml:space="preserve">Реконструкція мереж зовнішнього освітлення дитячого майданчика по вул. Дорошенка, 6 (квартал 18) у м.Запоріжжя </t>
  </si>
  <si>
    <t xml:space="preserve">Реконструкція мереж зовнішнього освітлення на внутрішньоквартальній території по вул. Малиновського ТП-153 у м.Запоріжжя </t>
  </si>
  <si>
    <t xml:space="preserve">Реконструкція мереж зовнішнього освітлення на внутрішньоквартальній території по вул. Малиновського ТП-158  у м.Запоріжжя </t>
  </si>
  <si>
    <t xml:space="preserve">Реконструкція мереж зовнішнього освітлення на внутрішньоквартальній території по вул. Малиновського  ТП-118  у м.Запоріжжя </t>
  </si>
  <si>
    <t>Реконструкція мереж зовнішнього освітлення по вул. Новгородська (гуртожиток по вул. Новгородська) у м.Запоріжжі</t>
  </si>
  <si>
    <t>Реконструкція мереж зовнішнього освітлення по вул. Теплова в м.Запоріжжі</t>
  </si>
  <si>
    <t>Реконструкція мереж зовнішнього освітлення по вул. Кустанайська в м.Запоріжжі</t>
  </si>
  <si>
    <t>Реконструкція мереж зовнішнього освітлення по вул. Крилова в м.Запоріжжі</t>
  </si>
  <si>
    <t>Реконструкція мереж зовнішнього освітлення на внутрішньоквартальній території по вул. Героїв Сталінграду, ТП-311 в м.Запоріжжі</t>
  </si>
  <si>
    <t>Реконструкція мереж зовнішнього освітлення на внутрішньоквартальній території по вул. Грязнова ТП-312 в м.Запоріжжі</t>
  </si>
  <si>
    <t>Реконструкція мереж зовнішнього освітлення на внутрішньоквартальній території по вул. Грязнова в м.Запоріжжі</t>
  </si>
  <si>
    <t>Реконструкція мереж зовнішнього освітлення по вул. Ризька в м.Запоріжжі</t>
  </si>
  <si>
    <t>Реконструкція мереж зовнішнього освітлення по вул. Третьої п’ятирічки  в м.Запоріжжі</t>
  </si>
  <si>
    <t xml:space="preserve"> Технічне переоснащення приміщень комунального закладу "Палацу культури "Орбіта" з встановленням систем пожежогасіння та системи пожежної сигналізації по вул. Лермонтова, 9 м.Запоріжжя</t>
  </si>
  <si>
    <t>Будівництво Кушугумського кладовища в м.Запоріжжя</t>
  </si>
  <si>
    <t>Будівництво мереж зовнішнього освітлення, в тому числі:</t>
  </si>
  <si>
    <t>Будівництво дитячих майданчиків  (проектні та будівельні роботи), в тому числі за адресами:</t>
  </si>
  <si>
    <t>Внески у статутні капітали комунальних підприємств міста, в тому числі:</t>
  </si>
  <si>
    <t>Внески у статутні капітали комунальних підприємств міста,  в тому числі:</t>
  </si>
  <si>
    <t>Реконструкція каналізаційних мереж діаметром 150 мм від ж/б №218 по пр. Леніна до пр. Металургів м.Запоріжжя</t>
  </si>
  <si>
    <t>Районна адміністрація Запорізької міської ради по Шевченківському району</t>
  </si>
  <si>
    <t>Реконструкція пішохідної частини проспекту Маяковського в м. Запоріжжі</t>
  </si>
  <si>
    <t>Районна адміністрація Запорізької міської ради по Заводському району</t>
  </si>
  <si>
    <t>Районна адміністрація Запорізької міської ради по Хортицькому району</t>
  </si>
  <si>
    <t>Районна адміністрація Запорізької міської ради по Комунарському району</t>
  </si>
  <si>
    <t>Нове будівництво інформаційних систем та телекомунікаційних мереж в м. Запоріжжі</t>
  </si>
  <si>
    <t>Нове будівництво дошкільного навчального закладу № 49 в мікрорайоні № 6 по вул. Бородінська в м. Запоріжжі (проектні роботи та експертиза)</t>
  </si>
  <si>
    <t>вул. Н.Містечка, 19 гол. фасад.</t>
  </si>
  <si>
    <t>вул.Памірська,91</t>
  </si>
  <si>
    <t>вул. 40 років Радянської України, 49</t>
  </si>
  <si>
    <t>бул. Центральний, 3</t>
  </si>
  <si>
    <t>вул.Свердлова, 39</t>
  </si>
  <si>
    <t>пр. Леніна, 96</t>
  </si>
  <si>
    <t>вул.Задніпровська, 36</t>
  </si>
  <si>
    <t>вул.Рубана,13</t>
  </si>
  <si>
    <t>Будівництво спортивних майданчиків (проектні та будівельні роботи) в тому числі за адресами:</t>
  </si>
  <si>
    <t>вул. Історична, 29</t>
  </si>
  <si>
    <t>вул.Глазунова,6</t>
  </si>
  <si>
    <t>вул.Ентузіастів,3</t>
  </si>
  <si>
    <t>пр. Моторобудівників, 26</t>
  </si>
  <si>
    <t xml:space="preserve">вул.Чарівна,34 </t>
  </si>
  <si>
    <t>КП ЦПКВ "Дубовий гай"</t>
  </si>
  <si>
    <t>Будівництво мереж зовнішнього освітлення по вул.Васильєва у м.Запоріжжі</t>
  </si>
  <si>
    <t>Будівництво мереж зовнішнього освітлення по пров. Глибокий у м.Запоріжжі</t>
  </si>
  <si>
    <t>Будівництво мереж зовнішнього освітлення по вул. Тельмана (від вул. Кривоносова до залізничної колії АТ "Мотор Січ") у м.Запоріжжі</t>
  </si>
  <si>
    <t>Будівництво мереж зовнішнього освітлення по вул. Каспійська (від вул.Відмінна до вул.Футбольна) у м.Запоріжжі</t>
  </si>
  <si>
    <t>Реконструкція  мереж зовнішнього освітлення по вул. Яворницького в м. Запоріжжі (проектні роботи)</t>
  </si>
  <si>
    <t>Реконструкція  мереж зовнішнього освітлення по вул. Шишкіна в м. Запоріжжі (проектні роботи)</t>
  </si>
  <si>
    <t>Концерн "Міські теплові мережі"</t>
  </si>
  <si>
    <t>Реконструкція пішохідного переходу через балку Маркусова від вул. Історичної до вул. Сєченова в м. Запоріжжі</t>
  </si>
  <si>
    <t>КП "Центр управління інформаційними технологіями"</t>
  </si>
  <si>
    <t>76</t>
  </si>
  <si>
    <t>Департамент фінансової та бюджетної політики Запорізької міської ради</t>
  </si>
  <si>
    <t>250380</t>
  </si>
  <si>
    <t>Інші субвенції</t>
  </si>
  <si>
    <t>Будівництво зливової каналізації на проїжджій частині ділянки автодороги загального користування державного значення М-18 Харків-Сімферополь на 299 км у Комунарському районі м.Запоріжжя</t>
  </si>
  <si>
    <t>Будівництво зливової каналізації на ділянці автодороги загального користування державного значення М-18 Харків-Сімферополь  у Шевченківському районі м.Запоріжжя (проектні роботи, експертиза)</t>
  </si>
  <si>
    <t>Реконструкція центральної алеї скверу по пр. Ювілейному в Хортицькому районі м. Запоріжжя</t>
  </si>
  <si>
    <t>Реконструкція скверу ім. 30-річчя визволення України від фашистських загарбників по вул. Л.Чайкіної в м. Запоріжжя</t>
  </si>
  <si>
    <t>Реконструкція парку ім. Гагаріна в Комунарському районі м.Запоріжжя</t>
  </si>
  <si>
    <t>Реконструкція зливової каналізації в районі будинку № 18 по вул. Авраменка в м.Запоріжжі (проектні роботи, експертиза)</t>
  </si>
  <si>
    <t>Реконструкція пішохідного мосту через Вознесенівський спуск по вул. Перемоги - бул. Центральний в м. Запоріжжі (проектні роботи, експертиза)</t>
  </si>
  <si>
    <t>Реконструкція прогонових споруд підмостового автодорожнього проїзду дамби ім. Ленінського комсомолу по вул. Перемоги - вул. Яценка в м.Запоріжжі (проектні роботи, експертиза)</t>
  </si>
  <si>
    <t>КП "Водоканал"</t>
  </si>
  <si>
    <t>150110</t>
  </si>
  <si>
    <t>Проведення невідкладних відновлювальних робіт, будівництво та реконструкція загальноосвітніх навчальних закладів</t>
  </si>
  <si>
    <t>150112</t>
  </si>
  <si>
    <t>Проведення невідкладних відновлювальних робіт, будівництво та реконструкція позашкільних навчальних закладів</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</si>
  <si>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</si>
  <si>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</si>
  <si>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</si>
  <si>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Реконструкція автодороги по вул. Марата від вул. Щасливої до вул. Адмірала Макарова в м. Запоріжжя (проектні роботи, експертиза)</t>
  </si>
  <si>
    <t>Реконструкція зливової каналізації в районі будинку № 5 по вул. Челябінській в м.Запоріжжі (проектні роботи, експертиза)</t>
  </si>
  <si>
    <t>Видатки на проведення робіт, пов'язаних із будівництвом, реконструкцією, ремонтом  автомобільних доріг</t>
  </si>
  <si>
    <t>Реконструкція мереж зовнішнього освітлення автодорожнього проїзду від пл.Леніна до греблі ДніпроГЕС (лівий берег р.Дніпро) у м.Запоріжжя</t>
  </si>
  <si>
    <t>Реконструкція мереж зовнішнього освітлення автодорожнього проїзду від греблі ДніпрГЕС до бул.Вінтера (правий берег р.Дніпро ТП-74) у м.Запоріжжі</t>
  </si>
  <si>
    <t>Реконструкція мереж зовнішнього освітлення автодорожнього проїзду по споруді греблі ДніпроГЕС у м.Запоріжжі</t>
  </si>
  <si>
    <t>Будівництво та встановлення оглядових веж на території КП "Міжнародний аеропорт "Запоріжжя" за адресою м.Запоріжжя, вул. Блакитна, буд.4</t>
  </si>
  <si>
    <t xml:space="preserve">Будівництво мереж освітлення на оглядових вежах КП "Міжнародний аеропорт "Запоріжжя" (вул.Блакитна,4) </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</si>
  <si>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</si>
  <si>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скверу по вул.Бочарова-вул. Чарівній  в Шевченківському районі м.Запоріжжя</t>
  </si>
  <si>
    <t>Реконструкція самопливного каналізаційного колектору від вул. Новгородська до ЦОС-2. Ділянка колектору від дюкеру до ЦОС-2 (проектні роботи)</t>
  </si>
  <si>
    <t>Реконструкція мереж зовнішнього освітлення, в тому числі:</t>
  </si>
  <si>
    <t>Термомодернізація загальноосвітньої школи І-ІІІ ступенів № 101 по вул.Бочарова, 10-б  м.Запоріжжя - реконструкція</t>
  </si>
  <si>
    <t>Реконструкція будівлі дошкільного навчального закладу № 77 по пр. Маяковського, 3-б Орджонікідзевського району, м. Запоріжжя (проектні та будівельні роботи)</t>
  </si>
  <si>
    <t>Термомодернізація дошкільного навчального закладу (ясла-садок) № 126 «Суничка», вул.Патріотична, 40а м.Запоріжжя - реконструкція</t>
  </si>
  <si>
    <t>Реконструкція частини будівлі під амбулаторію сімейного лікаря по вул. Воронезька, 10 в Хортицькому районі м. Запоріжжя</t>
  </si>
  <si>
    <t>Реконструкція внутрішніх інженерних мереж житлового будинку по пр. Леніна, 171-а в м. Запоріжжя</t>
  </si>
  <si>
    <t>Реконструкція внутрішніх інженерних мереж житлового будинку по пр. Леніна, 173 в м. Запоріжжя</t>
  </si>
  <si>
    <t>Реконструкція житлового будинку № 4  по пл. Профспілок м. Запоріжжя</t>
  </si>
  <si>
    <t xml:space="preserve">Реконструкція зливової каналізації від вул. Карпенко-Карого до вул. Листопрокатної в м. Запоріжжі </t>
  </si>
  <si>
    <t>Реконструкція автошляхопроводу  по вул. Карпенка-Карого в м. Запоріжжя</t>
  </si>
  <si>
    <t>Реконструкція вулично-шляхової мережі по вул. Квітучій в межах від вул. Братської до вул. Вінницької в м.Запоріжжя (будівельні роботи)</t>
  </si>
  <si>
    <t>Встановлення типових мобільних споруд з влаштуванням  електро- та водопостачання для тимчасового перебування переселенців із зони АТО в мікрорайоні № 6 житлового масиву "Південний" м. Запоріжжя</t>
  </si>
  <si>
    <t>Будівництво мереж зовнішнього освітлення Прибережна магістраль (рятувальна станція КП "Титан") у м.Запоріжжі  (проектні роботи та експертиза)</t>
  </si>
  <si>
    <t>Будівництво мереж зовнішнього освітлення вулиці Кам'янсько-Дніпровська у м. Запоріжжі</t>
  </si>
  <si>
    <t>Будівництво мереж зовнішнього освітлення вулиці Салавата-Юлаєва у м. Запоріжжі</t>
  </si>
  <si>
    <t>Реконструкція мереж зовнішнього освітлення по автодорозі від вул. Таганська з обох боків залізничного мосту та по споруді  мосту Преображенського (міст Преображенського, Н. Дніпро) у м. Запоріжжі</t>
  </si>
  <si>
    <t>Реконструкція мереж зовнішнього освітлення по вул. Міська та по споруді мосту Преображенського (міст Преображенського, С. Дніпро) у м. Запоріжжі</t>
  </si>
  <si>
    <t>Реконструкція мереж зовнішнього освітлення  по вул.Халтуріна (з виходом на вул.Ялтинську) у м.Запоріжжі</t>
  </si>
  <si>
    <t>Реконструкція  мереж зовнішнього освітлення по вул. Українська (від вул. Стефанова до вул. Семафорна, ТП-358) у  м. Запоріжжі</t>
  </si>
  <si>
    <t>Реконструкція скверу на площі Маяковського в м. Запоріжжі, присвяченого ліквідаторам Чорнобильської катастрофи (проектні роботи, експертиза)</t>
  </si>
  <si>
    <t>Попередження створенню аварійного стану прибудови комунального закладу Палац культури "Орбіта"</t>
  </si>
  <si>
    <t>Вертикальне планування в балці Капустянка біля житлового будинку № 30-А по вул. Гагаріна в м. Запоріжжі - нове будівництво</t>
  </si>
  <si>
    <t>50</t>
  </si>
  <si>
    <t>Інспекція з благоустрою Запорізької міської ради</t>
  </si>
  <si>
    <t>Реконструкція мереж зовнішнього освітлення на внутрішньоквартальній території по вул. Бородінська 2-й етап ТП-885 в м.Запоріжжі</t>
  </si>
  <si>
    <t>Реконструкція  автодорожніх проїздів та благоустрій території в районі ринку "Хортицькій" в Хортицькому районі м. Запоріжжя</t>
  </si>
  <si>
    <t>120201</t>
  </si>
  <si>
    <t>Періодичні видання (газети та журнали)</t>
  </si>
  <si>
    <t xml:space="preserve">Реконструкція приміщення спортивного комплексу на території дитячої спортивної та юнацької школи «Локомотив» </t>
  </si>
  <si>
    <t>Районна адміністрація Запорізької міської ради по Ленінському району</t>
  </si>
  <si>
    <t>90</t>
  </si>
  <si>
    <t>92</t>
  </si>
  <si>
    <t>Служба (управління) у справах дітей Запорізької міської ради</t>
  </si>
  <si>
    <t>20</t>
  </si>
  <si>
    <t>Реконструкція котельні по вул. Задніпровська, 7, м. Запоріжжя (ліквідація аварійного стану)</t>
  </si>
  <si>
    <t>Реконструкція каналізаційного колектору до КНС-1 по вул. Українській м. Запоріжжя</t>
  </si>
  <si>
    <t>Розширення і реконструкція центральних каналізаційних очисних споруд Лівого берега  (ЦОС-1). Технологічні трубопроводи (колектор К-28) м. Запоріжжя</t>
  </si>
  <si>
    <t>Реконструкція самопливного каналізаційного колектору по пр. Металургів від вул. Рекордної до вул. Лучєвої м. Запоріжжя</t>
  </si>
  <si>
    <t>Реконструкція самопливного каналізаційного колектору від вул. Новгородська до ЦОС-2. Ділянка переходу дюкером під  вул. Задніпровською та залізницею</t>
  </si>
  <si>
    <t>КП "Центр управління інформаційними технологіями" (придбання системного блоку - 1 од., процесору - 1 од., моніторів - 2 од.)</t>
  </si>
  <si>
    <t>Реконструкція внутрішніх інженерних мереж житлового будинку по пр. Леніна, 171 в м. Запоріжжя</t>
  </si>
  <si>
    <t>Реконструкція горища під мансардний поверх або надбудову у житловому будинку № 42 по вул. 40 років Радянської України в м. Запоріжжя (проектні роботи, експертиза)</t>
  </si>
  <si>
    <t>Реконструкція будівлі по вул.Горького, 139 в м.Запоріжжі - демонтажні роботи</t>
  </si>
  <si>
    <t>Реконструкція бул.Будівельників у Хортицькому районі м.Запоріжжя</t>
  </si>
  <si>
    <t>95</t>
  </si>
  <si>
    <t xml:space="preserve">Реконструкція ігрового майданчика для дітей середнього віку з благоустроєм прилеглої території в районі житлового будинку по вул. Південноукраїнській, 15 в м.Запоріжжі </t>
  </si>
  <si>
    <t>Огородження та система технічного нагляду і контролю доступу по периметру охоронної зони обмеженого доступу КП "Міжнародний аеропорт Запоріжжя" (проектні роботи)</t>
  </si>
  <si>
    <t>Реконструкція павільйону - накопичувачу П-72 Літ.К.4 (будівля для обслуговування пасажирів на внутрішніх авіалініях)  КП "Міжнародний аеропорт Запоріжжя"</t>
  </si>
  <si>
    <t>Реконструкція приміщення для розміщення особового складу воєнізованої охорони аеропорту м.Запоріжжя</t>
  </si>
  <si>
    <t>Реконструкція  мереж зовнішнього освітлення по Прибережній магістралі (від вул. Луначарського до р.Мокра Московка) у м. Запоріжжі</t>
  </si>
  <si>
    <t>Видатки на проведення робіт, пов'язаних із будівництвом, реконструкцією, ремонтом автомобільних доріг</t>
  </si>
  <si>
    <t>Ліквідація аварійного стану на дорожньому насипу проїжджої частини дороги по вул. Перемоги (в районі міської лікарні №6) в м.Запоріжжя</t>
  </si>
  <si>
    <t>Встановлення стели з декоративним освітлення, присвячена Дню Незалежності в парку по вул.Новокузнецька-Нагнибіди в м.Запоріжжя</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</si>
</sst>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000"/>
    <numFmt numFmtId="190" formatCode="#,##0.0"/>
    <numFmt numFmtId="191" formatCode="#&quot; &quot;##0.000"/>
    <numFmt numFmtId="192" formatCode="0.00000"/>
    <numFmt numFmtId="193" formatCode="0.000000000"/>
    <numFmt numFmtId="194" formatCode="0.0000000000"/>
    <numFmt numFmtId="195" formatCode="0.00000000000"/>
    <numFmt numFmtId="196" formatCode="0.00000000"/>
    <numFmt numFmtId="197" formatCode="0.0000000"/>
    <numFmt numFmtId="198" formatCode="0.000000"/>
    <numFmt numFmtId="199" formatCode="0.0000"/>
    <numFmt numFmtId="200" formatCode="#,##0.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0.0000"/>
    <numFmt numFmtId="206" formatCode="#,##0.00000"/>
    <numFmt numFmtId="207" formatCode="[$-422]d\ mmmm\ yyyy&quot; р.&quot;"/>
    <numFmt numFmtId="208" formatCode="#,##0.000_р_."/>
    <numFmt numFmtId="209" formatCode="_-* #,##0.0_р_._-;\-* #,##0.0_р_._-;_-* &quot;-&quot;??_р_._-;_-@_-"/>
    <numFmt numFmtId="210" formatCode="_-* #,##0.000_р_._-;\-* #,##0.000_р_._-;_-* &quot;-&quot;??_р_._-;_-@_-"/>
    <numFmt numFmtId="211" formatCode="#,##0.000;[Red]#,##0.000"/>
  </numFmts>
  <fonts count="33">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name val="Times New Roman"/>
      <family val="1"/>
    </font>
    <font>
      <sz val="14"/>
      <name val="Times New Roman"/>
      <family val="1"/>
    </font>
    <font>
      <sz val="11"/>
      <name val="Times New Roman"/>
      <family val="1"/>
    </font>
    <font>
      <sz val="8"/>
      <name val="Calibri"/>
      <family val="2"/>
    </font>
    <font>
      <b/>
      <sz val="13"/>
      <name val="Times New Roman"/>
      <family val="1"/>
    </font>
    <font>
      <b/>
      <sz val="14"/>
      <name val="Times New Roman"/>
      <family val="1"/>
    </font>
    <font>
      <sz val="12"/>
      <name val="Times New Roman"/>
      <family val="1"/>
    </font>
    <font>
      <sz val="16"/>
      <name val="Times New Roman"/>
      <family val="1"/>
    </font>
    <font>
      <sz val="12"/>
      <name val="Arial"/>
      <family val="2"/>
    </font>
    <font>
      <sz val="13"/>
      <name val="Times New Roman"/>
      <family val="1"/>
    </font>
    <font>
      <sz val="14"/>
      <color indexed="10"/>
      <name val="Times New Roman"/>
      <family val="1"/>
    </font>
    <font>
      <u val="single"/>
      <sz val="11"/>
      <color indexed="12"/>
      <name val="Calibri"/>
      <family val="2"/>
    </font>
    <font>
      <u val="single"/>
      <sz val="11"/>
      <color indexed="20"/>
      <name val="Calibri"/>
      <family val="2"/>
    </font>
    <font>
      <sz val="8"/>
      <name val="Tahoma"/>
      <family val="2"/>
    </font>
    <font>
      <b/>
      <u val="single"/>
      <sz val="18"/>
      <name val="Times New Roman"/>
      <family val="1"/>
    </font>
  </fonts>
  <fills count="4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color indexed="8"/>
      </left>
      <right style="thin">
        <color indexed="8"/>
      </right>
      <top style="thin">
        <color indexed="8"/>
      </top>
      <bottom style="thin">
        <color indexed="8"/>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color indexed="63"/>
      </bottom>
    </border>
    <border>
      <left style="medium"/>
      <right style="thin">
        <color indexed="8"/>
      </right>
      <top style="thin">
        <color indexed="8"/>
      </top>
      <bottom style="thin">
        <color indexed="8"/>
      </bottom>
    </border>
    <border>
      <left style="thin"/>
      <right style="thin"/>
      <top>
        <color indexed="63"/>
      </top>
      <bottom style="thin"/>
    </border>
    <border>
      <left style="thin"/>
      <right style="medium"/>
      <top>
        <color indexed="63"/>
      </top>
      <bottom style="thin"/>
    </border>
    <border>
      <left style="medium"/>
      <right>
        <color indexed="63"/>
      </right>
      <top style="thin"/>
      <bottom>
        <color indexed="63"/>
      </bottom>
    </border>
    <border>
      <left style="medium"/>
      <right style="thin"/>
      <top>
        <color indexed="63"/>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medium"/>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color indexed="63"/>
      </top>
      <bottom style="thin"/>
    </border>
  </borders>
  <cellStyleXfs count="9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0" fillId="0" borderId="0">
      <alignment/>
      <protection/>
    </xf>
    <xf numFmtId="0" fontId="0" fillId="0" borderId="0">
      <alignment/>
      <protection/>
    </xf>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3" borderId="1"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9" borderId="2"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9"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1" borderId="7"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0"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5"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cellStyleXfs>
  <cellXfs count="165">
    <xf numFmtId="0" fontId="0" fillId="0" borderId="0" xfId="0" applyAlignment="1">
      <alignment/>
    </xf>
    <xf numFmtId="0" fontId="19" fillId="0" borderId="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200" fontId="23" fillId="0" borderId="11" xfId="0" applyNumberFormat="1" applyFont="1" applyFill="1" applyBorder="1" applyAlignment="1">
      <alignment horizontal="center" vertical="center" wrapText="1"/>
    </xf>
    <xf numFmtId="200" fontId="19" fillId="0" borderId="11" xfId="0" applyNumberFormat="1" applyFont="1" applyFill="1" applyBorder="1" applyAlignment="1">
      <alignment horizontal="center" vertical="center" wrapText="1"/>
    </xf>
    <xf numFmtId="200" fontId="19" fillId="0" borderId="11" xfId="802" applyNumberFormat="1" applyFont="1" applyFill="1" applyBorder="1" applyAlignment="1">
      <alignment horizontal="center" vertical="center" wrapText="1"/>
      <protection/>
    </xf>
    <xf numFmtId="200" fontId="19" fillId="0" borderId="11" xfId="801" applyNumberFormat="1" applyFont="1" applyFill="1" applyBorder="1" applyAlignment="1">
      <alignment horizontal="center" vertical="center" wrapText="1"/>
      <protection/>
    </xf>
    <xf numFmtId="200" fontId="19" fillId="0" borderId="11" xfId="787" applyNumberFormat="1" applyFont="1" applyFill="1" applyBorder="1" applyAlignment="1">
      <alignment horizontal="center" vertical="center" wrapText="1"/>
      <protection/>
    </xf>
    <xf numFmtId="189" fontId="19" fillId="0" borderId="11" xfId="787" applyNumberFormat="1" applyFont="1" applyFill="1" applyBorder="1" applyAlignment="1">
      <alignment horizontal="center" vertical="center" wrapText="1"/>
      <protection/>
    </xf>
    <xf numFmtId="189" fontId="19" fillId="0" borderId="11" xfId="0" applyNumberFormat="1" applyFont="1" applyFill="1" applyBorder="1" applyAlignment="1">
      <alignment horizontal="center" vertical="center" wrapText="1"/>
    </xf>
    <xf numFmtId="208" fontId="19" fillId="0" borderId="11" xfId="0" applyNumberFormat="1" applyFont="1" applyFill="1" applyBorder="1" applyAlignment="1">
      <alignment horizontal="center" vertical="center" wrapText="1"/>
    </xf>
    <xf numFmtId="200" fontId="23" fillId="0" borderId="11" xfId="784" applyNumberFormat="1" applyFont="1" applyFill="1" applyBorder="1" applyAlignment="1">
      <alignment horizontal="center" vertical="center" wrapText="1"/>
      <protection/>
    </xf>
    <xf numFmtId="200" fontId="19" fillId="0" borderId="11" xfId="784" applyNumberFormat="1" applyFont="1" applyFill="1" applyBorder="1" applyAlignment="1">
      <alignment horizontal="center" vertical="center" wrapText="1"/>
      <protection/>
    </xf>
    <xf numFmtId="200" fontId="19" fillId="0" borderId="12"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188" fontId="18" fillId="0" borderId="0" xfId="0" applyNumberFormat="1" applyFont="1" applyFill="1" applyBorder="1" applyAlignment="1">
      <alignment horizontal="center" vertical="center" wrapText="1"/>
    </xf>
    <xf numFmtId="0" fontId="18" fillId="0" borderId="0" xfId="0" applyFont="1" applyFill="1" applyAlignment="1">
      <alignment horizontal="left" vertical="center" wrapText="1"/>
    </xf>
    <xf numFmtId="0" fontId="18" fillId="0" borderId="0" xfId="0" applyFont="1" applyFill="1" applyAlignment="1">
      <alignment horizontal="center" vertical="center" wrapText="1"/>
    </xf>
    <xf numFmtId="0" fontId="18" fillId="0" borderId="0" xfId="0" applyFont="1" applyFill="1" applyAlignment="1">
      <alignment wrapText="1"/>
    </xf>
    <xf numFmtId="0" fontId="18" fillId="0" borderId="0" xfId="0" applyFont="1" applyFill="1" applyAlignment="1">
      <alignment vertical="center" wrapText="1"/>
    </xf>
    <xf numFmtId="49" fontId="19" fillId="0" borderId="0" xfId="0" applyNumberFormat="1" applyFont="1" applyFill="1" applyBorder="1" applyAlignment="1">
      <alignment horizontal="center" vertical="center" wrapText="1"/>
    </xf>
    <xf numFmtId="49" fontId="19" fillId="0" borderId="0" xfId="0" applyNumberFormat="1" applyFont="1" applyFill="1" applyBorder="1" applyAlignment="1">
      <alignment horizontal="left" vertical="center" wrapText="1"/>
    </xf>
    <xf numFmtId="49" fontId="19" fillId="0" borderId="0" xfId="0" applyNumberFormat="1" applyFont="1" applyFill="1" applyBorder="1" applyAlignment="1">
      <alignment vertical="center" wrapText="1"/>
    </xf>
    <xf numFmtId="0" fontId="19" fillId="0" borderId="0" xfId="0" applyFont="1" applyFill="1" applyBorder="1" applyAlignment="1">
      <alignment horizontal="left" vertical="center" wrapText="1"/>
    </xf>
    <xf numFmtId="188" fontId="19" fillId="0" borderId="0" xfId="0" applyNumberFormat="1"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4" xfId="0" applyFont="1" applyFill="1" applyBorder="1" applyAlignment="1">
      <alignment horizontal="center" vertical="center" wrapText="1"/>
    </xf>
    <xf numFmtId="1" fontId="19" fillId="0" borderId="11" xfId="0" applyNumberFormat="1"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1" xfId="0" applyFont="1" applyFill="1" applyBorder="1" applyAlignment="1">
      <alignment horizontal="left" vertical="center" wrapText="1"/>
    </xf>
    <xf numFmtId="200" fontId="23" fillId="0" borderId="15" xfId="0" applyNumberFormat="1" applyFont="1" applyFill="1" applyBorder="1" applyAlignment="1">
      <alignment horizontal="center" vertical="center" wrapText="1"/>
    </xf>
    <xf numFmtId="200" fontId="23"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49" fontId="23" fillId="0" borderId="14" xfId="0" applyNumberFormat="1" applyFont="1" applyFill="1" applyBorder="1" applyAlignment="1">
      <alignment horizontal="center" vertical="center" wrapText="1"/>
    </xf>
    <xf numFmtId="0" fontId="24" fillId="0" borderId="11" xfId="0" applyFont="1" applyFill="1" applyBorder="1" applyAlignment="1">
      <alignment horizontal="left" vertical="center" wrapText="1"/>
    </xf>
    <xf numFmtId="0" fontId="19" fillId="0" borderId="11" xfId="0" applyFont="1" applyFill="1" applyBorder="1" applyAlignment="1">
      <alignment horizontal="left" vertical="center" wrapText="1"/>
    </xf>
    <xf numFmtId="200" fontId="19" fillId="0" borderId="15" xfId="0" applyNumberFormat="1" applyFont="1" applyFill="1" applyBorder="1" applyAlignment="1">
      <alignment horizontal="center" vertical="center" wrapText="1"/>
    </xf>
    <xf numFmtId="190" fontId="23" fillId="0" borderId="11" xfId="870" applyNumberFormat="1" applyFont="1" applyFill="1" applyBorder="1" applyAlignment="1">
      <alignment horizontal="center" vertical="center" wrapText="1"/>
    </xf>
    <xf numFmtId="0" fontId="23" fillId="0" borderId="15" xfId="0" applyFont="1" applyFill="1" applyBorder="1" applyAlignment="1">
      <alignment horizontal="center" vertical="center" wrapText="1"/>
    </xf>
    <xf numFmtId="49" fontId="19" fillId="0" borderId="14" xfId="0" applyNumberFormat="1" applyFont="1" applyFill="1" applyBorder="1" applyAlignment="1">
      <alignment horizontal="center" vertical="center" wrapText="1"/>
    </xf>
    <xf numFmtId="0" fontId="19" fillId="0" borderId="11" xfId="795" applyFont="1" applyFill="1" applyBorder="1" applyAlignment="1">
      <alignment horizontal="left" vertical="center" wrapText="1"/>
      <protection/>
    </xf>
    <xf numFmtId="190" fontId="19" fillId="0" borderId="11" xfId="870" applyNumberFormat="1" applyFont="1" applyFill="1" applyBorder="1" applyAlignment="1">
      <alignment horizontal="center" vertical="center" wrapText="1"/>
    </xf>
    <xf numFmtId="0" fontId="19" fillId="0" borderId="11" xfId="0" applyFont="1" applyFill="1" applyBorder="1" applyAlignment="1">
      <alignment vertical="center" wrapText="1"/>
    </xf>
    <xf numFmtId="200" fontId="19" fillId="0" borderId="0" xfId="0" applyNumberFormat="1" applyFont="1" applyFill="1" applyBorder="1" applyAlignment="1">
      <alignment horizontal="center" vertical="center" wrapText="1"/>
    </xf>
    <xf numFmtId="0" fontId="19" fillId="0" borderId="11" xfId="0" applyFont="1" applyFill="1" applyBorder="1" applyAlignment="1">
      <alignment vertical="top" wrapText="1"/>
    </xf>
    <xf numFmtId="211" fontId="19" fillId="0" borderId="11" xfId="795" applyNumberFormat="1" applyFont="1" applyFill="1" applyBorder="1" applyAlignment="1">
      <alignment horizontal="left" vertical="center" wrapText="1"/>
      <protection/>
    </xf>
    <xf numFmtId="49" fontId="19" fillId="0" borderId="16" xfId="0" applyNumberFormat="1" applyFont="1" applyFill="1" applyBorder="1" applyAlignment="1">
      <alignment horizontal="center" vertical="center" wrapText="1"/>
    </xf>
    <xf numFmtId="0" fontId="19" fillId="0" borderId="17" xfId="0" applyFont="1" applyFill="1" applyBorder="1" applyAlignment="1">
      <alignment horizontal="center" vertical="center" wrapText="1"/>
    </xf>
    <xf numFmtId="49" fontId="19" fillId="0" borderId="11" xfId="795" applyNumberFormat="1" applyFont="1" applyFill="1" applyBorder="1" applyAlignment="1">
      <alignment horizontal="left" vertical="center" wrapText="1"/>
      <protection/>
    </xf>
    <xf numFmtId="0" fontId="19" fillId="0" borderId="18" xfId="0" applyFont="1" applyFill="1" applyBorder="1" applyAlignment="1">
      <alignment horizontal="left" vertical="center" wrapText="1"/>
    </xf>
    <xf numFmtId="49" fontId="19" fillId="0" borderId="11" xfId="0" applyNumberFormat="1" applyFont="1" applyFill="1" applyBorder="1" applyAlignment="1">
      <alignment horizontal="left" vertical="center" wrapText="1"/>
    </xf>
    <xf numFmtId="0" fontId="19" fillId="0" borderId="0" xfId="0" applyFont="1" applyFill="1" applyBorder="1" applyAlignment="1">
      <alignment horizontal="center" vertical="center"/>
    </xf>
    <xf numFmtId="49" fontId="19" fillId="0" borderId="11" xfId="0" applyNumberFormat="1" applyFont="1" applyFill="1" applyBorder="1" applyAlignment="1">
      <alignment vertical="center" wrapText="1"/>
    </xf>
    <xf numFmtId="0" fontId="19" fillId="0" borderId="0" xfId="0" applyFont="1" applyFill="1" applyBorder="1" applyAlignment="1">
      <alignment horizontal="center" wrapText="1"/>
    </xf>
    <xf numFmtId="200" fontId="19" fillId="0" borderId="11" xfId="411" applyNumberFormat="1" applyFont="1" applyFill="1" applyBorder="1" applyAlignment="1">
      <alignment horizontal="center" vertical="center" wrapText="1"/>
      <protection/>
    </xf>
    <xf numFmtId="0" fontId="19" fillId="0" borderId="11" xfId="802" applyFont="1" applyFill="1" applyBorder="1" applyAlignment="1">
      <alignment horizontal="left" vertical="center" wrapText="1"/>
      <protection/>
    </xf>
    <xf numFmtId="0" fontId="19" fillId="0" borderId="11" xfId="784" applyFont="1" applyFill="1" applyBorder="1" applyAlignment="1">
      <alignment horizontal="left" vertical="center" wrapText="1"/>
      <protection/>
    </xf>
    <xf numFmtId="0" fontId="19" fillId="0" borderId="0" xfId="0" applyFont="1" applyFill="1" applyAlignment="1">
      <alignment horizontal="center" vertical="center" wrapText="1"/>
    </xf>
    <xf numFmtId="0" fontId="19" fillId="0" borderId="11" xfId="801" applyFont="1" applyFill="1" applyBorder="1" applyAlignment="1">
      <alignment horizontal="left" vertical="center" wrapText="1"/>
      <protection/>
    </xf>
    <xf numFmtId="2" fontId="19" fillId="0" borderId="11" xfId="0" applyNumberFormat="1" applyFont="1" applyFill="1" applyBorder="1" applyAlignment="1">
      <alignment horizontal="left" vertical="center" wrapText="1"/>
    </xf>
    <xf numFmtId="0" fontId="19" fillId="0" borderId="11" xfId="785" applyFont="1" applyFill="1" applyBorder="1" applyAlignment="1">
      <alignment horizontal="left" vertical="center" wrapText="1"/>
      <protection/>
    </xf>
    <xf numFmtId="0" fontId="19" fillId="0" borderId="0" xfId="0" applyFont="1" applyFill="1" applyAlignment="1">
      <alignment wrapText="1"/>
    </xf>
    <xf numFmtId="0" fontId="19" fillId="0" borderId="11" xfId="787" applyFont="1" applyFill="1" applyBorder="1" applyAlignment="1">
      <alignment horizontal="left" vertical="center" wrapText="1"/>
      <protection/>
    </xf>
    <xf numFmtId="0" fontId="19" fillId="0" borderId="11" xfId="412" applyFont="1" applyFill="1" applyBorder="1" applyAlignment="1">
      <alignment horizontal="left" vertical="center" wrapText="1"/>
      <protection/>
    </xf>
    <xf numFmtId="0" fontId="19" fillId="0" borderId="0" xfId="0" applyFont="1" applyFill="1" applyAlignment="1">
      <alignment vertical="center" wrapText="1"/>
    </xf>
    <xf numFmtId="0" fontId="23" fillId="0" borderId="11" xfId="0" applyFont="1" applyFill="1" applyBorder="1" applyAlignment="1">
      <alignment vertical="center" wrapText="1"/>
    </xf>
    <xf numFmtId="0" fontId="19" fillId="0" borderId="15" xfId="0" applyFont="1" applyFill="1" applyBorder="1" applyAlignment="1">
      <alignment vertical="center" wrapText="1"/>
    </xf>
    <xf numFmtId="0" fontId="19" fillId="0" borderId="11" xfId="0" applyFont="1" applyFill="1" applyBorder="1" applyAlignment="1">
      <alignment horizontal="justify" vertical="top" wrapText="1"/>
    </xf>
    <xf numFmtId="0" fontId="23" fillId="0" borderId="11" xfId="0" applyFont="1" applyFill="1" applyBorder="1" applyAlignment="1">
      <alignment horizontal="justify" vertical="top" wrapText="1"/>
    </xf>
    <xf numFmtId="2" fontId="23" fillId="0" borderId="11" xfId="0" applyNumberFormat="1" applyFont="1" applyFill="1" applyBorder="1" applyAlignment="1">
      <alignment vertical="center" wrapText="1"/>
    </xf>
    <xf numFmtId="190" fontId="23" fillId="0" borderId="11" xfId="0" applyNumberFormat="1" applyFont="1" applyFill="1" applyBorder="1" applyAlignment="1">
      <alignment horizontal="center" vertical="center" wrapText="1"/>
    </xf>
    <xf numFmtId="200" fontId="19" fillId="0" borderId="11" xfId="795" applyNumberFormat="1" applyFont="1" applyFill="1" applyBorder="1" applyAlignment="1">
      <alignment horizontal="center" vertical="center" wrapText="1"/>
      <protection/>
    </xf>
    <xf numFmtId="190" fontId="19" fillId="0" borderId="11" xfId="0" applyNumberFormat="1" applyFont="1" applyFill="1" applyBorder="1" applyAlignment="1">
      <alignment horizontal="center" vertical="center" wrapText="1"/>
    </xf>
    <xf numFmtId="0" fontId="19" fillId="0" borderId="11" xfId="0" applyFont="1" applyFill="1" applyBorder="1" applyAlignment="1">
      <alignment/>
    </xf>
    <xf numFmtId="0" fontId="23" fillId="0" borderId="11" xfId="784" applyFont="1" applyFill="1" applyBorder="1" applyAlignment="1">
      <alignment horizontal="left" wrapText="1"/>
      <protection/>
    </xf>
    <xf numFmtId="0" fontId="19" fillId="0" borderId="15" xfId="0" applyFont="1" applyFill="1" applyBorder="1" applyAlignment="1">
      <alignment wrapText="1"/>
    </xf>
    <xf numFmtId="0" fontId="19" fillId="0" borderId="0" xfId="784" applyFont="1" applyFill="1" applyAlignment="1">
      <alignment wrapText="1"/>
      <protection/>
    </xf>
    <xf numFmtId="0" fontId="19" fillId="0" borderId="14" xfId="784" applyFont="1" applyFill="1" applyBorder="1" applyAlignment="1">
      <alignment horizontal="center" vertical="center" wrapText="1"/>
      <protection/>
    </xf>
    <xf numFmtId="200" fontId="23" fillId="0" borderId="11" xfId="870" applyNumberFormat="1" applyFont="1" applyFill="1" applyBorder="1" applyAlignment="1">
      <alignment horizontal="center" vertical="center" wrapText="1"/>
    </xf>
    <xf numFmtId="0" fontId="23" fillId="0" borderId="15" xfId="0" applyFont="1" applyFill="1" applyBorder="1" applyAlignment="1">
      <alignment vertical="center" wrapText="1"/>
    </xf>
    <xf numFmtId="49" fontId="23" fillId="0" borderId="14" xfId="0" applyNumberFormat="1" applyFont="1" applyFill="1" applyBorder="1" applyAlignment="1">
      <alignment horizontal="center" vertical="center"/>
    </xf>
    <xf numFmtId="49" fontId="19" fillId="0" borderId="14" xfId="0" applyNumberFormat="1" applyFont="1" applyFill="1" applyBorder="1" applyAlignment="1">
      <alignment horizontal="center" vertical="center"/>
    </xf>
    <xf numFmtId="0" fontId="19" fillId="0" borderId="11" xfId="784" applyFont="1" applyFill="1" applyBorder="1" applyAlignment="1">
      <alignment horizontal="left" wrapText="1"/>
      <protection/>
    </xf>
    <xf numFmtId="200" fontId="19" fillId="0" borderId="0" xfId="0" applyNumberFormat="1" applyFont="1" applyFill="1" applyBorder="1" applyAlignment="1">
      <alignment horizontal="center" vertical="center"/>
    </xf>
    <xf numFmtId="188" fontId="19" fillId="0" borderId="11" xfId="0" applyNumberFormat="1" applyFont="1" applyFill="1" applyBorder="1" applyAlignment="1">
      <alignment horizontal="center" vertical="center" wrapText="1"/>
    </xf>
    <xf numFmtId="0" fontId="19" fillId="0" borderId="11" xfId="0" applyFont="1" applyFill="1" applyBorder="1" applyAlignment="1">
      <alignment wrapText="1"/>
    </xf>
    <xf numFmtId="200" fontId="19" fillId="0" borderId="11" xfId="0" applyNumberFormat="1" applyFont="1" applyFill="1" applyBorder="1" applyAlignment="1">
      <alignment horizontal="center" vertical="center"/>
    </xf>
    <xf numFmtId="49" fontId="19" fillId="0" borderId="19" xfId="0" applyNumberFormat="1" applyFont="1" applyFill="1" applyBorder="1" applyAlignment="1">
      <alignment horizontal="center" vertical="center" wrapText="1"/>
    </xf>
    <xf numFmtId="0" fontId="19" fillId="0" borderId="12" xfId="0" applyFont="1" applyFill="1" applyBorder="1" applyAlignment="1">
      <alignment horizontal="left" vertical="center" wrapText="1"/>
    </xf>
    <xf numFmtId="0" fontId="19" fillId="0" borderId="12" xfId="0" applyFont="1" applyFill="1" applyBorder="1" applyAlignment="1">
      <alignment wrapText="1"/>
    </xf>
    <xf numFmtId="200" fontId="19" fillId="0" borderId="12" xfId="0" applyNumberFormat="1" applyFont="1" applyFill="1" applyBorder="1" applyAlignment="1">
      <alignment horizontal="center" vertical="center"/>
    </xf>
    <xf numFmtId="190" fontId="19" fillId="0" borderId="12" xfId="870" applyNumberFormat="1" applyFont="1" applyFill="1" applyBorder="1" applyAlignment="1">
      <alignment horizontal="center" vertical="center" wrapText="1"/>
    </xf>
    <xf numFmtId="0" fontId="19" fillId="0" borderId="20" xfId="0" applyFont="1" applyFill="1" applyBorder="1" applyAlignment="1">
      <alignment horizontal="center" vertical="center" wrapText="1"/>
    </xf>
    <xf numFmtId="2" fontId="19" fillId="0" borderId="0" xfId="0" applyNumberFormat="1" applyFont="1" applyFill="1" applyBorder="1" applyAlignment="1">
      <alignment horizontal="center" vertical="center" wrapText="1"/>
    </xf>
    <xf numFmtId="0" fontId="20" fillId="0" borderId="16"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200" fontId="23" fillId="0" borderId="24"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4" fillId="0" borderId="18" xfId="0" applyFont="1" applyFill="1" applyBorder="1" applyAlignment="1">
      <alignment horizontal="left" vertical="center" wrapText="1"/>
    </xf>
    <xf numFmtId="0" fontId="24" fillId="0" borderId="11" xfId="0" applyFont="1" applyFill="1" applyBorder="1" applyAlignment="1">
      <alignment vertical="center" wrapText="1"/>
    </xf>
    <xf numFmtId="0" fontId="19" fillId="0" borderId="11" xfId="0" applyFont="1" applyFill="1" applyBorder="1" applyAlignment="1">
      <alignment horizontal="left" vertical="top" wrapText="1"/>
    </xf>
    <xf numFmtId="0" fontId="23" fillId="0" borderId="11" xfId="0" applyFont="1" applyFill="1" applyBorder="1" applyAlignment="1">
      <alignment horizontal="left" vertical="top" wrapText="1"/>
    </xf>
    <xf numFmtId="2" fontId="23" fillId="0" borderId="11" xfId="0" applyNumberFormat="1" applyFont="1" applyFill="1" applyBorder="1" applyAlignment="1">
      <alignment horizontal="left" vertical="center" wrapText="1"/>
    </xf>
    <xf numFmtId="0" fontId="23" fillId="0" borderId="0" xfId="0" applyFont="1" applyFill="1" applyAlignment="1">
      <alignment vertical="center" wrapText="1"/>
    </xf>
    <xf numFmtId="0" fontId="23" fillId="0" borderId="18" xfId="0" applyFont="1" applyFill="1" applyBorder="1" applyAlignment="1">
      <alignment horizontal="left" vertical="center" wrapText="1"/>
    </xf>
    <xf numFmtId="3" fontId="23" fillId="0" borderId="18" xfId="0" applyNumberFormat="1" applyFont="1" applyFill="1" applyBorder="1" applyAlignment="1">
      <alignment horizontal="right" vertical="center" wrapText="1"/>
    </xf>
    <xf numFmtId="0" fontId="23" fillId="0" borderId="11" xfId="795" applyFont="1" applyFill="1" applyBorder="1" applyAlignment="1">
      <alignment horizontal="left" vertical="center" wrapText="1"/>
      <protection/>
    </xf>
    <xf numFmtId="49" fontId="23" fillId="0" borderId="11" xfId="0" applyNumberFormat="1" applyFont="1" applyFill="1" applyBorder="1" applyAlignment="1">
      <alignment horizontal="left" vertical="center" wrapText="1"/>
    </xf>
    <xf numFmtId="49" fontId="19" fillId="0" borderId="17" xfId="0" applyNumberFormat="1" applyFont="1" applyFill="1" applyBorder="1" applyAlignment="1">
      <alignment horizontal="left" vertical="center" wrapText="1"/>
    </xf>
    <xf numFmtId="189" fontId="19" fillId="0" borderId="25" xfId="0" applyNumberFormat="1" applyFont="1" applyFill="1" applyBorder="1" applyAlignment="1">
      <alignment horizontal="center" vertical="center" wrapText="1"/>
    </xf>
    <xf numFmtId="0" fontId="19" fillId="0" borderId="25" xfId="0" applyNumberFormat="1" applyFont="1" applyFill="1" applyBorder="1" applyAlignment="1">
      <alignment horizontal="center" vertical="center" wrapText="1"/>
    </xf>
    <xf numFmtId="0" fontId="0" fillId="0" borderId="0" xfId="0" applyFont="1" applyAlignment="1">
      <alignment/>
    </xf>
    <xf numFmtId="2" fontId="0" fillId="0" borderId="0" xfId="0" applyNumberFormat="1" applyFont="1" applyAlignment="1">
      <alignment/>
    </xf>
    <xf numFmtId="0" fontId="27" fillId="0" borderId="0" xfId="0" applyFont="1" applyFill="1" applyAlignment="1">
      <alignment horizontal="left" vertical="center" wrapText="1"/>
    </xf>
    <xf numFmtId="0" fontId="26" fillId="0" borderId="26" xfId="0" applyFont="1" applyFill="1" applyBorder="1" applyAlignment="1">
      <alignment horizontal="center" vertical="center" wrapText="1"/>
    </xf>
    <xf numFmtId="0" fontId="23" fillId="0" borderId="15" xfId="0" applyNumberFormat="1" applyFont="1" applyFill="1" applyBorder="1" applyAlignment="1">
      <alignment horizontal="center" vertical="center" wrapText="1"/>
    </xf>
    <xf numFmtId="0" fontId="19" fillId="0" borderId="15" xfId="0" applyNumberFormat="1" applyFont="1" applyFill="1" applyBorder="1" applyAlignment="1">
      <alignment horizontal="center" vertical="center" wrapText="1"/>
    </xf>
    <xf numFmtId="49" fontId="19" fillId="0" borderId="12" xfId="0" applyNumberFormat="1" applyFont="1" applyFill="1" applyBorder="1" applyAlignment="1">
      <alignment horizontal="left" vertical="center" wrapText="1"/>
    </xf>
    <xf numFmtId="0" fontId="19" fillId="0" borderId="12" xfId="0" applyFont="1" applyFill="1" applyBorder="1" applyAlignment="1">
      <alignment horizontal="center" vertical="center" wrapText="1"/>
    </xf>
    <xf numFmtId="189" fontId="19" fillId="0" borderId="20" xfId="0" applyNumberFormat="1" applyFont="1" applyFill="1" applyBorder="1" applyAlignment="1">
      <alignment horizontal="center" vertical="center" wrapText="1"/>
    </xf>
    <xf numFmtId="200" fontId="28" fillId="0" borderId="11" xfId="0" applyNumberFormat="1"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8" fillId="0" borderId="0" xfId="0" applyFont="1" applyFill="1" applyAlignment="1">
      <alignment horizontal="center" wrapText="1"/>
    </xf>
    <xf numFmtId="49" fontId="19" fillId="0" borderId="29" xfId="0" applyNumberFormat="1" applyFont="1" applyFill="1" applyBorder="1" applyAlignment="1">
      <alignment horizontal="center" vertical="center" wrapText="1"/>
    </xf>
    <xf numFmtId="0" fontId="19" fillId="0" borderId="16" xfId="784" applyFont="1" applyFill="1" applyBorder="1" applyAlignment="1">
      <alignment horizontal="center" vertical="center" wrapText="1"/>
      <protection/>
    </xf>
    <xf numFmtId="0" fontId="19" fillId="0" borderId="30" xfId="784" applyFont="1" applyFill="1" applyBorder="1" applyAlignment="1">
      <alignment horizontal="center" vertical="center" wrapText="1"/>
      <protection/>
    </xf>
    <xf numFmtId="0" fontId="19" fillId="0" borderId="31" xfId="784" applyFont="1" applyFill="1" applyBorder="1" applyAlignment="1">
      <alignment horizontal="left" vertical="center" wrapText="1"/>
      <protection/>
    </xf>
    <xf numFmtId="0" fontId="19" fillId="0" borderId="32" xfId="784" applyFont="1" applyFill="1" applyBorder="1" applyAlignment="1">
      <alignment horizontal="left" vertical="center" wrapText="1"/>
      <protection/>
    </xf>
    <xf numFmtId="0" fontId="19" fillId="0" borderId="30" xfId="784" applyFont="1" applyFill="1" applyBorder="1" applyAlignment="1">
      <alignment horizontal="left" vertical="center" wrapText="1"/>
      <protection/>
    </xf>
    <xf numFmtId="0" fontId="19" fillId="0" borderId="33" xfId="784" applyFont="1" applyFill="1" applyBorder="1" applyAlignment="1">
      <alignment horizontal="left" vertical="center" wrapText="1"/>
      <protection/>
    </xf>
    <xf numFmtId="0" fontId="18" fillId="0" borderId="0" xfId="0" applyFont="1" applyFill="1" applyBorder="1" applyAlignment="1">
      <alignment horizontal="left" wrapText="1"/>
    </xf>
    <xf numFmtId="0" fontId="18" fillId="0" borderId="0" xfId="0" applyFont="1" applyFill="1" applyBorder="1" applyAlignment="1">
      <alignment horizontal="left" vertical="center" wrapText="1"/>
    </xf>
    <xf numFmtId="0" fontId="18" fillId="0" borderId="0" xfId="0" applyFont="1" applyFill="1" applyAlignment="1">
      <alignment horizontal="left" vertical="center" wrapText="1"/>
    </xf>
    <xf numFmtId="0" fontId="18" fillId="0" borderId="0" xfId="0" applyFont="1" applyFill="1" applyAlignment="1">
      <alignment horizontal="left" wrapText="1"/>
    </xf>
    <xf numFmtId="49" fontId="25" fillId="0" borderId="0" xfId="0" applyNumberFormat="1" applyFont="1" applyFill="1" applyBorder="1" applyAlignment="1">
      <alignment horizontal="center" wrapText="1"/>
    </xf>
    <xf numFmtId="49" fontId="19" fillId="0" borderId="14" xfId="0" applyNumberFormat="1" applyFont="1" applyFill="1" applyBorder="1" applyAlignment="1">
      <alignment horizontal="center" vertical="center"/>
    </xf>
    <xf numFmtId="188" fontId="19" fillId="0" borderId="10" xfId="0" applyNumberFormat="1" applyFont="1" applyFill="1" applyBorder="1" applyAlignment="1">
      <alignment horizontal="center" vertical="center" textRotation="90" wrapText="1"/>
    </xf>
    <xf numFmtId="188" fontId="19" fillId="0" borderId="11" xfId="0" applyNumberFormat="1" applyFont="1" applyFill="1" applyBorder="1" applyAlignment="1">
      <alignment horizontal="center" vertical="center" textRotation="90" wrapText="1"/>
    </xf>
    <xf numFmtId="49" fontId="19" fillId="0" borderId="0" xfId="0" applyNumberFormat="1" applyFont="1" applyFill="1" applyBorder="1" applyAlignment="1">
      <alignment horizont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49" fontId="19" fillId="0" borderId="16" xfId="0" applyNumberFormat="1" applyFont="1" applyFill="1" applyBorder="1" applyAlignment="1">
      <alignment horizontal="center" vertical="center" wrapText="1"/>
    </xf>
    <xf numFmtId="49" fontId="19" fillId="0" borderId="33" xfId="0" applyNumberFormat="1" applyFont="1" applyFill="1" applyBorder="1" applyAlignment="1">
      <alignment horizontal="center" vertical="center" wrapText="1"/>
    </xf>
    <xf numFmtId="0" fontId="19" fillId="0" borderId="34" xfId="784" applyFont="1" applyFill="1" applyBorder="1" applyAlignment="1">
      <alignment horizontal="left" vertical="center" wrapText="1"/>
      <protection/>
    </xf>
    <xf numFmtId="0" fontId="19" fillId="0" borderId="35" xfId="784" applyFont="1" applyFill="1" applyBorder="1" applyAlignment="1">
      <alignment horizontal="left" vertical="center" wrapText="1"/>
      <protection/>
    </xf>
    <xf numFmtId="49" fontId="19" fillId="0" borderId="0" xfId="0" applyNumberFormat="1" applyFont="1" applyFill="1" applyBorder="1" applyAlignment="1">
      <alignment horizontal="right"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24" xfId="0" applyFont="1" applyFill="1" applyBorder="1" applyAlignment="1">
      <alignment horizontal="center" vertical="center" wrapText="1"/>
    </xf>
    <xf numFmtId="49" fontId="19" fillId="0" borderId="36" xfId="0" applyNumberFormat="1" applyFont="1" applyFill="1" applyBorder="1" applyAlignment="1">
      <alignment horizontal="center" vertical="center" wrapText="1"/>
    </xf>
    <xf numFmtId="0" fontId="32" fillId="0" borderId="0" xfId="0" applyFont="1" applyFill="1" applyAlignment="1">
      <alignment horizontal="left" vertical="center" wrapText="1"/>
    </xf>
  </cellXfs>
  <cellStyles count="952">
    <cellStyle name="Normal" xfId="0"/>
    <cellStyle name="20% - Акцент1" xfId="15"/>
    <cellStyle name="20% - Акцент1 2" xfId="16"/>
    <cellStyle name="20% - Акцент1 2 2" xfId="17"/>
    <cellStyle name="20% - Акцент1 2 3" xfId="18"/>
    <cellStyle name="20% - Акцент1 2 4" xfId="19"/>
    <cellStyle name="20% - Акцент1 2 5" xfId="20"/>
    <cellStyle name="20% - Акцент1 3" xfId="21"/>
    <cellStyle name="20% - Акцент1 3 2" xfId="22"/>
    <cellStyle name="20% - Акцент1 3 3" xfId="23"/>
    <cellStyle name="20% - Акцент1 3 4" xfId="24"/>
    <cellStyle name="20% - Акцент1 3 5" xfId="25"/>
    <cellStyle name="20% - Акцент1 4" xfId="26"/>
    <cellStyle name="20% - Акцент1 4 2" xfId="27"/>
    <cellStyle name="20% - Акцент1 4 3" xfId="28"/>
    <cellStyle name="20% - Акцент1 4 4" xfId="29"/>
    <cellStyle name="20% - Акцент1 4 5" xfId="30"/>
    <cellStyle name="20% - Акцент1 5" xfId="31"/>
    <cellStyle name="20% - Акцент1 5 2" xfId="32"/>
    <cellStyle name="20% - Акцент1 5 3" xfId="33"/>
    <cellStyle name="20% - Акцент1 5 4" xfId="34"/>
    <cellStyle name="20% - Акцент1 5 5" xfId="35"/>
    <cellStyle name="20% - Акцент1 6" xfId="36"/>
    <cellStyle name="20% - Акцент2" xfId="37"/>
    <cellStyle name="20% - Акцент2 2" xfId="38"/>
    <cellStyle name="20% - Акцент2 2 2" xfId="39"/>
    <cellStyle name="20% - Акцент2 2 3" xfId="40"/>
    <cellStyle name="20% - Акцент2 2 4" xfId="41"/>
    <cellStyle name="20% - Акцент2 2 5" xfId="42"/>
    <cellStyle name="20% - Акцент2 3" xfId="43"/>
    <cellStyle name="20% - Акцент2 3 2" xfId="44"/>
    <cellStyle name="20% - Акцент2 3 3" xfId="45"/>
    <cellStyle name="20% - Акцент2 3 4" xfId="46"/>
    <cellStyle name="20% - Акцент2 3 5" xfId="47"/>
    <cellStyle name="20% - Акцент2 4" xfId="48"/>
    <cellStyle name="20% - Акцент2 4 2" xfId="49"/>
    <cellStyle name="20% - Акцент2 4 3" xfId="50"/>
    <cellStyle name="20% - Акцент2 4 4" xfId="51"/>
    <cellStyle name="20% - Акцент2 4 5" xfId="52"/>
    <cellStyle name="20% - Акцент2 5" xfId="53"/>
    <cellStyle name="20% - Акцент2 5 2" xfId="54"/>
    <cellStyle name="20% - Акцент2 5 3" xfId="55"/>
    <cellStyle name="20% - Акцент2 5 4" xfId="56"/>
    <cellStyle name="20% - Акцент2 5 5" xfId="57"/>
    <cellStyle name="20% - Акцент2 6" xfId="58"/>
    <cellStyle name="20% - Акцент3" xfId="59"/>
    <cellStyle name="20% - Акцент3 2" xfId="60"/>
    <cellStyle name="20% - Акцент3 2 2" xfId="61"/>
    <cellStyle name="20% - Акцент3 2 3" xfId="62"/>
    <cellStyle name="20% - Акцент3 2 4" xfId="63"/>
    <cellStyle name="20% - Акцент3 2 5" xfId="64"/>
    <cellStyle name="20% - Акцент3 3" xfId="65"/>
    <cellStyle name="20% - Акцент3 3 2" xfId="66"/>
    <cellStyle name="20% - Акцент3 3 3" xfId="67"/>
    <cellStyle name="20% - Акцент3 3 4" xfId="68"/>
    <cellStyle name="20% - Акцент3 3 5" xfId="69"/>
    <cellStyle name="20% - Акцент3 4" xfId="70"/>
    <cellStyle name="20% - Акцент3 4 2" xfId="71"/>
    <cellStyle name="20% - Акцент3 4 3" xfId="72"/>
    <cellStyle name="20% - Акцент3 4 4" xfId="73"/>
    <cellStyle name="20% - Акцент3 4 5" xfId="74"/>
    <cellStyle name="20% - Акцент3 5" xfId="75"/>
    <cellStyle name="20% - Акцент3 5 2" xfId="76"/>
    <cellStyle name="20% - Акцент3 5 3" xfId="77"/>
    <cellStyle name="20% - Акцент3 5 4" xfId="78"/>
    <cellStyle name="20% - Акцент3 5 5" xfId="79"/>
    <cellStyle name="20% - Акцент3 6" xfId="80"/>
    <cellStyle name="20% - Акцент4" xfId="81"/>
    <cellStyle name="20% - Акцент4 2" xfId="82"/>
    <cellStyle name="20% - Акцент4 2 2" xfId="83"/>
    <cellStyle name="20% - Акцент4 2 3" xfId="84"/>
    <cellStyle name="20% - Акцент4 2 4" xfId="85"/>
    <cellStyle name="20% - Акцент4 2 5" xfId="86"/>
    <cellStyle name="20% - Акцент4 3" xfId="87"/>
    <cellStyle name="20% - Акцент4 3 2" xfId="88"/>
    <cellStyle name="20% - Акцент4 3 3" xfId="89"/>
    <cellStyle name="20% - Акцент4 3 4" xfId="90"/>
    <cellStyle name="20% - Акцент4 3 5" xfId="91"/>
    <cellStyle name="20% - Акцент4 4" xfId="92"/>
    <cellStyle name="20% - Акцент4 4 2" xfId="93"/>
    <cellStyle name="20% - Акцент4 4 3" xfId="94"/>
    <cellStyle name="20% - Акцент4 4 4" xfId="95"/>
    <cellStyle name="20% - Акцент4 4 5" xfId="96"/>
    <cellStyle name="20% - Акцент4 5" xfId="97"/>
    <cellStyle name="20% - Акцент4 5 2" xfId="98"/>
    <cellStyle name="20% - Акцент4 5 3" xfId="99"/>
    <cellStyle name="20% - Акцент4 5 4" xfId="100"/>
    <cellStyle name="20% - Акцент4 5 5" xfId="101"/>
    <cellStyle name="20% - Акцент4 6" xfId="102"/>
    <cellStyle name="20% - Акцент5" xfId="103"/>
    <cellStyle name="20% - Акцент5 2" xfId="104"/>
    <cellStyle name="20% - Акцент5 2 2" xfId="105"/>
    <cellStyle name="20% - Акцент5 2 3" xfId="106"/>
    <cellStyle name="20% - Акцент5 2 4" xfId="107"/>
    <cellStyle name="20% - Акцент5 2 5" xfId="108"/>
    <cellStyle name="20% - Акцент5 3" xfId="109"/>
    <cellStyle name="20% - Акцент5 3 2" xfId="110"/>
    <cellStyle name="20% - Акцент5 3 3" xfId="111"/>
    <cellStyle name="20% - Акцент5 3 4" xfId="112"/>
    <cellStyle name="20% - Акцент5 3 5" xfId="113"/>
    <cellStyle name="20% - Акцент5 4" xfId="114"/>
    <cellStyle name="20% - Акцент5 4 2" xfId="115"/>
    <cellStyle name="20% - Акцент5 4 3" xfId="116"/>
    <cellStyle name="20% - Акцент5 4 4" xfId="117"/>
    <cellStyle name="20% - Акцент5 4 5" xfId="118"/>
    <cellStyle name="20% - Акцент5 5" xfId="119"/>
    <cellStyle name="20% - Акцент5 5 2" xfId="120"/>
    <cellStyle name="20% - Акцент5 5 3" xfId="121"/>
    <cellStyle name="20% - Акцент5 5 4" xfId="122"/>
    <cellStyle name="20% - Акцент5 5 5" xfId="123"/>
    <cellStyle name="20% - Акцент5 6" xfId="124"/>
    <cellStyle name="20% - Акцент6" xfId="125"/>
    <cellStyle name="20% - Акцент6 2" xfId="126"/>
    <cellStyle name="20% - Акцент6 2 2" xfId="127"/>
    <cellStyle name="20% - Акцент6 2 3" xfId="128"/>
    <cellStyle name="20% - Акцент6 2 4" xfId="129"/>
    <cellStyle name="20% - Акцент6 2 5" xfId="130"/>
    <cellStyle name="20% - Акцент6 3" xfId="131"/>
    <cellStyle name="20% - Акцент6 3 2" xfId="132"/>
    <cellStyle name="20% - Акцент6 3 3" xfId="133"/>
    <cellStyle name="20% - Акцент6 3 4" xfId="134"/>
    <cellStyle name="20% - Акцент6 3 5" xfId="135"/>
    <cellStyle name="20% - Акцент6 4" xfId="136"/>
    <cellStyle name="20% - Акцент6 4 2" xfId="137"/>
    <cellStyle name="20% - Акцент6 4 3" xfId="138"/>
    <cellStyle name="20% - Акцент6 4 4" xfId="139"/>
    <cellStyle name="20% - Акцент6 4 5" xfId="140"/>
    <cellStyle name="20% - Акцент6 5" xfId="141"/>
    <cellStyle name="20% - Акцент6 5 2" xfId="142"/>
    <cellStyle name="20% - Акцент6 5 3" xfId="143"/>
    <cellStyle name="20% - Акцент6 5 4" xfId="144"/>
    <cellStyle name="20% - Акцент6 5 5" xfId="145"/>
    <cellStyle name="20% - Акцент6 6" xfId="146"/>
    <cellStyle name="40% - Акцент1" xfId="147"/>
    <cellStyle name="40% - Акцент1 2" xfId="148"/>
    <cellStyle name="40% - Акцент1 2 2" xfId="149"/>
    <cellStyle name="40% - Акцент1 2 3" xfId="150"/>
    <cellStyle name="40% - Акцент1 2 4" xfId="151"/>
    <cellStyle name="40% - Акцент1 2 5" xfId="152"/>
    <cellStyle name="40% - Акцент1 3" xfId="153"/>
    <cellStyle name="40% - Акцент1 3 2" xfId="154"/>
    <cellStyle name="40% - Акцент1 3 3" xfId="155"/>
    <cellStyle name="40% - Акцент1 3 4" xfId="156"/>
    <cellStyle name="40% - Акцент1 3 5" xfId="157"/>
    <cellStyle name="40% - Акцент1 4" xfId="158"/>
    <cellStyle name="40% - Акцент1 4 2" xfId="159"/>
    <cellStyle name="40% - Акцент1 4 3" xfId="160"/>
    <cellStyle name="40% - Акцент1 4 4" xfId="161"/>
    <cellStyle name="40% - Акцент1 4 5" xfId="162"/>
    <cellStyle name="40% - Акцент1 5" xfId="163"/>
    <cellStyle name="40% - Акцент1 5 2" xfId="164"/>
    <cellStyle name="40% - Акцент1 5 3" xfId="165"/>
    <cellStyle name="40% - Акцент1 5 4" xfId="166"/>
    <cellStyle name="40% - Акцент1 5 5" xfId="167"/>
    <cellStyle name="40% - Акцент1 6" xfId="168"/>
    <cellStyle name="40% - Акцент2" xfId="169"/>
    <cellStyle name="40% - Акцент2 2" xfId="170"/>
    <cellStyle name="40% - Акцент2 2 2" xfId="171"/>
    <cellStyle name="40% - Акцент2 2 3" xfId="172"/>
    <cellStyle name="40% - Акцент2 2 4" xfId="173"/>
    <cellStyle name="40% - Акцент2 2 5" xfId="174"/>
    <cellStyle name="40% - Акцент2 3" xfId="175"/>
    <cellStyle name="40% - Акцент2 3 2" xfId="176"/>
    <cellStyle name="40% - Акцент2 3 3" xfId="177"/>
    <cellStyle name="40% - Акцент2 3 4" xfId="178"/>
    <cellStyle name="40% - Акцент2 3 5" xfId="179"/>
    <cellStyle name="40% - Акцент2 4" xfId="180"/>
    <cellStyle name="40% - Акцент2 4 2" xfId="181"/>
    <cellStyle name="40% - Акцент2 4 3" xfId="182"/>
    <cellStyle name="40% - Акцент2 4 4" xfId="183"/>
    <cellStyle name="40% - Акцент2 4 5" xfId="184"/>
    <cellStyle name="40% - Акцент2 5" xfId="185"/>
    <cellStyle name="40% - Акцент2 5 2" xfId="186"/>
    <cellStyle name="40% - Акцент2 5 3" xfId="187"/>
    <cellStyle name="40% - Акцент2 5 4" xfId="188"/>
    <cellStyle name="40% - Акцент2 5 5" xfId="189"/>
    <cellStyle name="40% - Акцент2 6" xfId="190"/>
    <cellStyle name="40% - Акцент3" xfId="191"/>
    <cellStyle name="40% - Акцент3 2" xfId="192"/>
    <cellStyle name="40% - Акцент3 2 2" xfId="193"/>
    <cellStyle name="40% - Акцент3 2 3" xfId="194"/>
    <cellStyle name="40% - Акцент3 2 4" xfId="195"/>
    <cellStyle name="40% - Акцент3 2 5" xfId="196"/>
    <cellStyle name="40% - Акцент3 3" xfId="197"/>
    <cellStyle name="40% - Акцент3 3 2" xfId="198"/>
    <cellStyle name="40% - Акцент3 3 3" xfId="199"/>
    <cellStyle name="40% - Акцент3 3 4" xfId="200"/>
    <cellStyle name="40% - Акцент3 3 5" xfId="201"/>
    <cellStyle name="40% - Акцент3 4" xfId="202"/>
    <cellStyle name="40% - Акцент3 4 2" xfId="203"/>
    <cellStyle name="40% - Акцент3 4 3" xfId="204"/>
    <cellStyle name="40% - Акцент3 4 4" xfId="205"/>
    <cellStyle name="40% - Акцент3 4 5" xfId="206"/>
    <cellStyle name="40% - Акцент3 5" xfId="207"/>
    <cellStyle name="40% - Акцент3 5 2" xfId="208"/>
    <cellStyle name="40% - Акцент3 5 3" xfId="209"/>
    <cellStyle name="40% - Акцент3 5 4" xfId="210"/>
    <cellStyle name="40% - Акцент3 5 5" xfId="211"/>
    <cellStyle name="40% - Акцент3 6" xfId="212"/>
    <cellStyle name="40% - Акцент4" xfId="213"/>
    <cellStyle name="40% - Акцент4 2" xfId="214"/>
    <cellStyle name="40% - Акцент4 2 2" xfId="215"/>
    <cellStyle name="40% - Акцент4 2 3" xfId="216"/>
    <cellStyle name="40% - Акцент4 2 4" xfId="217"/>
    <cellStyle name="40% - Акцент4 2 5" xfId="218"/>
    <cellStyle name="40% - Акцент4 3" xfId="219"/>
    <cellStyle name="40% - Акцент4 3 2" xfId="220"/>
    <cellStyle name="40% - Акцент4 3 3" xfId="221"/>
    <cellStyle name="40% - Акцент4 3 4" xfId="222"/>
    <cellStyle name="40% - Акцент4 3 5" xfId="223"/>
    <cellStyle name="40% - Акцент4 4" xfId="224"/>
    <cellStyle name="40% - Акцент4 4 2" xfId="225"/>
    <cellStyle name="40% - Акцент4 4 3" xfId="226"/>
    <cellStyle name="40% - Акцент4 4 4" xfId="227"/>
    <cellStyle name="40% - Акцент4 4 5" xfId="228"/>
    <cellStyle name="40% - Акцент4 5" xfId="229"/>
    <cellStyle name="40% - Акцент4 5 2" xfId="230"/>
    <cellStyle name="40% - Акцент4 5 3" xfId="231"/>
    <cellStyle name="40% - Акцент4 5 4" xfId="232"/>
    <cellStyle name="40% - Акцент4 5 5" xfId="233"/>
    <cellStyle name="40% - Акцент4 6" xfId="234"/>
    <cellStyle name="40% - Акцент5" xfId="235"/>
    <cellStyle name="40% - Акцент5 2" xfId="236"/>
    <cellStyle name="40% - Акцент5 2 2" xfId="237"/>
    <cellStyle name="40% - Акцент5 2 3" xfId="238"/>
    <cellStyle name="40% - Акцент5 2 4" xfId="239"/>
    <cellStyle name="40% - Акцент5 2 5" xfId="240"/>
    <cellStyle name="40% - Акцент5 3" xfId="241"/>
    <cellStyle name="40% - Акцент5 3 2" xfId="242"/>
    <cellStyle name="40% - Акцент5 3 3" xfId="243"/>
    <cellStyle name="40% - Акцент5 3 4" xfId="244"/>
    <cellStyle name="40% - Акцент5 3 5" xfId="245"/>
    <cellStyle name="40% - Акцент5 4" xfId="246"/>
    <cellStyle name="40% - Акцент5 4 2" xfId="247"/>
    <cellStyle name="40% - Акцент5 4 3" xfId="248"/>
    <cellStyle name="40% - Акцент5 4 4" xfId="249"/>
    <cellStyle name="40% - Акцент5 4 5" xfId="250"/>
    <cellStyle name="40% - Акцент5 5" xfId="251"/>
    <cellStyle name="40% - Акцент5 5 2" xfId="252"/>
    <cellStyle name="40% - Акцент5 5 3" xfId="253"/>
    <cellStyle name="40% - Акцент5 5 4" xfId="254"/>
    <cellStyle name="40% - Акцент5 5 5" xfId="255"/>
    <cellStyle name="40% - Акцент5 6" xfId="256"/>
    <cellStyle name="40% - Акцент6" xfId="257"/>
    <cellStyle name="40% - Акцент6 2" xfId="258"/>
    <cellStyle name="40% - Акцент6 2 2" xfId="259"/>
    <cellStyle name="40% - Акцент6 2 3" xfId="260"/>
    <cellStyle name="40% - Акцент6 2 4" xfId="261"/>
    <cellStyle name="40% - Акцент6 2 5" xfId="262"/>
    <cellStyle name="40% - Акцент6 3" xfId="263"/>
    <cellStyle name="40% - Акцент6 3 2" xfId="264"/>
    <cellStyle name="40% - Акцент6 3 3" xfId="265"/>
    <cellStyle name="40% - Акцент6 3 4" xfId="266"/>
    <cellStyle name="40% - Акцент6 3 5" xfId="267"/>
    <cellStyle name="40% - Акцент6 4" xfId="268"/>
    <cellStyle name="40% - Акцент6 4 2" xfId="269"/>
    <cellStyle name="40% - Акцент6 4 3" xfId="270"/>
    <cellStyle name="40% - Акцент6 4 4" xfId="271"/>
    <cellStyle name="40% - Акцент6 4 5" xfId="272"/>
    <cellStyle name="40% - Акцент6 5" xfId="273"/>
    <cellStyle name="40% - Акцент6 5 2" xfId="274"/>
    <cellStyle name="40% - Акцент6 5 3" xfId="275"/>
    <cellStyle name="40% - Акцент6 5 4" xfId="276"/>
    <cellStyle name="40% - Акцент6 5 5" xfId="277"/>
    <cellStyle name="40% - Акцент6 6" xfId="278"/>
    <cellStyle name="60% - Акцент1" xfId="279"/>
    <cellStyle name="60% - Акцент1 2" xfId="280"/>
    <cellStyle name="60% - Акцент1 2 2" xfId="281"/>
    <cellStyle name="60% - Акцент1 2 3" xfId="282"/>
    <cellStyle name="60% - Акцент1 2 4" xfId="283"/>
    <cellStyle name="60% - Акцент1 2 5" xfId="284"/>
    <cellStyle name="60% - Акцент1 3" xfId="285"/>
    <cellStyle name="60% - Акцент1 3 2" xfId="286"/>
    <cellStyle name="60% - Акцент1 3 3" xfId="287"/>
    <cellStyle name="60% - Акцент1 3 4" xfId="288"/>
    <cellStyle name="60% - Акцент1 3 5" xfId="289"/>
    <cellStyle name="60% - Акцент1 4" xfId="290"/>
    <cellStyle name="60% - Акцент1 4 2" xfId="291"/>
    <cellStyle name="60% - Акцент1 4 3" xfId="292"/>
    <cellStyle name="60% - Акцент1 4 4" xfId="293"/>
    <cellStyle name="60% - Акцент1 4 5" xfId="294"/>
    <cellStyle name="60% - Акцент1 5" xfId="295"/>
    <cellStyle name="60% - Акцент1 5 2" xfId="296"/>
    <cellStyle name="60% - Акцент1 5 3" xfId="297"/>
    <cellStyle name="60% - Акцент1 5 4" xfId="298"/>
    <cellStyle name="60% - Акцент1 5 5" xfId="299"/>
    <cellStyle name="60% - Акцент1 6" xfId="300"/>
    <cellStyle name="60% - Акцент2" xfId="301"/>
    <cellStyle name="60% - Акцент2 2" xfId="302"/>
    <cellStyle name="60% - Акцент2 2 2" xfId="303"/>
    <cellStyle name="60% - Акцент2 2 3" xfId="304"/>
    <cellStyle name="60% - Акцент2 2 4" xfId="305"/>
    <cellStyle name="60% - Акцент2 2 5" xfId="306"/>
    <cellStyle name="60% - Акцент2 3" xfId="307"/>
    <cellStyle name="60% - Акцент2 3 2" xfId="308"/>
    <cellStyle name="60% - Акцент2 3 3" xfId="309"/>
    <cellStyle name="60% - Акцент2 3 4" xfId="310"/>
    <cellStyle name="60% - Акцент2 3 5" xfId="311"/>
    <cellStyle name="60% - Акцент2 4" xfId="312"/>
    <cellStyle name="60% - Акцент2 4 2" xfId="313"/>
    <cellStyle name="60% - Акцент2 4 3" xfId="314"/>
    <cellStyle name="60% - Акцент2 4 4" xfId="315"/>
    <cellStyle name="60% - Акцент2 4 5" xfId="316"/>
    <cellStyle name="60% - Акцент2 5" xfId="317"/>
    <cellStyle name="60% - Акцент2 5 2" xfId="318"/>
    <cellStyle name="60% - Акцент2 5 3" xfId="319"/>
    <cellStyle name="60% - Акцент2 5 4" xfId="320"/>
    <cellStyle name="60% - Акцент2 5 5" xfId="321"/>
    <cellStyle name="60% - Акцент2 6" xfId="322"/>
    <cellStyle name="60% - Акцент3" xfId="323"/>
    <cellStyle name="60% - Акцент3 2" xfId="324"/>
    <cellStyle name="60% - Акцент3 2 2" xfId="325"/>
    <cellStyle name="60% - Акцент3 2 3" xfId="326"/>
    <cellStyle name="60% - Акцент3 2 4" xfId="327"/>
    <cellStyle name="60% - Акцент3 2 5" xfId="328"/>
    <cellStyle name="60% - Акцент3 3" xfId="329"/>
    <cellStyle name="60% - Акцент3 3 2" xfId="330"/>
    <cellStyle name="60% - Акцент3 3 3" xfId="331"/>
    <cellStyle name="60% - Акцент3 3 4" xfId="332"/>
    <cellStyle name="60% - Акцент3 3 5" xfId="333"/>
    <cellStyle name="60% - Акцент3 4" xfId="334"/>
    <cellStyle name="60% - Акцент3 4 2" xfId="335"/>
    <cellStyle name="60% - Акцент3 4 3" xfId="336"/>
    <cellStyle name="60% - Акцент3 4 4" xfId="337"/>
    <cellStyle name="60% - Акцент3 4 5" xfId="338"/>
    <cellStyle name="60% - Акцент3 5" xfId="339"/>
    <cellStyle name="60% - Акцент3 5 2" xfId="340"/>
    <cellStyle name="60% - Акцент3 5 3" xfId="341"/>
    <cellStyle name="60% - Акцент3 5 4" xfId="342"/>
    <cellStyle name="60% - Акцент3 5 5" xfId="343"/>
    <cellStyle name="60% - Акцент3 6" xfId="344"/>
    <cellStyle name="60% - Акцент4" xfId="345"/>
    <cellStyle name="60% - Акцент4 2" xfId="346"/>
    <cellStyle name="60% - Акцент4 2 2" xfId="347"/>
    <cellStyle name="60% - Акцент4 2 3" xfId="348"/>
    <cellStyle name="60% - Акцент4 2 4" xfId="349"/>
    <cellStyle name="60% - Акцент4 2 5" xfId="350"/>
    <cellStyle name="60% - Акцент4 3" xfId="351"/>
    <cellStyle name="60% - Акцент4 3 2" xfId="352"/>
    <cellStyle name="60% - Акцент4 3 3" xfId="353"/>
    <cellStyle name="60% - Акцент4 3 4" xfId="354"/>
    <cellStyle name="60% - Акцент4 3 5" xfId="355"/>
    <cellStyle name="60% - Акцент4 4" xfId="356"/>
    <cellStyle name="60% - Акцент4 4 2" xfId="357"/>
    <cellStyle name="60% - Акцент4 4 3" xfId="358"/>
    <cellStyle name="60% - Акцент4 4 4" xfId="359"/>
    <cellStyle name="60% - Акцент4 4 5" xfId="360"/>
    <cellStyle name="60% - Акцент4 5" xfId="361"/>
    <cellStyle name="60% - Акцент4 5 2" xfId="362"/>
    <cellStyle name="60% - Акцент4 5 3" xfId="363"/>
    <cellStyle name="60% - Акцент4 5 4" xfId="364"/>
    <cellStyle name="60% - Акцент4 5 5" xfId="365"/>
    <cellStyle name="60% - Акцент4 6" xfId="366"/>
    <cellStyle name="60% - Акцент5" xfId="367"/>
    <cellStyle name="60% - Акцент5 2" xfId="368"/>
    <cellStyle name="60% - Акцент5 2 2" xfId="369"/>
    <cellStyle name="60% - Акцент5 2 3" xfId="370"/>
    <cellStyle name="60% - Акцент5 2 4" xfId="371"/>
    <cellStyle name="60% - Акцент5 2 5" xfId="372"/>
    <cellStyle name="60% - Акцент5 3" xfId="373"/>
    <cellStyle name="60% - Акцент5 3 2" xfId="374"/>
    <cellStyle name="60% - Акцент5 3 3" xfId="375"/>
    <cellStyle name="60% - Акцент5 3 4" xfId="376"/>
    <cellStyle name="60% - Акцент5 3 5" xfId="377"/>
    <cellStyle name="60% - Акцент5 4" xfId="378"/>
    <cellStyle name="60% - Акцент5 4 2" xfId="379"/>
    <cellStyle name="60% - Акцент5 4 3" xfId="380"/>
    <cellStyle name="60% - Акцент5 4 4" xfId="381"/>
    <cellStyle name="60% - Акцент5 4 5" xfId="382"/>
    <cellStyle name="60% - Акцент5 5" xfId="383"/>
    <cellStyle name="60% - Акцент5 5 2" xfId="384"/>
    <cellStyle name="60% - Акцент5 5 3" xfId="385"/>
    <cellStyle name="60% - Акцент5 5 4" xfId="386"/>
    <cellStyle name="60% - Акцент5 5 5" xfId="387"/>
    <cellStyle name="60% - Акцент5 6" xfId="388"/>
    <cellStyle name="60% - Акцент6" xfId="389"/>
    <cellStyle name="60% - Акцент6 2" xfId="390"/>
    <cellStyle name="60% - Акцент6 2 2" xfId="391"/>
    <cellStyle name="60% - Акцент6 2 3" xfId="392"/>
    <cellStyle name="60% - Акцент6 2 4" xfId="393"/>
    <cellStyle name="60% - Акцент6 2 5" xfId="394"/>
    <cellStyle name="60% - Акцент6 3" xfId="395"/>
    <cellStyle name="60% - Акцент6 3 2" xfId="396"/>
    <cellStyle name="60% - Акцент6 3 3" xfId="397"/>
    <cellStyle name="60% - Акцент6 3 4" xfId="398"/>
    <cellStyle name="60% - Акцент6 3 5" xfId="399"/>
    <cellStyle name="60% - Акцент6 4" xfId="400"/>
    <cellStyle name="60% - Акцент6 4 2" xfId="401"/>
    <cellStyle name="60% - Акцент6 4 3" xfId="402"/>
    <cellStyle name="60% - Акцент6 4 4" xfId="403"/>
    <cellStyle name="60% - Акцент6 4 5" xfId="404"/>
    <cellStyle name="60% - Акцент6 5" xfId="405"/>
    <cellStyle name="60% - Акцент6 5 2" xfId="406"/>
    <cellStyle name="60% - Акцент6 5 3" xfId="407"/>
    <cellStyle name="60% - Акцент6 5 4" xfId="408"/>
    <cellStyle name="60% - Акцент6 5 5" xfId="409"/>
    <cellStyle name="60% - Акцент6 6" xfId="410"/>
    <cellStyle name="Excel Built-in Normal" xfId="411"/>
    <cellStyle name="Excel Built-in Normal 2" xfId="412"/>
    <cellStyle name="Акцент1" xfId="413"/>
    <cellStyle name="Акцент1 2" xfId="414"/>
    <cellStyle name="Акцент1 2 2" xfId="415"/>
    <cellStyle name="Акцент1 2 3" xfId="416"/>
    <cellStyle name="Акцент1 2 4" xfId="417"/>
    <cellStyle name="Акцент1 2 5" xfId="418"/>
    <cellStyle name="Акцент1 3" xfId="419"/>
    <cellStyle name="Акцент1 3 2" xfId="420"/>
    <cellStyle name="Акцент1 3 3" xfId="421"/>
    <cellStyle name="Акцент1 3 4" xfId="422"/>
    <cellStyle name="Акцент1 3 5" xfId="423"/>
    <cellStyle name="Акцент1 4" xfId="424"/>
    <cellStyle name="Акцент1 4 2" xfId="425"/>
    <cellStyle name="Акцент1 4 3" xfId="426"/>
    <cellStyle name="Акцент1 4 4" xfId="427"/>
    <cellStyle name="Акцент1 4 5" xfId="428"/>
    <cellStyle name="Акцент1 5" xfId="429"/>
    <cellStyle name="Акцент1 5 2" xfId="430"/>
    <cellStyle name="Акцент1 5 3" xfId="431"/>
    <cellStyle name="Акцент1 5 4" xfId="432"/>
    <cellStyle name="Акцент1 5 5" xfId="433"/>
    <cellStyle name="Акцент1 6" xfId="434"/>
    <cellStyle name="Акцент2" xfId="435"/>
    <cellStyle name="Акцент2 2" xfId="436"/>
    <cellStyle name="Акцент2 2 2" xfId="437"/>
    <cellStyle name="Акцент2 2 3" xfId="438"/>
    <cellStyle name="Акцент2 2 4" xfId="439"/>
    <cellStyle name="Акцент2 2 5" xfId="440"/>
    <cellStyle name="Акцент2 3" xfId="441"/>
    <cellStyle name="Акцент2 3 2" xfId="442"/>
    <cellStyle name="Акцент2 3 3" xfId="443"/>
    <cellStyle name="Акцент2 3 4" xfId="444"/>
    <cellStyle name="Акцент2 3 5" xfId="445"/>
    <cellStyle name="Акцент2 4" xfId="446"/>
    <cellStyle name="Акцент2 4 2" xfId="447"/>
    <cellStyle name="Акцент2 4 3" xfId="448"/>
    <cellStyle name="Акцент2 4 4" xfId="449"/>
    <cellStyle name="Акцент2 4 5" xfId="450"/>
    <cellStyle name="Акцент2 5" xfId="451"/>
    <cellStyle name="Акцент2 5 2" xfId="452"/>
    <cellStyle name="Акцент2 5 3" xfId="453"/>
    <cellStyle name="Акцент2 5 4" xfId="454"/>
    <cellStyle name="Акцент2 5 5" xfId="455"/>
    <cellStyle name="Акцент2 6" xfId="456"/>
    <cellStyle name="Акцент3" xfId="457"/>
    <cellStyle name="Акцент3 2" xfId="458"/>
    <cellStyle name="Акцент3 2 2" xfId="459"/>
    <cellStyle name="Акцент3 2 3" xfId="460"/>
    <cellStyle name="Акцент3 2 4" xfId="461"/>
    <cellStyle name="Акцент3 2 5" xfId="462"/>
    <cellStyle name="Акцент3 3" xfId="463"/>
    <cellStyle name="Акцент3 3 2" xfId="464"/>
    <cellStyle name="Акцент3 3 3" xfId="465"/>
    <cellStyle name="Акцент3 3 4" xfId="466"/>
    <cellStyle name="Акцент3 3 5" xfId="467"/>
    <cellStyle name="Акцент3 4" xfId="468"/>
    <cellStyle name="Акцент3 4 2" xfId="469"/>
    <cellStyle name="Акцент3 4 3" xfId="470"/>
    <cellStyle name="Акцент3 4 4" xfId="471"/>
    <cellStyle name="Акцент3 4 5" xfId="472"/>
    <cellStyle name="Акцент3 5" xfId="473"/>
    <cellStyle name="Акцент3 5 2" xfId="474"/>
    <cellStyle name="Акцент3 5 3" xfId="475"/>
    <cellStyle name="Акцент3 5 4" xfId="476"/>
    <cellStyle name="Акцент3 5 5" xfId="477"/>
    <cellStyle name="Акцент3 6" xfId="478"/>
    <cellStyle name="Акцент4" xfId="479"/>
    <cellStyle name="Акцент4 2" xfId="480"/>
    <cellStyle name="Акцент4 2 2" xfId="481"/>
    <cellStyle name="Акцент4 2 3" xfId="482"/>
    <cellStyle name="Акцент4 2 4" xfId="483"/>
    <cellStyle name="Акцент4 2 5" xfId="484"/>
    <cellStyle name="Акцент4 3" xfId="485"/>
    <cellStyle name="Акцент4 3 2" xfId="486"/>
    <cellStyle name="Акцент4 3 3" xfId="487"/>
    <cellStyle name="Акцент4 3 4" xfId="488"/>
    <cellStyle name="Акцент4 3 5" xfId="489"/>
    <cellStyle name="Акцент4 4" xfId="490"/>
    <cellStyle name="Акцент4 4 2" xfId="491"/>
    <cellStyle name="Акцент4 4 3" xfId="492"/>
    <cellStyle name="Акцент4 4 4" xfId="493"/>
    <cellStyle name="Акцент4 4 5" xfId="494"/>
    <cellStyle name="Акцент4 5" xfId="495"/>
    <cellStyle name="Акцент4 5 2" xfId="496"/>
    <cellStyle name="Акцент4 5 3" xfId="497"/>
    <cellStyle name="Акцент4 5 4" xfId="498"/>
    <cellStyle name="Акцент4 5 5" xfId="499"/>
    <cellStyle name="Акцент4 6" xfId="500"/>
    <cellStyle name="Акцент5" xfId="501"/>
    <cellStyle name="Акцент5 2" xfId="502"/>
    <cellStyle name="Акцент5 2 2" xfId="503"/>
    <cellStyle name="Акцент5 2 3" xfId="504"/>
    <cellStyle name="Акцент5 2 4" xfId="505"/>
    <cellStyle name="Акцент5 2 5" xfId="506"/>
    <cellStyle name="Акцент5 3" xfId="507"/>
    <cellStyle name="Акцент5 3 2" xfId="508"/>
    <cellStyle name="Акцент5 3 3" xfId="509"/>
    <cellStyle name="Акцент5 3 4" xfId="510"/>
    <cellStyle name="Акцент5 3 5" xfId="511"/>
    <cellStyle name="Акцент5 4" xfId="512"/>
    <cellStyle name="Акцент5 4 2" xfId="513"/>
    <cellStyle name="Акцент5 4 3" xfId="514"/>
    <cellStyle name="Акцент5 4 4" xfId="515"/>
    <cellStyle name="Акцент5 4 5" xfId="516"/>
    <cellStyle name="Акцент5 5" xfId="517"/>
    <cellStyle name="Акцент5 5 2" xfId="518"/>
    <cellStyle name="Акцент5 5 3" xfId="519"/>
    <cellStyle name="Акцент5 5 4" xfId="520"/>
    <cellStyle name="Акцент5 5 5" xfId="521"/>
    <cellStyle name="Акцент5 6" xfId="522"/>
    <cellStyle name="Акцент6" xfId="523"/>
    <cellStyle name="Акцент6 2" xfId="524"/>
    <cellStyle name="Акцент6 2 2" xfId="525"/>
    <cellStyle name="Акцент6 2 3" xfId="526"/>
    <cellStyle name="Акцент6 2 4" xfId="527"/>
    <cellStyle name="Акцент6 2 5" xfId="528"/>
    <cellStyle name="Акцент6 3" xfId="529"/>
    <cellStyle name="Акцент6 3 2" xfId="530"/>
    <cellStyle name="Акцент6 3 3" xfId="531"/>
    <cellStyle name="Акцент6 3 4" xfId="532"/>
    <cellStyle name="Акцент6 3 5" xfId="533"/>
    <cellStyle name="Акцент6 4" xfId="534"/>
    <cellStyle name="Акцент6 4 2" xfId="535"/>
    <cellStyle name="Акцент6 4 3" xfId="536"/>
    <cellStyle name="Акцент6 4 4" xfId="537"/>
    <cellStyle name="Акцент6 4 5" xfId="538"/>
    <cellStyle name="Акцент6 5" xfId="539"/>
    <cellStyle name="Акцент6 5 2" xfId="540"/>
    <cellStyle name="Акцент6 5 3" xfId="541"/>
    <cellStyle name="Акцент6 5 4" xfId="542"/>
    <cellStyle name="Акцент6 5 5" xfId="543"/>
    <cellStyle name="Акцент6 6" xfId="544"/>
    <cellStyle name="Ввод " xfId="545"/>
    <cellStyle name="Ввод  2" xfId="546"/>
    <cellStyle name="Ввод  2 2" xfId="547"/>
    <cellStyle name="Ввод  2 3" xfId="548"/>
    <cellStyle name="Ввод  2 4" xfId="549"/>
    <cellStyle name="Ввод  2 5" xfId="550"/>
    <cellStyle name="Ввод  3" xfId="551"/>
    <cellStyle name="Ввод  3 2" xfId="552"/>
    <cellStyle name="Ввод  3 3" xfId="553"/>
    <cellStyle name="Ввод  3 4" xfId="554"/>
    <cellStyle name="Ввод  3 5" xfId="555"/>
    <cellStyle name="Ввод  4" xfId="556"/>
    <cellStyle name="Ввод  4 2" xfId="557"/>
    <cellStyle name="Ввод  4 3" xfId="558"/>
    <cellStyle name="Ввод  4 4" xfId="559"/>
    <cellStyle name="Ввод  4 5" xfId="560"/>
    <cellStyle name="Ввод  5" xfId="561"/>
    <cellStyle name="Ввод  5 2" xfId="562"/>
    <cellStyle name="Ввод  5 3" xfId="563"/>
    <cellStyle name="Ввод  5 4" xfId="564"/>
    <cellStyle name="Ввод  5 5" xfId="565"/>
    <cellStyle name="Ввод  6" xfId="566"/>
    <cellStyle name="Вывод" xfId="567"/>
    <cellStyle name="Вывод 2" xfId="568"/>
    <cellStyle name="Вывод 2 2" xfId="569"/>
    <cellStyle name="Вывод 2 3" xfId="570"/>
    <cellStyle name="Вывод 2 4" xfId="571"/>
    <cellStyle name="Вывод 2 5" xfId="572"/>
    <cellStyle name="Вывод 3" xfId="573"/>
    <cellStyle name="Вывод 3 2" xfId="574"/>
    <cellStyle name="Вывод 3 3" xfId="575"/>
    <cellStyle name="Вывод 3 4" xfId="576"/>
    <cellStyle name="Вывод 3 5" xfId="577"/>
    <cellStyle name="Вывод 4" xfId="578"/>
    <cellStyle name="Вывод 4 2" xfId="579"/>
    <cellStyle name="Вывод 4 3" xfId="580"/>
    <cellStyle name="Вывод 4 4" xfId="581"/>
    <cellStyle name="Вывод 4 5" xfId="582"/>
    <cellStyle name="Вывод 5" xfId="583"/>
    <cellStyle name="Вывод 5 2" xfId="584"/>
    <cellStyle name="Вывод 5 3" xfId="585"/>
    <cellStyle name="Вывод 5 4" xfId="586"/>
    <cellStyle name="Вывод 5 5" xfId="587"/>
    <cellStyle name="Вывод 6" xfId="588"/>
    <cellStyle name="Вычисление" xfId="589"/>
    <cellStyle name="Вычисление 2" xfId="590"/>
    <cellStyle name="Вычисление 2 2" xfId="591"/>
    <cellStyle name="Вычисление 2 3" xfId="592"/>
    <cellStyle name="Вычисление 2 4" xfId="593"/>
    <cellStyle name="Вычисление 2 5" xfId="594"/>
    <cellStyle name="Вычисление 3" xfId="595"/>
    <cellStyle name="Вычисление 3 2" xfId="596"/>
    <cellStyle name="Вычисление 3 3" xfId="597"/>
    <cellStyle name="Вычисление 3 4" xfId="598"/>
    <cellStyle name="Вычисление 3 5" xfId="599"/>
    <cellStyle name="Вычисление 4" xfId="600"/>
    <cellStyle name="Вычисление 4 2" xfId="601"/>
    <cellStyle name="Вычисление 4 3" xfId="602"/>
    <cellStyle name="Вычисление 4 4" xfId="603"/>
    <cellStyle name="Вычисление 4 5" xfId="604"/>
    <cellStyle name="Вычисление 5" xfId="605"/>
    <cellStyle name="Вычисление 5 2" xfId="606"/>
    <cellStyle name="Вычисление 5 3" xfId="607"/>
    <cellStyle name="Вычисление 5 4" xfId="608"/>
    <cellStyle name="Вычисление 5 5" xfId="609"/>
    <cellStyle name="Вычисление 6" xfId="610"/>
    <cellStyle name="Hyperlink" xfId="611"/>
    <cellStyle name="Currency" xfId="612"/>
    <cellStyle name="Currency [0]" xfId="613"/>
    <cellStyle name="Заголовок 1" xfId="614"/>
    <cellStyle name="Заголовок 1 2" xfId="615"/>
    <cellStyle name="Заголовок 1 2 2" xfId="616"/>
    <cellStyle name="Заголовок 1 2 3" xfId="617"/>
    <cellStyle name="Заголовок 1 2 4" xfId="618"/>
    <cellStyle name="Заголовок 1 2 5" xfId="619"/>
    <cellStyle name="Заголовок 1 3" xfId="620"/>
    <cellStyle name="Заголовок 1 3 2" xfId="621"/>
    <cellStyle name="Заголовок 1 3 3" xfId="622"/>
    <cellStyle name="Заголовок 1 3 4" xfId="623"/>
    <cellStyle name="Заголовок 1 3 5" xfId="624"/>
    <cellStyle name="Заголовок 1 4" xfId="625"/>
    <cellStyle name="Заголовок 1 4 2" xfId="626"/>
    <cellStyle name="Заголовок 1 4 3" xfId="627"/>
    <cellStyle name="Заголовок 1 4 4" xfId="628"/>
    <cellStyle name="Заголовок 1 4 5" xfId="629"/>
    <cellStyle name="Заголовок 1 5" xfId="630"/>
    <cellStyle name="Заголовок 1 5 2" xfId="631"/>
    <cellStyle name="Заголовок 1 5 3" xfId="632"/>
    <cellStyle name="Заголовок 1 5 4" xfId="633"/>
    <cellStyle name="Заголовок 1 5 5" xfId="634"/>
    <cellStyle name="Заголовок 2" xfId="635"/>
    <cellStyle name="Заголовок 2 2" xfId="636"/>
    <cellStyle name="Заголовок 2 2 2" xfId="637"/>
    <cellStyle name="Заголовок 2 2 3" xfId="638"/>
    <cellStyle name="Заголовок 2 2 4" xfId="639"/>
    <cellStyle name="Заголовок 2 2 5" xfId="640"/>
    <cellStyle name="Заголовок 2 3" xfId="641"/>
    <cellStyle name="Заголовок 2 3 2" xfId="642"/>
    <cellStyle name="Заголовок 2 3 3" xfId="643"/>
    <cellStyle name="Заголовок 2 3 4" xfId="644"/>
    <cellStyle name="Заголовок 2 3 5" xfId="645"/>
    <cellStyle name="Заголовок 2 4" xfId="646"/>
    <cellStyle name="Заголовок 2 4 2" xfId="647"/>
    <cellStyle name="Заголовок 2 4 3" xfId="648"/>
    <cellStyle name="Заголовок 2 4 4" xfId="649"/>
    <cellStyle name="Заголовок 2 4 5" xfId="650"/>
    <cellStyle name="Заголовок 2 5" xfId="651"/>
    <cellStyle name="Заголовок 2 5 2" xfId="652"/>
    <cellStyle name="Заголовок 2 5 3" xfId="653"/>
    <cellStyle name="Заголовок 2 5 4" xfId="654"/>
    <cellStyle name="Заголовок 2 5 5" xfId="655"/>
    <cellStyle name="Заголовок 3" xfId="656"/>
    <cellStyle name="Заголовок 3 2" xfId="657"/>
    <cellStyle name="Заголовок 3 2 2" xfId="658"/>
    <cellStyle name="Заголовок 3 2 3" xfId="659"/>
    <cellStyle name="Заголовок 3 2 4" xfId="660"/>
    <cellStyle name="Заголовок 3 2 5" xfId="661"/>
    <cellStyle name="Заголовок 3 3" xfId="662"/>
    <cellStyle name="Заголовок 3 3 2" xfId="663"/>
    <cellStyle name="Заголовок 3 3 3" xfId="664"/>
    <cellStyle name="Заголовок 3 3 4" xfId="665"/>
    <cellStyle name="Заголовок 3 3 5" xfId="666"/>
    <cellStyle name="Заголовок 3 4" xfId="667"/>
    <cellStyle name="Заголовок 3 4 2" xfId="668"/>
    <cellStyle name="Заголовок 3 4 3" xfId="669"/>
    <cellStyle name="Заголовок 3 4 4" xfId="670"/>
    <cellStyle name="Заголовок 3 4 5" xfId="671"/>
    <cellStyle name="Заголовок 3 5" xfId="672"/>
    <cellStyle name="Заголовок 3 5 2" xfId="673"/>
    <cellStyle name="Заголовок 3 5 3" xfId="674"/>
    <cellStyle name="Заголовок 3 5 4" xfId="675"/>
    <cellStyle name="Заголовок 3 5 5" xfId="676"/>
    <cellStyle name="Заголовок 4" xfId="677"/>
    <cellStyle name="Заголовок 4 2" xfId="678"/>
    <cellStyle name="Заголовок 4 2 2" xfId="679"/>
    <cellStyle name="Заголовок 4 2 3" xfId="680"/>
    <cellStyle name="Заголовок 4 2 4" xfId="681"/>
    <cellStyle name="Заголовок 4 2 5" xfId="682"/>
    <cellStyle name="Заголовок 4 3" xfId="683"/>
    <cellStyle name="Заголовок 4 3 2" xfId="684"/>
    <cellStyle name="Заголовок 4 3 3" xfId="685"/>
    <cellStyle name="Заголовок 4 3 4" xfId="686"/>
    <cellStyle name="Заголовок 4 3 5" xfId="687"/>
    <cellStyle name="Заголовок 4 4" xfId="688"/>
    <cellStyle name="Заголовок 4 4 2" xfId="689"/>
    <cellStyle name="Заголовок 4 4 3" xfId="690"/>
    <cellStyle name="Заголовок 4 4 4" xfId="691"/>
    <cellStyle name="Заголовок 4 4 5" xfId="692"/>
    <cellStyle name="Заголовок 4 5" xfId="693"/>
    <cellStyle name="Заголовок 4 5 2" xfId="694"/>
    <cellStyle name="Заголовок 4 5 3" xfId="695"/>
    <cellStyle name="Заголовок 4 5 4" xfId="696"/>
    <cellStyle name="Заголовок 4 5 5" xfId="697"/>
    <cellStyle name="Итог" xfId="698"/>
    <cellStyle name="Итог 2" xfId="699"/>
    <cellStyle name="Итог 2 2" xfId="700"/>
    <cellStyle name="Итог 2 3" xfId="701"/>
    <cellStyle name="Итог 2 4" xfId="702"/>
    <cellStyle name="Итог 2 5" xfId="703"/>
    <cellStyle name="Итог 3" xfId="704"/>
    <cellStyle name="Итог 3 2" xfId="705"/>
    <cellStyle name="Итог 3 3" xfId="706"/>
    <cellStyle name="Итог 3 4" xfId="707"/>
    <cellStyle name="Итог 3 5" xfId="708"/>
    <cellStyle name="Итог 4" xfId="709"/>
    <cellStyle name="Итог 4 2" xfId="710"/>
    <cellStyle name="Итог 4 3" xfId="711"/>
    <cellStyle name="Итог 4 4" xfId="712"/>
    <cellStyle name="Итог 4 5" xfId="713"/>
    <cellStyle name="Итог 5" xfId="714"/>
    <cellStyle name="Итог 5 2" xfId="715"/>
    <cellStyle name="Итог 5 3" xfId="716"/>
    <cellStyle name="Итог 5 4" xfId="717"/>
    <cellStyle name="Итог 5 5" xfId="718"/>
    <cellStyle name="Контрольная ячейка" xfId="719"/>
    <cellStyle name="Контрольная ячейка 2" xfId="720"/>
    <cellStyle name="Контрольная ячейка 2 2" xfId="721"/>
    <cellStyle name="Контрольная ячейка 2 3" xfId="722"/>
    <cellStyle name="Контрольная ячейка 2 4" xfId="723"/>
    <cellStyle name="Контрольная ячейка 2 5" xfId="724"/>
    <cellStyle name="Контрольная ячейка 3" xfId="725"/>
    <cellStyle name="Контрольная ячейка 3 2" xfId="726"/>
    <cellStyle name="Контрольная ячейка 3 3" xfId="727"/>
    <cellStyle name="Контрольная ячейка 3 4" xfId="728"/>
    <cellStyle name="Контрольная ячейка 3 5" xfId="729"/>
    <cellStyle name="Контрольная ячейка 4" xfId="730"/>
    <cellStyle name="Контрольная ячейка 4 2" xfId="731"/>
    <cellStyle name="Контрольная ячейка 4 3" xfId="732"/>
    <cellStyle name="Контрольная ячейка 4 4" xfId="733"/>
    <cellStyle name="Контрольная ячейка 4 5" xfId="734"/>
    <cellStyle name="Контрольная ячейка 5" xfId="735"/>
    <cellStyle name="Контрольная ячейка 5 2" xfId="736"/>
    <cellStyle name="Контрольная ячейка 5 3" xfId="737"/>
    <cellStyle name="Контрольная ячейка 5 4" xfId="738"/>
    <cellStyle name="Контрольная ячейка 5 5" xfId="739"/>
    <cellStyle name="Контрольная ячейка 6" xfId="740"/>
    <cellStyle name="Название" xfId="741"/>
    <cellStyle name="Название 2" xfId="742"/>
    <cellStyle name="Название 2 2" xfId="743"/>
    <cellStyle name="Название 2 3" xfId="744"/>
    <cellStyle name="Название 2 4" xfId="745"/>
    <cellStyle name="Название 2 5" xfId="746"/>
    <cellStyle name="Название 3" xfId="747"/>
    <cellStyle name="Название 3 2" xfId="748"/>
    <cellStyle name="Название 3 3" xfId="749"/>
    <cellStyle name="Название 3 4" xfId="750"/>
    <cellStyle name="Название 3 5" xfId="751"/>
    <cellStyle name="Название 4" xfId="752"/>
    <cellStyle name="Название 4 2" xfId="753"/>
    <cellStyle name="Название 4 3" xfId="754"/>
    <cellStyle name="Название 4 4" xfId="755"/>
    <cellStyle name="Название 4 5" xfId="756"/>
    <cellStyle name="Название 5" xfId="757"/>
    <cellStyle name="Название 5 2" xfId="758"/>
    <cellStyle name="Название 5 3" xfId="759"/>
    <cellStyle name="Название 5 4" xfId="760"/>
    <cellStyle name="Название 5 5" xfId="761"/>
    <cellStyle name="Нейтральный" xfId="762"/>
    <cellStyle name="Нейтральный 2" xfId="763"/>
    <cellStyle name="Нейтральный 2 2" xfId="764"/>
    <cellStyle name="Нейтральный 2 3" xfId="765"/>
    <cellStyle name="Нейтральный 2 4" xfId="766"/>
    <cellStyle name="Нейтральный 2 5" xfId="767"/>
    <cellStyle name="Нейтральный 3" xfId="768"/>
    <cellStyle name="Нейтральный 3 2" xfId="769"/>
    <cellStyle name="Нейтральный 3 3" xfId="770"/>
    <cellStyle name="Нейтральный 3 4" xfId="771"/>
    <cellStyle name="Нейтральный 3 5" xfId="772"/>
    <cellStyle name="Нейтральный 4" xfId="773"/>
    <cellStyle name="Нейтральный 4 2" xfId="774"/>
    <cellStyle name="Нейтральный 4 3" xfId="775"/>
    <cellStyle name="Нейтральный 4 4" xfId="776"/>
    <cellStyle name="Нейтральный 4 5" xfId="777"/>
    <cellStyle name="Нейтральный 5" xfId="778"/>
    <cellStyle name="Нейтральный 5 2" xfId="779"/>
    <cellStyle name="Нейтральный 5 3" xfId="780"/>
    <cellStyle name="Нейтральный 5 4" xfId="781"/>
    <cellStyle name="Нейтральный 5 5" xfId="782"/>
    <cellStyle name="Нейтральный 6" xfId="783"/>
    <cellStyle name="Обычный 10" xfId="784"/>
    <cellStyle name="Обычный 11" xfId="785"/>
    <cellStyle name="Обычный 11 2" xfId="786"/>
    <cellStyle name="Обычный 12" xfId="787"/>
    <cellStyle name="Обычный 2" xfId="788"/>
    <cellStyle name="Обычный 2 2" xfId="789"/>
    <cellStyle name="Обычный 2 3" xfId="790"/>
    <cellStyle name="Обычный 2 4" xfId="791"/>
    <cellStyle name="Обычный 2 5" xfId="792"/>
    <cellStyle name="Обычный 3" xfId="793"/>
    <cellStyle name="Обычный 4" xfId="794"/>
    <cellStyle name="Обычный 5" xfId="795"/>
    <cellStyle name="Обычный 5 2" xfId="796"/>
    <cellStyle name="Обычный 6" xfId="797"/>
    <cellStyle name="Обычный 7" xfId="798"/>
    <cellStyle name="Обычный 8" xfId="799"/>
    <cellStyle name="Обычный 9" xfId="800"/>
    <cellStyle name="Обычный_Бюджет розвитку 2014_17.09.2013 2" xfId="801"/>
    <cellStyle name="Обычный_ПЛАН Бюджету розвитку на 2013_деп.економіки" xfId="802"/>
    <cellStyle name="Followed Hyperlink" xfId="803"/>
    <cellStyle name="Плохой" xfId="804"/>
    <cellStyle name="Плохой 2" xfId="805"/>
    <cellStyle name="Плохой 2 2" xfId="806"/>
    <cellStyle name="Плохой 2 3" xfId="807"/>
    <cellStyle name="Плохой 2 4" xfId="808"/>
    <cellStyle name="Плохой 2 5" xfId="809"/>
    <cellStyle name="Плохой 3" xfId="810"/>
    <cellStyle name="Плохой 3 2" xfId="811"/>
    <cellStyle name="Плохой 3 3" xfId="812"/>
    <cellStyle name="Плохой 3 4" xfId="813"/>
    <cellStyle name="Плохой 3 5" xfId="814"/>
    <cellStyle name="Плохой 4" xfId="815"/>
    <cellStyle name="Плохой 4 2" xfId="816"/>
    <cellStyle name="Плохой 4 3" xfId="817"/>
    <cellStyle name="Плохой 4 4" xfId="818"/>
    <cellStyle name="Плохой 4 5" xfId="819"/>
    <cellStyle name="Плохой 5" xfId="820"/>
    <cellStyle name="Плохой 5 2" xfId="821"/>
    <cellStyle name="Плохой 5 3" xfId="822"/>
    <cellStyle name="Плохой 5 4" xfId="823"/>
    <cellStyle name="Плохой 5 5" xfId="824"/>
    <cellStyle name="Плохой 6" xfId="825"/>
    <cellStyle name="Пояснение" xfId="826"/>
    <cellStyle name="Пояснение 2" xfId="827"/>
    <cellStyle name="Пояснение 2 2" xfId="828"/>
    <cellStyle name="Пояснение 2 3" xfId="829"/>
    <cellStyle name="Пояснение 2 4" xfId="830"/>
    <cellStyle name="Пояснение 2 5" xfId="831"/>
    <cellStyle name="Пояснение 3" xfId="832"/>
    <cellStyle name="Пояснение 3 2" xfId="833"/>
    <cellStyle name="Пояснение 3 3" xfId="834"/>
    <cellStyle name="Пояснение 3 4" xfId="835"/>
    <cellStyle name="Пояснение 3 5" xfId="836"/>
    <cellStyle name="Пояснение 4" xfId="837"/>
    <cellStyle name="Пояснение 4 2" xfId="838"/>
    <cellStyle name="Пояснение 4 3" xfId="839"/>
    <cellStyle name="Пояснение 4 4" xfId="840"/>
    <cellStyle name="Пояснение 4 5" xfId="841"/>
    <cellStyle name="Пояснение 5" xfId="842"/>
    <cellStyle name="Пояснение 5 2" xfId="843"/>
    <cellStyle name="Пояснение 5 3" xfId="844"/>
    <cellStyle name="Пояснение 5 4" xfId="845"/>
    <cellStyle name="Пояснение 5 5" xfId="846"/>
    <cellStyle name="Примечание" xfId="847"/>
    <cellStyle name="Примечание 2" xfId="848"/>
    <cellStyle name="Примечание 2 2" xfId="849"/>
    <cellStyle name="Примечание 2 3" xfId="850"/>
    <cellStyle name="Примечание 2 4" xfId="851"/>
    <cellStyle name="Примечание 2 5" xfId="852"/>
    <cellStyle name="Примечание 3" xfId="853"/>
    <cellStyle name="Примечание 3 2" xfId="854"/>
    <cellStyle name="Примечание 3 3" xfId="855"/>
    <cellStyle name="Примечание 3 4" xfId="856"/>
    <cellStyle name="Примечание 3 5" xfId="857"/>
    <cellStyle name="Примечание 4" xfId="858"/>
    <cellStyle name="Примечание 4 2" xfId="859"/>
    <cellStyle name="Примечание 4 3" xfId="860"/>
    <cellStyle name="Примечание 4 4" xfId="861"/>
    <cellStyle name="Примечание 4 5" xfId="862"/>
    <cellStyle name="Примечание 5" xfId="863"/>
    <cellStyle name="Примечание 5 2" xfId="864"/>
    <cellStyle name="Примечание 5 3" xfId="865"/>
    <cellStyle name="Примечание 5 4" xfId="866"/>
    <cellStyle name="Примечание 5 5" xfId="867"/>
    <cellStyle name="Примечание 6" xfId="868"/>
    <cellStyle name="Percent" xfId="869"/>
    <cellStyle name="Процентный 2" xfId="870"/>
    <cellStyle name="Процентный 2 10" xfId="871"/>
    <cellStyle name="Процентный 2 11" xfId="872"/>
    <cellStyle name="Процентный 2 12" xfId="873"/>
    <cellStyle name="Процентный 2 13" xfId="874"/>
    <cellStyle name="Процентный 2 14" xfId="875"/>
    <cellStyle name="Процентный 2 15" xfId="876"/>
    <cellStyle name="Процентный 2 16" xfId="877"/>
    <cellStyle name="Процентный 2 17" xfId="878"/>
    <cellStyle name="Процентный 2 18" xfId="879"/>
    <cellStyle name="Процентный 2 19" xfId="880"/>
    <cellStyle name="Процентный 2 2" xfId="881"/>
    <cellStyle name="Процентный 2 20" xfId="882"/>
    <cellStyle name="Процентный 2 21" xfId="883"/>
    <cellStyle name="Процентный 2 22" xfId="884"/>
    <cellStyle name="Процентный 2 23" xfId="885"/>
    <cellStyle name="Процентный 2 24" xfId="886"/>
    <cellStyle name="Процентный 2 25" xfId="887"/>
    <cellStyle name="Процентный 2 26" xfId="888"/>
    <cellStyle name="Процентный 2 27" xfId="889"/>
    <cellStyle name="Процентный 2 3" xfId="890"/>
    <cellStyle name="Процентный 2 3 2" xfId="891"/>
    <cellStyle name="Процентный 2 4" xfId="892"/>
    <cellStyle name="Процентный 2 5" xfId="893"/>
    <cellStyle name="Процентный 2 6" xfId="894"/>
    <cellStyle name="Процентный 2 7" xfId="895"/>
    <cellStyle name="Процентный 2 8" xfId="896"/>
    <cellStyle name="Процентный 2 9" xfId="897"/>
    <cellStyle name="Процентный 5" xfId="898"/>
    <cellStyle name="Процентный 5 2" xfId="899"/>
    <cellStyle name="Связанная ячейка" xfId="900"/>
    <cellStyle name="Связанная ячейка 2" xfId="901"/>
    <cellStyle name="Связанная ячейка 2 2" xfId="902"/>
    <cellStyle name="Связанная ячейка 2 3" xfId="903"/>
    <cellStyle name="Связанная ячейка 2 4" xfId="904"/>
    <cellStyle name="Связанная ячейка 2 5" xfId="905"/>
    <cellStyle name="Связанная ячейка 3" xfId="906"/>
    <cellStyle name="Связанная ячейка 3 2" xfId="907"/>
    <cellStyle name="Связанная ячейка 3 3" xfId="908"/>
    <cellStyle name="Связанная ячейка 3 4" xfId="909"/>
    <cellStyle name="Связанная ячейка 3 5" xfId="910"/>
    <cellStyle name="Связанная ячейка 4" xfId="911"/>
    <cellStyle name="Связанная ячейка 4 2" xfId="912"/>
    <cellStyle name="Связанная ячейка 4 3" xfId="913"/>
    <cellStyle name="Связанная ячейка 4 4" xfId="914"/>
    <cellStyle name="Связанная ячейка 4 5" xfId="915"/>
    <cellStyle name="Связанная ячейка 5" xfId="916"/>
    <cellStyle name="Связанная ячейка 5 2" xfId="917"/>
    <cellStyle name="Связанная ячейка 5 3" xfId="918"/>
    <cellStyle name="Связанная ячейка 5 4" xfId="919"/>
    <cellStyle name="Связанная ячейка 5 5" xfId="920"/>
    <cellStyle name="Текст предупреждения" xfId="921"/>
    <cellStyle name="Текст предупреждения 2" xfId="922"/>
    <cellStyle name="Текст предупреждения 2 2" xfId="923"/>
    <cellStyle name="Текст предупреждения 2 3" xfId="924"/>
    <cellStyle name="Текст предупреждения 2 4" xfId="925"/>
    <cellStyle name="Текст предупреждения 2 5" xfId="926"/>
    <cellStyle name="Текст предупреждения 3" xfId="927"/>
    <cellStyle name="Текст предупреждения 3 2" xfId="928"/>
    <cellStyle name="Текст предупреждения 3 3" xfId="929"/>
    <cellStyle name="Текст предупреждения 3 4" xfId="930"/>
    <cellStyle name="Текст предупреждения 3 5" xfId="931"/>
    <cellStyle name="Текст предупреждения 4" xfId="932"/>
    <cellStyle name="Текст предупреждения 4 2" xfId="933"/>
    <cellStyle name="Текст предупреждения 4 3" xfId="934"/>
    <cellStyle name="Текст предупреждения 4 4" xfId="935"/>
    <cellStyle name="Текст предупреждения 4 5" xfId="936"/>
    <cellStyle name="Текст предупреждения 5" xfId="937"/>
    <cellStyle name="Текст предупреждения 5 2" xfId="938"/>
    <cellStyle name="Текст предупреждения 5 3" xfId="939"/>
    <cellStyle name="Текст предупреждения 5 4" xfId="940"/>
    <cellStyle name="Текст предупреждения 5 5" xfId="941"/>
    <cellStyle name="Comma" xfId="942"/>
    <cellStyle name="Comma [0]" xfId="943"/>
    <cellStyle name="Хороший" xfId="944"/>
    <cellStyle name="Хороший 2" xfId="945"/>
    <cellStyle name="Хороший 2 2" xfId="946"/>
    <cellStyle name="Хороший 2 3" xfId="947"/>
    <cellStyle name="Хороший 2 4" xfId="948"/>
    <cellStyle name="Хороший 2 5" xfId="949"/>
    <cellStyle name="Хороший 3" xfId="950"/>
    <cellStyle name="Хороший 3 2" xfId="951"/>
    <cellStyle name="Хороший 3 3" xfId="952"/>
    <cellStyle name="Хороший 3 4" xfId="953"/>
    <cellStyle name="Хороший 3 5" xfId="954"/>
    <cellStyle name="Хороший 4" xfId="955"/>
    <cellStyle name="Хороший 4 2" xfId="956"/>
    <cellStyle name="Хороший 4 3" xfId="957"/>
    <cellStyle name="Хороший 4 4" xfId="958"/>
    <cellStyle name="Хороший 4 5" xfId="959"/>
    <cellStyle name="Хороший 5" xfId="960"/>
    <cellStyle name="Хороший 5 2" xfId="961"/>
    <cellStyle name="Хороший 5 3" xfId="962"/>
    <cellStyle name="Хороший 5 4" xfId="963"/>
    <cellStyle name="Хороший 5 5" xfId="964"/>
    <cellStyle name="Хороший 6" xfId="9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L299"/>
  <sheetViews>
    <sheetView tabSelected="1" view="pageBreakPreview" zoomScale="80" zoomScaleSheetLayoutView="80" workbookViewId="0" topLeftCell="A1">
      <selection activeCell="F4" sqref="F4:H4"/>
    </sheetView>
  </sheetViews>
  <sheetFormatPr defaultColWidth="9.140625" defaultRowHeight="15"/>
  <cols>
    <col min="1" max="1" width="13.00390625" style="1" customWidth="1"/>
    <col min="2" max="2" width="27.57421875" style="25" customWidth="1"/>
    <col min="3" max="3" width="60.7109375" style="25" customWidth="1"/>
    <col min="4" max="4" width="17.8515625" style="1" customWidth="1"/>
    <col min="5" max="5" width="10.8515625" style="1" customWidth="1"/>
    <col min="6" max="6" width="19.28125" style="26" customWidth="1"/>
    <col min="7" max="7" width="17.00390625" style="1" customWidth="1"/>
    <col min="8" max="8" width="17.7109375" style="1" customWidth="1"/>
    <col min="9" max="9" width="27.57421875" style="1" customWidth="1"/>
    <col min="10" max="16384" width="9.140625" style="1" customWidth="1"/>
  </cols>
  <sheetData>
    <row r="1" spans="2:7" s="15" customFormat="1" ht="24" customHeight="1">
      <c r="B1" s="16"/>
      <c r="C1" s="16"/>
      <c r="E1" s="17"/>
      <c r="F1" s="144" t="s">
        <v>158</v>
      </c>
      <c r="G1" s="144"/>
    </row>
    <row r="2" spans="2:7" s="15" customFormat="1" ht="21" customHeight="1">
      <c r="B2" s="16"/>
      <c r="C2" s="16"/>
      <c r="E2" s="17"/>
      <c r="F2" s="145" t="s">
        <v>159</v>
      </c>
      <c r="G2" s="145"/>
    </row>
    <row r="3" spans="2:8" s="15" customFormat="1" ht="24.75" customHeight="1">
      <c r="B3" s="16"/>
      <c r="C3" s="16"/>
      <c r="E3" s="17"/>
      <c r="F3" s="164" t="s">
        <v>81</v>
      </c>
      <c r="G3" s="146"/>
      <c r="H3" s="146"/>
    </row>
    <row r="4" spans="1:8" s="20" customFormat="1" ht="23.25" customHeight="1">
      <c r="A4" s="19"/>
      <c r="B4" s="18"/>
      <c r="C4" s="18"/>
      <c r="D4" s="19"/>
      <c r="F4" s="147" t="s">
        <v>160</v>
      </c>
      <c r="G4" s="147"/>
      <c r="H4" s="147"/>
    </row>
    <row r="5" spans="1:8" s="20" customFormat="1" ht="32.25" customHeight="1">
      <c r="A5" s="19"/>
      <c r="B5" s="18"/>
      <c r="C5" s="18"/>
      <c r="D5" s="19"/>
      <c r="F5" s="146" t="s">
        <v>252</v>
      </c>
      <c r="G5" s="146"/>
      <c r="H5" s="146"/>
    </row>
    <row r="6" spans="1:8" s="20" customFormat="1" ht="44.25" customHeight="1">
      <c r="A6" s="19"/>
      <c r="B6" s="18"/>
      <c r="C6" s="18"/>
      <c r="D6" s="19"/>
      <c r="E6" s="21"/>
      <c r="F6" s="146"/>
      <c r="G6" s="146"/>
      <c r="H6" s="146"/>
    </row>
    <row r="7" spans="1:8" ht="26.25" customHeight="1">
      <c r="A7" s="148" t="s">
        <v>253</v>
      </c>
      <c r="B7" s="148"/>
      <c r="C7" s="148"/>
      <c r="D7" s="148"/>
      <c r="E7" s="148"/>
      <c r="F7" s="148"/>
      <c r="G7" s="148"/>
      <c r="H7" s="148"/>
    </row>
    <row r="8" spans="1:8" ht="24.75" customHeight="1">
      <c r="A8" s="22"/>
      <c r="B8" s="23"/>
      <c r="C8" s="23"/>
      <c r="D8" s="22"/>
      <c r="F8" s="24"/>
      <c r="G8" s="159" t="s">
        <v>161</v>
      </c>
      <c r="H8" s="159"/>
    </row>
    <row r="9" spans="1:8" ht="40.5" customHeight="1">
      <c r="A9" s="152" t="s">
        <v>254</v>
      </c>
      <c r="B9" s="152"/>
      <c r="C9" s="152"/>
      <c r="D9" s="152"/>
      <c r="E9" s="152"/>
      <c r="F9" s="152"/>
      <c r="G9" s="152"/>
      <c r="H9" s="152"/>
    </row>
    <row r="10" spans="2:8" ht="19.5" customHeight="1" thickBot="1">
      <c r="B10" s="160"/>
      <c r="C10" s="160"/>
      <c r="E10" s="26"/>
      <c r="F10" s="1"/>
      <c r="H10" s="1" t="s">
        <v>88</v>
      </c>
    </row>
    <row r="11" spans="1:8" ht="85.5" customHeight="1">
      <c r="A11" s="27" t="s">
        <v>89</v>
      </c>
      <c r="B11" s="2" t="s">
        <v>82</v>
      </c>
      <c r="C11" s="153" t="s">
        <v>90</v>
      </c>
      <c r="D11" s="153" t="s">
        <v>162</v>
      </c>
      <c r="E11" s="150" t="s">
        <v>163</v>
      </c>
      <c r="F11" s="153" t="s">
        <v>164</v>
      </c>
      <c r="G11" s="153" t="s">
        <v>255</v>
      </c>
      <c r="H11" s="162" t="s">
        <v>165</v>
      </c>
    </row>
    <row r="12" spans="1:8" ht="100.5" customHeight="1">
      <c r="A12" s="28" t="s">
        <v>91</v>
      </c>
      <c r="B12" s="3" t="s">
        <v>92</v>
      </c>
      <c r="C12" s="154"/>
      <c r="D12" s="154"/>
      <c r="E12" s="151"/>
      <c r="F12" s="154"/>
      <c r="G12" s="154"/>
      <c r="H12" s="131"/>
    </row>
    <row r="13" spans="1:8" ht="18.75" customHeight="1">
      <c r="A13" s="30">
        <v>1</v>
      </c>
      <c r="B13" s="3">
        <v>2</v>
      </c>
      <c r="C13" s="3">
        <v>3</v>
      </c>
      <c r="D13" s="3">
        <v>4</v>
      </c>
      <c r="E13" s="31">
        <v>5</v>
      </c>
      <c r="F13" s="3">
        <v>6</v>
      </c>
      <c r="G13" s="3">
        <v>7</v>
      </c>
      <c r="H13" s="29">
        <v>8</v>
      </c>
    </row>
    <row r="14" spans="1:9" s="36" customFormat="1" ht="29.25" customHeight="1">
      <c r="A14" s="32"/>
      <c r="B14" s="33"/>
      <c r="C14" s="33" t="s">
        <v>93</v>
      </c>
      <c r="D14" s="4">
        <f>SUM(D15+D17+D32+D53+D56+D59+D65+D251+D261+D273+D282+D294+D296+D280+D298)</f>
        <v>846757.96487</v>
      </c>
      <c r="E14" s="4"/>
      <c r="F14" s="4">
        <f>SUM(F15+F17+F32+F53+F56+F59+F65+F251+F261+F273+F282+F294+F296+F280+F298)</f>
        <v>716970.9189</v>
      </c>
      <c r="G14" s="4">
        <f>SUM(G15+G17+G32+G53+G56+G59+G65+G251+G261+G273+G282+G294+G296+G280+G298)</f>
        <v>268583.244</v>
      </c>
      <c r="H14" s="34"/>
      <c r="I14" s="35"/>
    </row>
    <row r="15" spans="1:8" s="36" customFormat="1" ht="51.75" customHeight="1">
      <c r="A15" s="37" t="s">
        <v>96</v>
      </c>
      <c r="B15" s="33" t="s">
        <v>139</v>
      </c>
      <c r="C15" s="33"/>
      <c r="D15" s="4"/>
      <c r="E15" s="4"/>
      <c r="F15" s="4"/>
      <c r="G15" s="4">
        <f>SUM(G16)</f>
        <v>16.287</v>
      </c>
      <c r="H15" s="34"/>
    </row>
    <row r="16" spans="1:8" ht="97.5" customHeight="1">
      <c r="A16" s="30">
        <v>180409</v>
      </c>
      <c r="B16" s="38" t="s">
        <v>275</v>
      </c>
      <c r="C16" s="39" t="s">
        <v>426</v>
      </c>
      <c r="D16" s="5"/>
      <c r="E16" s="5"/>
      <c r="F16" s="5"/>
      <c r="G16" s="5">
        <v>16.287</v>
      </c>
      <c r="H16" s="40" t="s">
        <v>355</v>
      </c>
    </row>
    <row r="17" spans="1:8" s="36" customFormat="1" ht="75" customHeight="1">
      <c r="A17" s="32">
        <v>10</v>
      </c>
      <c r="B17" s="33" t="s">
        <v>84</v>
      </c>
      <c r="C17" s="33"/>
      <c r="D17" s="4">
        <f>SUM(D18+D26+D20+D28+D27+D25+D29+D31+D24+D21+D19+D23+D22+D30)</f>
        <v>172273.502</v>
      </c>
      <c r="E17" s="41"/>
      <c r="F17" s="4">
        <f>SUM(F18+F26+F20+F28+F27+F25+F29+F31+F24+F21+F19+F23+F22+F30)</f>
        <v>129841.92089000001</v>
      </c>
      <c r="G17" s="4">
        <f>SUM(G18+G26+G20+G28+G27+G25+G29+G31+G24+G21+G19+G23+G22+G30)</f>
        <v>23689.078</v>
      </c>
      <c r="H17" s="42"/>
    </row>
    <row r="18" spans="1:8" ht="134.25" customHeight="1">
      <c r="A18" s="43" t="s">
        <v>369</v>
      </c>
      <c r="B18" s="39" t="s">
        <v>370</v>
      </c>
      <c r="C18" s="44" t="s">
        <v>168</v>
      </c>
      <c r="D18" s="5">
        <v>6379.139</v>
      </c>
      <c r="E18" s="45">
        <f aca="true" t="shared" si="0" ref="E18:E31">100-(F18/D18)*100</f>
        <v>72.80433346882705</v>
      </c>
      <c r="F18" s="5">
        <f>D18-(1687.311+344.04021+44.9761+181.131+636.19824+755.9243+631.8392+362.86958)</f>
        <v>1734.8493700000008</v>
      </c>
      <c r="G18" s="5">
        <v>474.301</v>
      </c>
      <c r="H18" s="29" t="s">
        <v>169</v>
      </c>
    </row>
    <row r="19" spans="1:8" ht="133.5" customHeight="1">
      <c r="A19" s="43" t="s">
        <v>369</v>
      </c>
      <c r="B19" s="39" t="s">
        <v>370</v>
      </c>
      <c r="C19" s="46" t="s">
        <v>388</v>
      </c>
      <c r="D19" s="5">
        <v>350</v>
      </c>
      <c r="E19" s="45">
        <f t="shared" si="0"/>
        <v>0</v>
      </c>
      <c r="F19" s="5">
        <f>SUM(D19)</f>
        <v>350</v>
      </c>
      <c r="G19" s="5">
        <f>350-241.899</f>
        <v>108.101</v>
      </c>
      <c r="H19" s="29" t="s">
        <v>169</v>
      </c>
    </row>
    <row r="20" spans="1:9" ht="96.75" customHeight="1">
      <c r="A20" s="43" t="s">
        <v>167</v>
      </c>
      <c r="B20" s="39" t="s">
        <v>166</v>
      </c>
      <c r="C20" s="39" t="s">
        <v>36</v>
      </c>
      <c r="D20" s="5">
        <v>854.531</v>
      </c>
      <c r="E20" s="45">
        <f t="shared" si="0"/>
        <v>31.791173169844043</v>
      </c>
      <c r="F20" s="5">
        <f>SUM(D20-19.96722-251.69821)</f>
        <v>582.8655699999999</v>
      </c>
      <c r="G20" s="5">
        <f>347.347+235.519-111</f>
        <v>471.866</v>
      </c>
      <c r="H20" s="29" t="s">
        <v>169</v>
      </c>
      <c r="I20" s="47"/>
    </row>
    <row r="21" spans="1:8" ht="78" customHeight="1">
      <c r="A21" s="43" t="s">
        <v>167</v>
      </c>
      <c r="B21" s="39" t="s">
        <v>166</v>
      </c>
      <c r="C21" s="44" t="s">
        <v>389</v>
      </c>
      <c r="D21" s="5">
        <v>500</v>
      </c>
      <c r="E21" s="45">
        <f t="shared" si="0"/>
        <v>0</v>
      </c>
      <c r="F21" s="5">
        <f>SUM(D21)</f>
        <v>500</v>
      </c>
      <c r="G21" s="5">
        <f>500-286.817</f>
        <v>213.183</v>
      </c>
      <c r="H21" s="29" t="s">
        <v>169</v>
      </c>
    </row>
    <row r="22" spans="1:8" ht="59.25" customHeight="1">
      <c r="A22" s="43" t="s">
        <v>167</v>
      </c>
      <c r="B22" s="39" t="s">
        <v>166</v>
      </c>
      <c r="C22" s="39" t="s">
        <v>331</v>
      </c>
      <c r="D22" s="5">
        <v>1000</v>
      </c>
      <c r="E22" s="45">
        <f t="shared" si="0"/>
        <v>0</v>
      </c>
      <c r="F22" s="5">
        <f>SUM(D22)</f>
        <v>1000</v>
      </c>
      <c r="G22" s="5">
        <v>603.076</v>
      </c>
      <c r="H22" s="29" t="s">
        <v>169</v>
      </c>
    </row>
    <row r="23" spans="1:8" ht="62.25" customHeight="1">
      <c r="A23" s="43" t="s">
        <v>167</v>
      </c>
      <c r="B23" s="39" t="s">
        <v>166</v>
      </c>
      <c r="C23" s="48" t="s">
        <v>390</v>
      </c>
      <c r="D23" s="5">
        <v>350</v>
      </c>
      <c r="E23" s="45">
        <f t="shared" si="0"/>
        <v>0</v>
      </c>
      <c r="F23" s="5">
        <f>SUM(D23)</f>
        <v>350</v>
      </c>
      <c r="G23" s="5">
        <f>350-70.254</f>
        <v>279.746</v>
      </c>
      <c r="H23" s="29" t="s">
        <v>169</v>
      </c>
    </row>
    <row r="24" spans="1:8" ht="65.25" customHeight="1">
      <c r="A24" s="43" t="s">
        <v>167</v>
      </c>
      <c r="B24" s="39" t="s">
        <v>166</v>
      </c>
      <c r="C24" s="49" t="s">
        <v>257</v>
      </c>
      <c r="D24" s="5">
        <v>13134.537</v>
      </c>
      <c r="E24" s="45">
        <f t="shared" si="0"/>
        <v>8.027365791424558</v>
      </c>
      <c r="F24" s="5">
        <f>SUM(D24-796.858-70-74.6-67.92753-44.9718)</f>
        <v>12080.17967</v>
      </c>
      <c r="G24" s="5">
        <f>2081.699-2000</f>
        <v>81.69900000000007</v>
      </c>
      <c r="H24" s="29" t="s">
        <v>169</v>
      </c>
    </row>
    <row r="25" spans="1:8" ht="60" customHeight="1">
      <c r="A25" s="155" t="s">
        <v>167</v>
      </c>
      <c r="B25" s="132" t="s">
        <v>166</v>
      </c>
      <c r="C25" s="39" t="s">
        <v>62</v>
      </c>
      <c r="D25" s="5">
        <v>10913.28</v>
      </c>
      <c r="E25" s="45">
        <f t="shared" si="0"/>
        <v>19.91458150070372</v>
      </c>
      <c r="F25" s="5">
        <f>SUM(D25-1794.66356-378.67048)</f>
        <v>8739.945960000001</v>
      </c>
      <c r="G25" s="5">
        <f>450+65.946</f>
        <v>515.946</v>
      </c>
      <c r="H25" s="134" t="s">
        <v>169</v>
      </c>
    </row>
    <row r="26" spans="1:9" ht="63.75" customHeight="1">
      <c r="A26" s="156"/>
      <c r="B26" s="133"/>
      <c r="C26" s="39" t="s">
        <v>29</v>
      </c>
      <c r="D26" s="5"/>
      <c r="E26" s="45"/>
      <c r="F26" s="5"/>
      <c r="G26" s="5">
        <v>8224</v>
      </c>
      <c r="H26" s="135"/>
      <c r="I26" s="47"/>
    </row>
    <row r="27" spans="1:8" ht="78.75" customHeight="1">
      <c r="A27" s="43" t="s">
        <v>167</v>
      </c>
      <c r="B27" s="39" t="s">
        <v>166</v>
      </c>
      <c r="C27" s="39" t="s">
        <v>232</v>
      </c>
      <c r="D27" s="5">
        <v>4860</v>
      </c>
      <c r="E27" s="45">
        <f t="shared" si="0"/>
        <v>3.1767090534979445</v>
      </c>
      <c r="F27" s="5">
        <f>D27-(148.19164+6.19642)</f>
        <v>4705.61194</v>
      </c>
      <c r="G27" s="5">
        <v>200</v>
      </c>
      <c r="H27" s="29" t="s">
        <v>169</v>
      </c>
    </row>
    <row r="28" spans="1:8" ht="78.75" customHeight="1">
      <c r="A28" s="43" t="s">
        <v>167</v>
      </c>
      <c r="B28" s="39" t="s">
        <v>166</v>
      </c>
      <c r="C28" s="39" t="s">
        <v>170</v>
      </c>
      <c r="D28" s="5">
        <v>18053.4</v>
      </c>
      <c r="E28" s="45">
        <f t="shared" si="0"/>
        <v>62.92101731529794</v>
      </c>
      <c r="F28" s="5">
        <f>D28-(202.12564+117.93706+2239.71048+4367.66298+4431.94778)+0.001</f>
        <v>6694.017060000002</v>
      </c>
      <c r="G28" s="5">
        <v>6694.017</v>
      </c>
      <c r="H28" s="29" t="s">
        <v>169</v>
      </c>
    </row>
    <row r="29" spans="1:8" ht="42.75" customHeight="1">
      <c r="A29" s="43" t="s">
        <v>167</v>
      </c>
      <c r="B29" s="39" t="s">
        <v>166</v>
      </c>
      <c r="C29" s="39" t="s">
        <v>237</v>
      </c>
      <c r="D29" s="5">
        <v>99995.818</v>
      </c>
      <c r="E29" s="45">
        <f t="shared" si="0"/>
        <v>21.4663506027822</v>
      </c>
      <c r="F29" s="5">
        <f>SUM(D29-941.16388-1592.174-18932.115)</f>
        <v>78530.36512</v>
      </c>
      <c r="G29" s="5">
        <f>8241.479-2662.065</f>
        <v>5579.413999999999</v>
      </c>
      <c r="H29" s="29" t="s">
        <v>169</v>
      </c>
    </row>
    <row r="30" spans="1:8" ht="63.75" customHeight="1">
      <c r="A30" s="43" t="s">
        <v>167</v>
      </c>
      <c r="B30" s="39" t="s">
        <v>166</v>
      </c>
      <c r="C30" s="49" t="s">
        <v>415</v>
      </c>
      <c r="D30" s="5">
        <v>1752.892</v>
      </c>
      <c r="E30" s="45">
        <f t="shared" si="0"/>
        <v>0</v>
      </c>
      <c r="F30" s="5">
        <f>SUM(D30)</f>
        <v>1752.892</v>
      </c>
      <c r="G30" s="5">
        <f>95.782</f>
        <v>95.782</v>
      </c>
      <c r="H30" s="29" t="s">
        <v>169</v>
      </c>
    </row>
    <row r="31" spans="1:8" ht="141.75" customHeight="1">
      <c r="A31" s="43" t="s">
        <v>371</v>
      </c>
      <c r="B31" s="39" t="s">
        <v>372</v>
      </c>
      <c r="C31" s="39" t="s">
        <v>202</v>
      </c>
      <c r="D31" s="5">
        <v>14129.905</v>
      </c>
      <c r="E31" s="45">
        <f t="shared" si="0"/>
        <v>9.261992915026667</v>
      </c>
      <c r="F31" s="5">
        <f>SUM(D31-299.89-699.9996-308.8212)</f>
        <v>12821.194200000002</v>
      </c>
      <c r="G31" s="5">
        <f>250-102.053</f>
        <v>147.947</v>
      </c>
      <c r="H31" s="29" t="s">
        <v>169</v>
      </c>
    </row>
    <row r="32" spans="1:8" ht="77.25" customHeight="1">
      <c r="A32" s="32">
        <v>14</v>
      </c>
      <c r="B32" s="33" t="s">
        <v>171</v>
      </c>
      <c r="C32" s="33"/>
      <c r="D32" s="4">
        <f>SUM(D33+D34+D35+D36+D37+D38+D39+D40+D41+D42+D43+D44+D45+D46+D47+D48+D49+D50+D51+D52)</f>
        <v>117190.899</v>
      </c>
      <c r="E32" s="41"/>
      <c r="F32" s="4">
        <f>SUM(F33+F34+F35+F36+F37+F38+F39+F40+F41+F42+F43+F44+F45+F46+F47+F48+F49+F50+F51+F52)</f>
        <v>94553.37077000001</v>
      </c>
      <c r="G32" s="4">
        <f>SUM(G33+G34+G35+G36+G37+G38+G39+G40+G41+G42+G43+G44+G45+G46+G47+G48+G49+G50+G51+G52)</f>
        <v>16496.703</v>
      </c>
      <c r="H32" s="42"/>
    </row>
    <row r="33" spans="1:8" ht="77.25" customHeight="1">
      <c r="A33" s="43" t="s">
        <v>167</v>
      </c>
      <c r="B33" s="39" t="s">
        <v>166</v>
      </c>
      <c r="C33" s="52" t="s">
        <v>258</v>
      </c>
      <c r="D33" s="5">
        <v>10657.89</v>
      </c>
      <c r="E33" s="45">
        <f aca="true" t="shared" si="1" ref="E33:E52">100-(F33/D33)*100</f>
        <v>37.287977076137956</v>
      </c>
      <c r="F33" s="5">
        <f>D33-(1.65492+3.86148+683.13948+758.24118+1668.69212+858.5234)+0.001</f>
        <v>6683.77842</v>
      </c>
      <c r="G33" s="5">
        <f>3848.551-3764.664</f>
        <v>83.88699999999972</v>
      </c>
      <c r="H33" s="29" t="s">
        <v>169</v>
      </c>
    </row>
    <row r="34" spans="1:8" ht="80.25" customHeight="1">
      <c r="A34" s="43" t="s">
        <v>167</v>
      </c>
      <c r="B34" s="39" t="s">
        <v>166</v>
      </c>
      <c r="C34" s="53" t="s">
        <v>37</v>
      </c>
      <c r="D34" s="5">
        <v>6250.619</v>
      </c>
      <c r="E34" s="45">
        <f t="shared" si="1"/>
        <v>79.06504315812563</v>
      </c>
      <c r="F34" s="5">
        <f>SUM(D34-3400.219-1162.82481-379.0118)+0.001</f>
        <v>1308.5643899999995</v>
      </c>
      <c r="G34" s="5">
        <v>1308.564</v>
      </c>
      <c r="H34" s="29" t="s">
        <v>169</v>
      </c>
    </row>
    <row r="35" spans="1:8" ht="80.25" customHeight="1">
      <c r="A35" s="43" t="s">
        <v>167</v>
      </c>
      <c r="B35" s="39" t="s">
        <v>166</v>
      </c>
      <c r="C35" s="52" t="s">
        <v>22</v>
      </c>
      <c r="D35" s="5">
        <v>853.477</v>
      </c>
      <c r="E35" s="45">
        <f t="shared" si="1"/>
        <v>0</v>
      </c>
      <c r="F35" s="5">
        <f>SUM(D35)</f>
        <v>853.477</v>
      </c>
      <c r="G35" s="5">
        <v>853.477</v>
      </c>
      <c r="H35" s="29" t="s">
        <v>169</v>
      </c>
    </row>
    <row r="36" spans="1:8" ht="71.25" customHeight="1">
      <c r="A36" s="43" t="s">
        <v>167</v>
      </c>
      <c r="B36" s="39" t="s">
        <v>166</v>
      </c>
      <c r="C36" s="54" t="s">
        <v>175</v>
      </c>
      <c r="D36" s="5">
        <v>8142.051</v>
      </c>
      <c r="E36" s="45">
        <f t="shared" si="1"/>
        <v>92.79237172550258</v>
      </c>
      <c r="F36" s="5">
        <f>D36-(1388.68+1250+594.39965+183.85879+1020+1166.7+415.61717+592.54223+943.40439)</f>
        <v>586.8487700000005</v>
      </c>
      <c r="G36" s="5">
        <f>586.849-300</f>
        <v>286.84900000000005</v>
      </c>
      <c r="H36" s="29" t="s">
        <v>169</v>
      </c>
    </row>
    <row r="37" spans="1:8" ht="92.25" customHeight="1">
      <c r="A37" s="43" t="s">
        <v>167</v>
      </c>
      <c r="B37" s="39" t="s">
        <v>166</v>
      </c>
      <c r="C37" s="54" t="s">
        <v>223</v>
      </c>
      <c r="D37" s="5">
        <v>27395.31</v>
      </c>
      <c r="E37" s="45">
        <f t="shared" si="1"/>
        <v>3.6595323068072503</v>
      </c>
      <c r="F37" s="5">
        <f>SUM(D37-767.38333-34.52556-200.63133)</f>
        <v>26392.769780000002</v>
      </c>
      <c r="G37" s="5">
        <v>14.552</v>
      </c>
      <c r="H37" s="29" t="s">
        <v>169</v>
      </c>
    </row>
    <row r="38" spans="1:8" ht="77.25" customHeight="1">
      <c r="A38" s="43" t="s">
        <v>167</v>
      </c>
      <c r="B38" s="39" t="s">
        <v>166</v>
      </c>
      <c r="C38" s="54" t="s">
        <v>172</v>
      </c>
      <c r="D38" s="5">
        <v>3575.299</v>
      </c>
      <c r="E38" s="45">
        <f t="shared" si="1"/>
        <v>43.04060052040403</v>
      </c>
      <c r="F38" s="5">
        <f>D38-(30.1488+136.05183+2.41403+1098.10391+272.11159)</f>
        <v>2036.46884</v>
      </c>
      <c r="G38" s="5">
        <v>1558.862</v>
      </c>
      <c r="H38" s="29" t="s">
        <v>169</v>
      </c>
    </row>
    <row r="39" spans="1:8" ht="58.5" customHeight="1">
      <c r="A39" s="43" t="s">
        <v>167</v>
      </c>
      <c r="B39" s="39" t="s">
        <v>166</v>
      </c>
      <c r="C39" s="39" t="s">
        <v>391</v>
      </c>
      <c r="D39" s="5">
        <v>2620.817</v>
      </c>
      <c r="E39" s="45">
        <f t="shared" si="1"/>
        <v>8.078956676486754</v>
      </c>
      <c r="F39" s="5">
        <f>SUM(D39-141.81762-58.18238-11.73467)</f>
        <v>2409.08233</v>
      </c>
      <c r="G39" s="5">
        <v>20.907</v>
      </c>
      <c r="H39" s="29" t="s">
        <v>169</v>
      </c>
    </row>
    <row r="40" spans="1:8" ht="75.75" customHeight="1">
      <c r="A40" s="43" t="s">
        <v>167</v>
      </c>
      <c r="B40" s="39" t="s">
        <v>166</v>
      </c>
      <c r="C40" s="39" t="s">
        <v>173</v>
      </c>
      <c r="D40" s="5">
        <v>1801.032</v>
      </c>
      <c r="E40" s="45">
        <f t="shared" si="1"/>
        <v>8.126401973979355</v>
      </c>
      <c r="F40" s="5">
        <f>SUM(D40-100.44048-45.91862)</f>
        <v>1654.6729</v>
      </c>
      <c r="G40" s="5">
        <v>7.95</v>
      </c>
      <c r="H40" s="29" t="s">
        <v>169</v>
      </c>
    </row>
    <row r="41" spans="1:8" ht="55.5" customHeight="1">
      <c r="A41" s="43" t="s">
        <v>167</v>
      </c>
      <c r="B41" s="39" t="s">
        <v>166</v>
      </c>
      <c r="C41" s="54" t="s">
        <v>174</v>
      </c>
      <c r="D41" s="5">
        <f>300+20.647</f>
        <v>320.647</v>
      </c>
      <c r="E41" s="45">
        <f t="shared" si="1"/>
        <v>77.82022909928989</v>
      </c>
      <c r="F41" s="5">
        <f>SUM(D41-30.81-101.86493-116.8533)</f>
        <v>71.11876999999997</v>
      </c>
      <c r="G41" s="5">
        <v>11.91</v>
      </c>
      <c r="H41" s="29" t="s">
        <v>169</v>
      </c>
    </row>
    <row r="42" spans="1:8" ht="74.25" customHeight="1">
      <c r="A42" s="30">
        <v>150101</v>
      </c>
      <c r="B42" s="39" t="s">
        <v>166</v>
      </c>
      <c r="C42" s="39" t="s">
        <v>226</v>
      </c>
      <c r="D42" s="5">
        <v>166.51</v>
      </c>
      <c r="E42" s="45">
        <f t="shared" si="1"/>
        <v>89.7158488979641</v>
      </c>
      <c r="F42" s="5">
        <f>SUM(D42-149.38686)+0.001</f>
        <v>17.12413999999998</v>
      </c>
      <c r="G42" s="5">
        <v>17.124</v>
      </c>
      <c r="H42" s="29" t="s">
        <v>169</v>
      </c>
    </row>
    <row r="43" spans="1:8" s="55" customFormat="1" ht="57" customHeight="1">
      <c r="A43" s="43" t="s">
        <v>167</v>
      </c>
      <c r="B43" s="39" t="s">
        <v>166</v>
      </c>
      <c r="C43" s="39" t="s">
        <v>38</v>
      </c>
      <c r="D43" s="5">
        <v>2614.214</v>
      </c>
      <c r="E43" s="45">
        <f t="shared" si="1"/>
        <v>6.42324538082957</v>
      </c>
      <c r="F43" s="5">
        <f>SUM(D43-120.9915-46.92588)</f>
        <v>2446.29662</v>
      </c>
      <c r="G43" s="5">
        <v>1349.968</v>
      </c>
      <c r="H43" s="29" t="s">
        <v>169</v>
      </c>
    </row>
    <row r="44" spans="1:8" s="55" customFormat="1" ht="72" customHeight="1">
      <c r="A44" s="43" t="s">
        <v>167</v>
      </c>
      <c r="B44" s="39" t="s">
        <v>166</v>
      </c>
      <c r="C44" s="39" t="s">
        <v>177</v>
      </c>
      <c r="D44" s="5">
        <v>415.206</v>
      </c>
      <c r="E44" s="45">
        <f t="shared" si="1"/>
        <v>85.10859669657953</v>
      </c>
      <c r="F44" s="5">
        <f>SUM(D44-353.376)</f>
        <v>61.83000000000004</v>
      </c>
      <c r="G44" s="5">
        <v>61.83</v>
      </c>
      <c r="H44" s="29" t="s">
        <v>169</v>
      </c>
    </row>
    <row r="45" spans="1:8" s="55" customFormat="1" ht="57" customHeight="1">
      <c r="A45" s="43" t="s">
        <v>167</v>
      </c>
      <c r="B45" s="39" t="s">
        <v>166</v>
      </c>
      <c r="C45" s="39" t="s">
        <v>176</v>
      </c>
      <c r="D45" s="5">
        <v>3363.761</v>
      </c>
      <c r="E45" s="45">
        <f t="shared" si="1"/>
        <v>46.50378163014553</v>
      </c>
      <c r="F45" s="5">
        <f>D45-397.07106-1167.20501</f>
        <v>1799.4849300000003</v>
      </c>
      <c r="G45" s="5">
        <v>1083.472</v>
      </c>
      <c r="H45" s="29" t="s">
        <v>169</v>
      </c>
    </row>
    <row r="46" spans="1:8" s="55" customFormat="1" ht="76.5" customHeight="1">
      <c r="A46" s="43" t="s">
        <v>218</v>
      </c>
      <c r="B46" s="39" t="s">
        <v>166</v>
      </c>
      <c r="C46" s="39" t="s">
        <v>241</v>
      </c>
      <c r="D46" s="5">
        <v>950</v>
      </c>
      <c r="E46" s="45">
        <f t="shared" si="1"/>
        <v>0</v>
      </c>
      <c r="F46" s="5">
        <f>SUM(D46)</f>
        <v>950</v>
      </c>
      <c r="G46" s="5">
        <v>92.649</v>
      </c>
      <c r="H46" s="29" t="s">
        <v>169</v>
      </c>
    </row>
    <row r="47" spans="1:8" s="55" customFormat="1" ht="58.5" customHeight="1">
      <c r="A47" s="43" t="s">
        <v>218</v>
      </c>
      <c r="B47" s="39" t="s">
        <v>166</v>
      </c>
      <c r="C47" s="39" t="s">
        <v>244</v>
      </c>
      <c r="D47" s="5">
        <v>563.594</v>
      </c>
      <c r="E47" s="45">
        <f t="shared" si="1"/>
        <v>81.08471346394744</v>
      </c>
      <c r="F47" s="5">
        <f>SUM(D47-456.98958)+0.001</f>
        <v>106.60542000000007</v>
      </c>
      <c r="G47" s="5">
        <f>106.605-37</f>
        <v>69.605</v>
      </c>
      <c r="H47" s="29" t="s">
        <v>169</v>
      </c>
    </row>
    <row r="48" spans="1:8" s="55" customFormat="1" ht="73.5" customHeight="1">
      <c r="A48" s="43" t="s">
        <v>218</v>
      </c>
      <c r="B48" s="39" t="s">
        <v>166</v>
      </c>
      <c r="C48" s="39" t="s">
        <v>224</v>
      </c>
      <c r="D48" s="5">
        <v>9996.002</v>
      </c>
      <c r="E48" s="45">
        <f t="shared" si="1"/>
        <v>1.4830129085608377</v>
      </c>
      <c r="F48" s="5">
        <f>SUM(D48-148.242)</f>
        <v>9847.76</v>
      </c>
      <c r="G48" s="5">
        <v>10</v>
      </c>
      <c r="H48" s="29" t="s">
        <v>169</v>
      </c>
    </row>
    <row r="49" spans="1:8" s="55" customFormat="1" ht="95.25" customHeight="1">
      <c r="A49" s="43" t="s">
        <v>218</v>
      </c>
      <c r="B49" s="39" t="s">
        <v>166</v>
      </c>
      <c r="C49" s="56" t="s">
        <v>259</v>
      </c>
      <c r="D49" s="5">
        <v>235</v>
      </c>
      <c r="E49" s="45">
        <f t="shared" si="1"/>
        <v>0</v>
      </c>
      <c r="F49" s="5">
        <f>SUM(D49)</f>
        <v>235</v>
      </c>
      <c r="G49" s="5">
        <v>235</v>
      </c>
      <c r="H49" s="29" t="s">
        <v>169</v>
      </c>
    </row>
    <row r="50" spans="1:8" s="55" customFormat="1" ht="54.75" customHeight="1">
      <c r="A50" s="43" t="s">
        <v>218</v>
      </c>
      <c r="B50" s="39" t="s">
        <v>166</v>
      </c>
      <c r="C50" s="39" t="s">
        <v>260</v>
      </c>
      <c r="D50" s="5">
        <v>36569.47</v>
      </c>
      <c r="E50" s="45">
        <f t="shared" si="1"/>
        <v>0.4839598167542505</v>
      </c>
      <c r="F50" s="5">
        <f>SUM(D50-0.85027-176.13127)</f>
        <v>36392.48846</v>
      </c>
      <c r="G50" s="5">
        <v>8730.097</v>
      </c>
      <c r="H50" s="29" t="s">
        <v>169</v>
      </c>
    </row>
    <row r="51" spans="1:8" s="55" customFormat="1" ht="74.25" customHeight="1">
      <c r="A51" s="43" t="s">
        <v>218</v>
      </c>
      <c r="B51" s="39" t="s">
        <v>166</v>
      </c>
      <c r="C51" s="52" t="s">
        <v>261</v>
      </c>
      <c r="D51" s="5">
        <v>350</v>
      </c>
      <c r="E51" s="45">
        <f t="shared" si="1"/>
        <v>0</v>
      </c>
      <c r="F51" s="5">
        <f>SUM(D51)</f>
        <v>350</v>
      </c>
      <c r="G51" s="5">
        <v>350</v>
      </c>
      <c r="H51" s="29" t="s">
        <v>169</v>
      </c>
    </row>
    <row r="52" spans="1:8" s="55" customFormat="1" ht="93.75" customHeight="1">
      <c r="A52" s="43" t="s">
        <v>218</v>
      </c>
      <c r="B52" s="39" t="s">
        <v>166</v>
      </c>
      <c r="C52" s="54" t="s">
        <v>262</v>
      </c>
      <c r="D52" s="5">
        <v>350</v>
      </c>
      <c r="E52" s="45">
        <f t="shared" si="1"/>
        <v>0</v>
      </c>
      <c r="F52" s="5">
        <f>SUM(D52)</f>
        <v>350</v>
      </c>
      <c r="G52" s="5">
        <v>350</v>
      </c>
      <c r="H52" s="29" t="s">
        <v>169</v>
      </c>
    </row>
    <row r="53" spans="1:8" ht="98.25" customHeight="1">
      <c r="A53" s="32">
        <v>15</v>
      </c>
      <c r="B53" s="33" t="s">
        <v>85</v>
      </c>
      <c r="C53" s="33"/>
      <c r="D53" s="4">
        <f>SUM(D54+D55)</f>
        <v>6274.216</v>
      </c>
      <c r="E53" s="41"/>
      <c r="F53" s="4">
        <f>SUM(F54+F55)</f>
        <v>4240.052450000001</v>
      </c>
      <c r="G53" s="4">
        <f>SUM(G54+G55)</f>
        <v>3861.096</v>
      </c>
      <c r="H53" s="42"/>
    </row>
    <row r="54" spans="1:8" ht="46.5" customHeight="1">
      <c r="A54" s="43" t="s">
        <v>167</v>
      </c>
      <c r="B54" s="39" t="s">
        <v>166</v>
      </c>
      <c r="C54" s="44" t="s">
        <v>178</v>
      </c>
      <c r="D54" s="5">
        <v>5974.216</v>
      </c>
      <c r="E54" s="45">
        <f>100-(F54/D54)*100</f>
        <v>34.049045933391085</v>
      </c>
      <c r="F54" s="5">
        <f>D54-141.38581-1614.5504-278.22834+0.001</f>
        <v>3940.0524500000006</v>
      </c>
      <c r="G54" s="5">
        <f>3509.323+74.915</f>
        <v>3584.238</v>
      </c>
      <c r="H54" s="29" t="s">
        <v>169</v>
      </c>
    </row>
    <row r="55" spans="1:8" ht="67.5" customHeight="1">
      <c r="A55" s="43" t="s">
        <v>167</v>
      </c>
      <c r="B55" s="39" t="s">
        <v>166</v>
      </c>
      <c r="C55" s="39" t="s">
        <v>225</v>
      </c>
      <c r="D55" s="5">
        <v>300</v>
      </c>
      <c r="E55" s="45">
        <f>100-(F55/D55)*100</f>
        <v>0</v>
      </c>
      <c r="F55" s="5">
        <f>SUM(D55)</f>
        <v>300</v>
      </c>
      <c r="G55" s="5">
        <f>300-23.142</f>
        <v>276.858</v>
      </c>
      <c r="H55" s="29" t="s">
        <v>169</v>
      </c>
    </row>
    <row r="56" spans="1:8" ht="63" customHeight="1">
      <c r="A56" s="32">
        <v>24</v>
      </c>
      <c r="B56" s="33" t="s">
        <v>114</v>
      </c>
      <c r="C56" s="33"/>
      <c r="D56" s="4">
        <f>SUM(D57+D58)</f>
        <v>364.42100000000005</v>
      </c>
      <c r="E56" s="41"/>
      <c r="F56" s="4">
        <f>SUM(F57+F58)</f>
        <v>172.51944000000003</v>
      </c>
      <c r="G56" s="4">
        <f>SUM(G57+G58)</f>
        <v>172.519</v>
      </c>
      <c r="H56" s="42"/>
    </row>
    <row r="57" spans="1:8" ht="92.25" customHeight="1">
      <c r="A57" s="43" t="s">
        <v>167</v>
      </c>
      <c r="B57" s="39" t="s">
        <v>166</v>
      </c>
      <c r="C57" s="39" t="s">
        <v>318</v>
      </c>
      <c r="D57" s="5">
        <v>157.847</v>
      </c>
      <c r="E57" s="45">
        <f>100-(F57/D57)*100</f>
        <v>0</v>
      </c>
      <c r="F57" s="5">
        <f>SUM(D57)</f>
        <v>157.847</v>
      </c>
      <c r="G57" s="5">
        <v>157.847</v>
      </c>
      <c r="H57" s="29" t="s">
        <v>169</v>
      </c>
    </row>
    <row r="58" spans="1:8" ht="66.75" customHeight="1">
      <c r="A58" s="43" t="s">
        <v>167</v>
      </c>
      <c r="B58" s="39" t="s">
        <v>166</v>
      </c>
      <c r="C58" s="39" t="s">
        <v>407</v>
      </c>
      <c r="D58" s="5">
        <v>206.574</v>
      </c>
      <c r="E58" s="45">
        <f>100-(F58/D58)*100</f>
        <v>92.89724747548092</v>
      </c>
      <c r="F58" s="5">
        <f>SUM(D58-11.64-58.41069-121.85187)+0.001</f>
        <v>14.672440000000032</v>
      </c>
      <c r="G58" s="5">
        <v>14.672</v>
      </c>
      <c r="H58" s="29" t="s">
        <v>169</v>
      </c>
    </row>
    <row r="59" spans="1:8" ht="97.5" customHeight="1">
      <c r="A59" s="32">
        <v>32</v>
      </c>
      <c r="B59" s="33" t="s">
        <v>179</v>
      </c>
      <c r="C59" s="33"/>
      <c r="D59" s="4">
        <f>SUM(D60:D64)</f>
        <v>15856.465</v>
      </c>
      <c r="E59" s="41"/>
      <c r="F59" s="4">
        <f>SUM(F60:F64)</f>
        <v>15451.37457</v>
      </c>
      <c r="G59" s="4">
        <f>SUM(G60:G64)</f>
        <v>6658.578</v>
      </c>
      <c r="H59" s="42"/>
    </row>
    <row r="60" spans="1:8" ht="58.5" customHeight="1">
      <c r="A60" s="43" t="s">
        <v>167</v>
      </c>
      <c r="B60" s="39" t="s">
        <v>166</v>
      </c>
      <c r="C60" s="39" t="s">
        <v>180</v>
      </c>
      <c r="D60" s="5">
        <v>1071.2</v>
      </c>
      <c r="E60" s="45">
        <f>100-(F60/D60)*100</f>
        <v>37.816507654966394</v>
      </c>
      <c r="F60" s="5">
        <f>SUM(D60-85-320.09043)</f>
        <v>666.1095700000001</v>
      </c>
      <c r="G60" s="5">
        <f>305.245-2.146</f>
        <v>303.099</v>
      </c>
      <c r="H60" s="29" t="s">
        <v>169</v>
      </c>
    </row>
    <row r="61" spans="1:8" s="57" customFormat="1" ht="57.75" customHeight="1">
      <c r="A61" s="43" t="s">
        <v>167</v>
      </c>
      <c r="B61" s="39" t="s">
        <v>166</v>
      </c>
      <c r="C61" s="39" t="s">
        <v>12</v>
      </c>
      <c r="D61" s="5">
        <v>2171.44</v>
      </c>
      <c r="E61" s="45">
        <f>100-(F61/D61)*100</f>
        <v>0</v>
      </c>
      <c r="F61" s="5">
        <f>SUM(D61)</f>
        <v>2171.44</v>
      </c>
      <c r="G61" s="5">
        <f>1195.172-172.43</f>
        <v>1022.742</v>
      </c>
      <c r="H61" s="29" t="s">
        <v>169</v>
      </c>
    </row>
    <row r="62" spans="1:8" s="57" customFormat="1" ht="61.5" customHeight="1">
      <c r="A62" s="43" t="s">
        <v>167</v>
      </c>
      <c r="B62" s="39" t="s">
        <v>166</v>
      </c>
      <c r="C62" s="39" t="s">
        <v>13</v>
      </c>
      <c r="D62" s="5">
        <v>5414.087</v>
      </c>
      <c r="E62" s="45">
        <f>100-(F62/D62)*100</f>
        <v>0</v>
      </c>
      <c r="F62" s="5">
        <f>SUM(D62)</f>
        <v>5414.087</v>
      </c>
      <c r="G62" s="5">
        <f>2870.921-619.919</f>
        <v>2251.002</v>
      </c>
      <c r="H62" s="29" t="s">
        <v>169</v>
      </c>
    </row>
    <row r="63" spans="1:8" s="57" customFormat="1" ht="76.5" customHeight="1">
      <c r="A63" s="43" t="s">
        <v>167</v>
      </c>
      <c r="B63" s="39" t="s">
        <v>166</v>
      </c>
      <c r="C63" s="39" t="s">
        <v>14</v>
      </c>
      <c r="D63" s="5">
        <v>4543.59</v>
      </c>
      <c r="E63" s="45">
        <f>100-(F63/D63)*100</f>
        <v>0</v>
      </c>
      <c r="F63" s="5">
        <f>SUM(D63)</f>
        <v>4543.59</v>
      </c>
      <c r="G63" s="5">
        <f>2370.656-498.998</f>
        <v>1871.658</v>
      </c>
      <c r="H63" s="29" t="s">
        <v>169</v>
      </c>
    </row>
    <row r="64" spans="1:8" s="57" customFormat="1" ht="61.5" customHeight="1">
      <c r="A64" s="43" t="s">
        <v>167</v>
      </c>
      <c r="B64" s="39" t="s">
        <v>166</v>
      </c>
      <c r="C64" s="39" t="s">
        <v>15</v>
      </c>
      <c r="D64" s="5">
        <v>2656.148</v>
      </c>
      <c r="E64" s="45">
        <f>100-(F64/D64)*100</f>
        <v>0</v>
      </c>
      <c r="F64" s="5">
        <f>SUM(D64)</f>
        <v>2656.148</v>
      </c>
      <c r="G64" s="5">
        <f>1419.558-209.481</f>
        <v>1210.077</v>
      </c>
      <c r="H64" s="29" t="s">
        <v>169</v>
      </c>
    </row>
    <row r="65" spans="1:8" ht="116.25" customHeight="1">
      <c r="A65" s="32">
        <v>40</v>
      </c>
      <c r="B65" s="33" t="s">
        <v>181</v>
      </c>
      <c r="C65" s="33"/>
      <c r="D65" s="4">
        <f>SUM(D66+D67+D68+D69+D70+D71+D73+D74+D75+D76+D77+D78+D79+D80+D81+D82+D83+D84+D85+D86+D87+D88+D89+D90+D91+D92+D93+D94+D95+D96+D97+D98+D99+D100+D101+D102+D103+D104+D105+D106+D107+D108+D109+D110+D111+D112+D113+D114+D115+D116+D117+D118+D119+D120+D122+D124+D125+D126+D127+D128+D129+D130+D131+D132+D133+D134+D135+D136+D137+D138+D151+D179+D216+D237+D242)</f>
        <v>207311.73519999997</v>
      </c>
      <c r="E65" s="41"/>
      <c r="F65" s="4">
        <f>SUM(F66+F67+F68+F69+F70+F71+F73+F74+F75+F76+F77+F78+F79+F80+F81+F82+F83+F84+F85+F86+F87+F88+F89+F90+F91+F92+F93+F94+F95+F96+F97+F98+F99+F100+F101+F102+F103+F104+F105+F106+F107+F108+F109+F110+F111+F112+F113+F114+F115+F116+F117+F118+F119+F120+F122+F124+F125+F126+F127+F128+F129+F130+F131+F132+F133+F134+F135+F136+F137+F138+F151+F179+F216+F237+F242)</f>
        <v>170670.843</v>
      </c>
      <c r="G65" s="4">
        <f>SUM(G66:G137)+G138+G151+G179+G216+G237+G242</f>
        <v>131790.854</v>
      </c>
      <c r="H65" s="42"/>
    </row>
    <row r="66" spans="1:8" ht="41.25" customHeight="1">
      <c r="A66" s="43" t="s">
        <v>167</v>
      </c>
      <c r="B66" s="39" t="s">
        <v>166</v>
      </c>
      <c r="C66" s="39" t="s">
        <v>235</v>
      </c>
      <c r="D66" s="5">
        <v>1471.483</v>
      </c>
      <c r="E66" s="45">
        <f aca="true" t="shared" si="2" ref="E66:E75">100-(F66/D66)*100</f>
        <v>5.762368304628723</v>
      </c>
      <c r="F66" s="5">
        <f>D66-2.16203-79.4784-3.15184</f>
        <v>1386.69073</v>
      </c>
      <c r="G66" s="5">
        <f>464.904-464.439+1.086</f>
        <v>1.550999999999975</v>
      </c>
      <c r="H66" s="29" t="s">
        <v>169</v>
      </c>
    </row>
    <row r="67" spans="1:8" ht="37.5" customHeight="1">
      <c r="A67" s="30" t="s">
        <v>167</v>
      </c>
      <c r="B67" s="39" t="s">
        <v>166</v>
      </c>
      <c r="C67" s="39" t="s">
        <v>183</v>
      </c>
      <c r="D67" s="5">
        <v>2707.5</v>
      </c>
      <c r="E67" s="45">
        <f t="shared" si="2"/>
        <v>55.87674090489381</v>
      </c>
      <c r="F67" s="5">
        <f>D67-6.59545-1084.41086-421.85645</f>
        <v>1194.6372400000002</v>
      </c>
      <c r="G67" s="5">
        <f>1194.637-500</f>
        <v>694.637</v>
      </c>
      <c r="H67" s="29" t="s">
        <v>169</v>
      </c>
    </row>
    <row r="68" spans="1:8" s="55" customFormat="1" ht="57" customHeight="1">
      <c r="A68" s="43" t="s">
        <v>167</v>
      </c>
      <c r="B68" s="39" t="s">
        <v>166</v>
      </c>
      <c r="C68" s="39" t="s">
        <v>427</v>
      </c>
      <c r="D68" s="5">
        <v>2947.483</v>
      </c>
      <c r="E68" s="45">
        <f t="shared" si="2"/>
        <v>3.328485355131818</v>
      </c>
      <c r="F68" s="5">
        <f>SUM(D68-98.10754)+0.001</f>
        <v>2849.3764600000004</v>
      </c>
      <c r="G68" s="5">
        <f>2570.917-851.917</f>
        <v>1719</v>
      </c>
      <c r="H68" s="29" t="s">
        <v>169</v>
      </c>
    </row>
    <row r="69" spans="1:8" s="55" customFormat="1" ht="55.5" customHeight="1">
      <c r="A69" s="43" t="s">
        <v>167</v>
      </c>
      <c r="B69" s="39" t="s">
        <v>166</v>
      </c>
      <c r="C69" s="39" t="s">
        <v>392</v>
      </c>
      <c r="D69" s="5">
        <v>111.742</v>
      </c>
      <c r="E69" s="45">
        <f t="shared" si="2"/>
        <v>25.75585724257664</v>
      </c>
      <c r="F69" s="5">
        <f>SUM(D69-28.78011)</f>
        <v>82.96189000000001</v>
      </c>
      <c r="G69" s="5">
        <v>82.962</v>
      </c>
      <c r="H69" s="29" t="s">
        <v>169</v>
      </c>
    </row>
    <row r="70" spans="1:8" s="55" customFormat="1" ht="56.25" customHeight="1">
      <c r="A70" s="43" t="s">
        <v>167</v>
      </c>
      <c r="B70" s="39" t="s">
        <v>166</v>
      </c>
      <c r="C70" s="39" t="s">
        <v>393</v>
      </c>
      <c r="D70" s="5">
        <v>935.45</v>
      </c>
      <c r="E70" s="45">
        <f t="shared" si="2"/>
        <v>7.635019509327051</v>
      </c>
      <c r="F70" s="5">
        <f>SUM(D70-71.42279)+0.001</f>
        <v>864.0282100000001</v>
      </c>
      <c r="G70" s="5">
        <v>864.028</v>
      </c>
      <c r="H70" s="29" t="s">
        <v>169</v>
      </c>
    </row>
    <row r="71" spans="1:8" ht="41.25" customHeight="1">
      <c r="A71" s="43" t="s">
        <v>167</v>
      </c>
      <c r="B71" s="39" t="s">
        <v>166</v>
      </c>
      <c r="C71" s="44" t="s">
        <v>236</v>
      </c>
      <c r="D71" s="5">
        <v>822.602</v>
      </c>
      <c r="E71" s="45">
        <f t="shared" si="2"/>
        <v>58.78815028409851</v>
      </c>
      <c r="F71" s="5">
        <f>SUM(D71-463.8061-18.7964-0.99)</f>
        <v>339.00949999999995</v>
      </c>
      <c r="G71" s="5">
        <f>339.01-181</f>
        <v>158.01</v>
      </c>
      <c r="H71" s="29" t="s">
        <v>169</v>
      </c>
    </row>
    <row r="72" spans="1:8" ht="58.5" customHeight="1">
      <c r="A72" s="43" t="s">
        <v>167</v>
      </c>
      <c r="B72" s="39" t="s">
        <v>166</v>
      </c>
      <c r="C72" s="44" t="s">
        <v>51</v>
      </c>
      <c r="D72" s="5">
        <v>471.473</v>
      </c>
      <c r="E72" s="45">
        <f>100-(F72/D72)*100</f>
        <v>0</v>
      </c>
      <c r="F72" s="5">
        <v>471.473</v>
      </c>
      <c r="G72" s="5">
        <v>471.473</v>
      </c>
      <c r="H72" s="29" t="s">
        <v>169</v>
      </c>
    </row>
    <row r="73" spans="1:8" ht="56.25" customHeight="1">
      <c r="A73" s="43" t="s">
        <v>167</v>
      </c>
      <c r="B73" s="39" t="s">
        <v>166</v>
      </c>
      <c r="C73" s="44" t="s">
        <v>39</v>
      </c>
      <c r="D73" s="5">
        <v>1210.001</v>
      </c>
      <c r="E73" s="45">
        <f t="shared" si="2"/>
        <v>26.650817643952365</v>
      </c>
      <c r="F73" s="5">
        <f>SUM(D73-142.95243-178.12755-1.39518)</f>
        <v>887.5258399999999</v>
      </c>
      <c r="G73" s="5">
        <v>562.624</v>
      </c>
      <c r="H73" s="29" t="s">
        <v>248</v>
      </c>
    </row>
    <row r="74" spans="1:8" ht="36.75" customHeight="1">
      <c r="A74" s="43" t="s">
        <v>167</v>
      </c>
      <c r="B74" s="39" t="s">
        <v>166</v>
      </c>
      <c r="C74" s="44" t="s">
        <v>242</v>
      </c>
      <c r="D74" s="58">
        <v>10600</v>
      </c>
      <c r="E74" s="45">
        <f t="shared" si="2"/>
        <v>2.8018867924528337</v>
      </c>
      <c r="F74" s="6">
        <f>SUM(D74-297)</f>
        <v>10303</v>
      </c>
      <c r="G74" s="5">
        <v>150</v>
      </c>
      <c r="H74" s="29" t="s">
        <v>169</v>
      </c>
    </row>
    <row r="75" spans="1:8" ht="36" customHeight="1">
      <c r="A75" s="43" t="s">
        <v>167</v>
      </c>
      <c r="B75" s="39" t="s">
        <v>166</v>
      </c>
      <c r="C75" s="59" t="s">
        <v>228</v>
      </c>
      <c r="D75" s="5">
        <v>1989</v>
      </c>
      <c r="E75" s="45">
        <f t="shared" si="2"/>
        <v>0.7541478129713397</v>
      </c>
      <c r="F75" s="6">
        <f>SUM(D75-15)</f>
        <v>1974</v>
      </c>
      <c r="G75" s="6">
        <v>1974</v>
      </c>
      <c r="H75" s="29" t="s">
        <v>169</v>
      </c>
    </row>
    <row r="76" spans="1:8" s="55" customFormat="1" ht="39.75" customHeight="1">
      <c r="A76" s="43" t="s">
        <v>167</v>
      </c>
      <c r="B76" s="39" t="s">
        <v>166</v>
      </c>
      <c r="C76" s="39" t="s">
        <v>394</v>
      </c>
      <c r="D76" s="5">
        <v>247.171</v>
      </c>
      <c r="E76" s="45">
        <f aca="true" t="shared" si="3" ref="E76:E84">100-(F76/D76)*100</f>
        <v>34.13936505496193</v>
      </c>
      <c r="F76" s="5">
        <f>D76-41.2223-43.16131+0.001</f>
        <v>162.78839000000002</v>
      </c>
      <c r="G76" s="5">
        <v>162.788</v>
      </c>
      <c r="H76" s="29" t="s">
        <v>169</v>
      </c>
    </row>
    <row r="77" spans="1:8" s="55" customFormat="1" ht="79.5" customHeight="1">
      <c r="A77" s="43" t="s">
        <v>167</v>
      </c>
      <c r="B77" s="39" t="s">
        <v>166</v>
      </c>
      <c r="C77" s="39" t="s">
        <v>0</v>
      </c>
      <c r="D77" s="5">
        <v>1512</v>
      </c>
      <c r="E77" s="45">
        <f t="shared" si="3"/>
        <v>49.73167989417989</v>
      </c>
      <c r="F77" s="5">
        <v>760.057</v>
      </c>
      <c r="G77" s="5">
        <v>102.071</v>
      </c>
      <c r="H77" s="29" t="s">
        <v>169</v>
      </c>
    </row>
    <row r="78" spans="1:8" s="55" customFormat="1" ht="54.75" customHeight="1">
      <c r="A78" s="43" t="s">
        <v>167</v>
      </c>
      <c r="B78" s="39" t="s">
        <v>166</v>
      </c>
      <c r="C78" s="46" t="s">
        <v>267</v>
      </c>
      <c r="D78" s="5">
        <v>1500</v>
      </c>
      <c r="E78" s="45">
        <f t="shared" si="3"/>
        <v>0</v>
      </c>
      <c r="F78" s="5">
        <f>SUM(D78)</f>
        <v>1500</v>
      </c>
      <c r="G78" s="5">
        <v>1500</v>
      </c>
      <c r="H78" s="29" t="s">
        <v>169</v>
      </c>
    </row>
    <row r="79" spans="1:8" s="55" customFormat="1" ht="42" customHeight="1">
      <c r="A79" s="43" t="s">
        <v>167</v>
      </c>
      <c r="B79" s="39" t="s">
        <v>166</v>
      </c>
      <c r="C79" s="46" t="s">
        <v>429</v>
      </c>
      <c r="D79" s="5">
        <v>200.515</v>
      </c>
      <c r="E79" s="45">
        <f t="shared" si="3"/>
        <v>0</v>
      </c>
      <c r="F79" s="5">
        <f>SUM(D79)</f>
        <v>200.515</v>
      </c>
      <c r="G79" s="5">
        <v>200.515</v>
      </c>
      <c r="H79" s="29" t="s">
        <v>169</v>
      </c>
    </row>
    <row r="80" spans="1:8" s="55" customFormat="1" ht="42.75" customHeight="1">
      <c r="A80" s="43" t="s">
        <v>167</v>
      </c>
      <c r="B80" s="39" t="s">
        <v>166</v>
      </c>
      <c r="C80" s="46" t="s">
        <v>268</v>
      </c>
      <c r="D80" s="5">
        <v>406</v>
      </c>
      <c r="E80" s="45">
        <f t="shared" si="3"/>
        <v>0</v>
      </c>
      <c r="F80" s="5">
        <f>SUM(D80)</f>
        <v>406</v>
      </c>
      <c r="G80" s="5">
        <v>179</v>
      </c>
      <c r="H80" s="29" t="s">
        <v>169</v>
      </c>
    </row>
    <row r="81" spans="1:8" s="55" customFormat="1" ht="56.25" customHeight="1">
      <c r="A81" s="43" t="s">
        <v>167</v>
      </c>
      <c r="B81" s="39" t="s">
        <v>166</v>
      </c>
      <c r="C81" s="39" t="s">
        <v>285</v>
      </c>
      <c r="D81" s="5">
        <v>8</v>
      </c>
      <c r="E81" s="45">
        <f t="shared" si="3"/>
        <v>0</v>
      </c>
      <c r="F81" s="5">
        <f>SUM(D81)</f>
        <v>8</v>
      </c>
      <c r="G81" s="5">
        <v>8</v>
      </c>
      <c r="H81" s="29" t="s">
        <v>276</v>
      </c>
    </row>
    <row r="82" spans="1:8" s="55" customFormat="1" ht="78.75" customHeight="1">
      <c r="A82" s="43" t="s">
        <v>167</v>
      </c>
      <c r="B82" s="39" t="s">
        <v>166</v>
      </c>
      <c r="C82" s="60" t="s">
        <v>428</v>
      </c>
      <c r="D82" s="5">
        <v>300</v>
      </c>
      <c r="E82" s="45">
        <f>100-(F82/D82)*100</f>
        <v>0</v>
      </c>
      <c r="F82" s="5">
        <f>SUM(D82)</f>
        <v>300</v>
      </c>
      <c r="G82" s="5">
        <f>300-200</f>
        <v>100</v>
      </c>
      <c r="H82" s="29" t="s">
        <v>169</v>
      </c>
    </row>
    <row r="83" spans="1:8" ht="57.75" customHeight="1">
      <c r="A83" s="43" t="s">
        <v>167</v>
      </c>
      <c r="B83" s="39" t="s">
        <v>166</v>
      </c>
      <c r="C83" s="44" t="s">
        <v>182</v>
      </c>
      <c r="D83" s="5">
        <v>4604.675</v>
      </c>
      <c r="E83" s="45">
        <f t="shared" si="3"/>
        <v>87.49967891327834</v>
      </c>
      <c r="F83" s="5">
        <f>SUM(D83-1.41395-1054.50793-2973.15496)+0.001</f>
        <v>575.5991600000004</v>
      </c>
      <c r="G83" s="5">
        <f>575.599-1.22</f>
        <v>574.379</v>
      </c>
      <c r="H83" s="29" t="s">
        <v>169</v>
      </c>
    </row>
    <row r="84" spans="1:8" ht="76.5" customHeight="1">
      <c r="A84" s="43" t="s">
        <v>167</v>
      </c>
      <c r="B84" s="39" t="s">
        <v>166</v>
      </c>
      <c r="C84" s="39" t="s">
        <v>219</v>
      </c>
      <c r="D84" s="5">
        <v>10412.057</v>
      </c>
      <c r="E84" s="45">
        <f t="shared" si="3"/>
        <v>1.3657189928945002</v>
      </c>
      <c r="F84" s="5">
        <f>D84-142.19944</f>
        <v>10269.85756</v>
      </c>
      <c r="G84" s="5">
        <f>7782.76-3000</f>
        <v>4782.76</v>
      </c>
      <c r="H84" s="29" t="s">
        <v>169</v>
      </c>
    </row>
    <row r="85" spans="1:8" ht="61.5" customHeight="1">
      <c r="A85" s="43" t="s">
        <v>167</v>
      </c>
      <c r="B85" s="39" t="s">
        <v>166</v>
      </c>
      <c r="C85" s="39" t="s">
        <v>227</v>
      </c>
      <c r="D85" s="5">
        <v>8930.209</v>
      </c>
      <c r="E85" s="45">
        <f aca="true" t="shared" si="4" ref="E85:E127">100-(F85/D85)*100</f>
        <v>6.0116091347918115</v>
      </c>
      <c r="F85" s="5">
        <f>SUM(D85-536.84926)</f>
        <v>8393.35974</v>
      </c>
      <c r="G85" s="5">
        <f>282.398-200</f>
        <v>82.39800000000002</v>
      </c>
      <c r="H85" s="29" t="s">
        <v>169</v>
      </c>
    </row>
    <row r="86" spans="1:8" ht="45" customHeight="1">
      <c r="A86" s="43" t="s">
        <v>167</v>
      </c>
      <c r="B86" s="39" t="s">
        <v>166</v>
      </c>
      <c r="C86" s="122" t="s">
        <v>63</v>
      </c>
      <c r="D86" s="5">
        <v>1266.175</v>
      </c>
      <c r="E86" s="45">
        <f t="shared" si="4"/>
        <v>0</v>
      </c>
      <c r="F86" s="5">
        <v>1266.175</v>
      </c>
      <c r="G86" s="5">
        <f>1266.175-1000-195.028</f>
        <v>71.14699999999996</v>
      </c>
      <c r="H86" s="29" t="s">
        <v>169</v>
      </c>
    </row>
    <row r="87" spans="1:8" ht="42.75" customHeight="1">
      <c r="A87" s="43" t="s">
        <v>167</v>
      </c>
      <c r="B87" s="39" t="s">
        <v>166</v>
      </c>
      <c r="C87" s="39" t="s">
        <v>421</v>
      </c>
      <c r="D87" s="5">
        <v>94.253</v>
      </c>
      <c r="E87" s="45">
        <f t="shared" si="4"/>
        <v>0</v>
      </c>
      <c r="F87" s="5">
        <v>94.253</v>
      </c>
      <c r="G87" s="5">
        <v>94.253</v>
      </c>
      <c r="H87" s="29" t="s">
        <v>169</v>
      </c>
    </row>
    <row r="88" spans="1:8" ht="38.25" customHeight="1">
      <c r="A88" s="43" t="s">
        <v>167</v>
      </c>
      <c r="B88" s="39" t="s">
        <v>166</v>
      </c>
      <c r="C88" s="39" t="s">
        <v>190</v>
      </c>
      <c r="D88" s="5">
        <v>4027.73</v>
      </c>
      <c r="E88" s="45">
        <f t="shared" si="4"/>
        <v>87.76617151596557</v>
      </c>
      <c r="F88" s="5">
        <f>D88-3.48524-2070.96995-427.07555-1033.45368</f>
        <v>492.7455799999998</v>
      </c>
      <c r="G88" s="5">
        <v>0.205</v>
      </c>
      <c r="H88" s="29" t="s">
        <v>169</v>
      </c>
    </row>
    <row r="89" spans="1:8" s="55" customFormat="1" ht="40.5" customHeight="1">
      <c r="A89" s="43" t="s">
        <v>167</v>
      </c>
      <c r="B89" s="39" t="s">
        <v>166</v>
      </c>
      <c r="C89" s="39" t="s">
        <v>238</v>
      </c>
      <c r="D89" s="5">
        <v>2000</v>
      </c>
      <c r="E89" s="45">
        <f t="shared" si="4"/>
        <v>3.5408339999999896</v>
      </c>
      <c r="F89" s="5">
        <f>SUM(D89-70.81668)</f>
        <v>1929.18332</v>
      </c>
      <c r="G89" s="5">
        <v>414.184</v>
      </c>
      <c r="H89" s="29" t="s">
        <v>169</v>
      </c>
    </row>
    <row r="90" spans="1:8" s="61" customFormat="1" ht="60" customHeight="1">
      <c r="A90" s="43" t="s">
        <v>167</v>
      </c>
      <c r="B90" s="39" t="s">
        <v>166</v>
      </c>
      <c r="C90" s="39" t="s">
        <v>246</v>
      </c>
      <c r="D90" s="5">
        <v>1418.906</v>
      </c>
      <c r="E90" s="45">
        <f t="shared" si="4"/>
        <v>3.5152772629053715</v>
      </c>
      <c r="F90" s="5">
        <f>SUM(D90-49.87848)</f>
        <v>1369.0275199999999</v>
      </c>
      <c r="G90" s="5">
        <f>1369.028-130.404</f>
        <v>1238.624</v>
      </c>
      <c r="H90" s="29" t="s">
        <v>169</v>
      </c>
    </row>
    <row r="91" spans="1:8" s="55" customFormat="1" ht="56.25" customHeight="1">
      <c r="A91" s="43" t="s">
        <v>167</v>
      </c>
      <c r="B91" s="39" t="s">
        <v>166</v>
      </c>
      <c r="C91" s="62" t="s">
        <v>395</v>
      </c>
      <c r="D91" s="7">
        <v>2215.631</v>
      </c>
      <c r="E91" s="45">
        <f t="shared" si="4"/>
        <v>0</v>
      </c>
      <c r="F91" s="5">
        <f>SUM(D91)</f>
        <v>2215.631</v>
      </c>
      <c r="G91" s="7">
        <f>564.577-409.215</f>
        <v>155.36200000000002</v>
      </c>
      <c r="H91" s="29" t="s">
        <v>169</v>
      </c>
    </row>
    <row r="92" spans="1:8" s="55" customFormat="1" ht="45.75" customHeight="1">
      <c r="A92" s="43" t="s">
        <v>167</v>
      </c>
      <c r="B92" s="39" t="s">
        <v>166</v>
      </c>
      <c r="C92" s="62" t="s">
        <v>295</v>
      </c>
      <c r="D92" s="7">
        <v>100</v>
      </c>
      <c r="E92" s="45">
        <f t="shared" si="4"/>
        <v>0</v>
      </c>
      <c r="F92" s="5">
        <f>SUM(D92)</f>
        <v>100</v>
      </c>
      <c r="G92" s="7">
        <v>100</v>
      </c>
      <c r="H92" s="29" t="s">
        <v>169</v>
      </c>
    </row>
    <row r="93" spans="1:8" ht="90.75" customHeight="1">
      <c r="A93" s="43" t="s">
        <v>167</v>
      </c>
      <c r="B93" s="39" t="s">
        <v>166</v>
      </c>
      <c r="C93" s="63" t="s">
        <v>361</v>
      </c>
      <c r="D93" s="5">
        <v>1200</v>
      </c>
      <c r="E93" s="45">
        <f t="shared" si="4"/>
        <v>0</v>
      </c>
      <c r="F93" s="5">
        <f>SUM(D93)</f>
        <v>1200</v>
      </c>
      <c r="G93" s="5">
        <f>1200-1130.176</f>
        <v>69.82400000000007</v>
      </c>
      <c r="H93" s="29" t="s">
        <v>169</v>
      </c>
    </row>
    <row r="94" spans="1:8" ht="78" customHeight="1">
      <c r="A94" s="43" t="s">
        <v>167</v>
      </c>
      <c r="B94" s="39" t="s">
        <v>166</v>
      </c>
      <c r="C94" s="63" t="s">
        <v>360</v>
      </c>
      <c r="D94" s="5">
        <v>887.348</v>
      </c>
      <c r="E94" s="45">
        <f t="shared" si="4"/>
        <v>8.033353317976719</v>
      </c>
      <c r="F94" s="5">
        <f>SUM(D94-71.2848)+0.001</f>
        <v>816.0641999999999</v>
      </c>
      <c r="G94" s="5">
        <f>816.064-53.78</f>
        <v>762.284</v>
      </c>
      <c r="H94" s="29" t="s">
        <v>169</v>
      </c>
    </row>
    <row r="95" spans="1:8" ht="114" customHeight="1">
      <c r="A95" s="30">
        <v>170703</v>
      </c>
      <c r="B95" s="39" t="s">
        <v>378</v>
      </c>
      <c r="C95" s="39" t="s">
        <v>186</v>
      </c>
      <c r="D95" s="5">
        <v>14805.017</v>
      </c>
      <c r="E95" s="45">
        <f t="shared" si="4"/>
        <v>3.1051689437438625</v>
      </c>
      <c r="F95" s="5">
        <f>D95-(79.512+136.904+219.26723+23.97362+0.06394)</f>
        <v>14345.29621</v>
      </c>
      <c r="G95" s="5">
        <f>87.356</f>
        <v>87.356</v>
      </c>
      <c r="H95" s="29" t="s">
        <v>169</v>
      </c>
    </row>
    <row r="96" spans="1:8" ht="114.75" customHeight="1">
      <c r="A96" s="30">
        <v>170703</v>
      </c>
      <c r="B96" s="39" t="s">
        <v>378</v>
      </c>
      <c r="C96" s="39" t="s">
        <v>263</v>
      </c>
      <c r="D96" s="5">
        <v>5066.366</v>
      </c>
      <c r="E96" s="45">
        <f t="shared" si="4"/>
        <v>45.45017829347506</v>
      </c>
      <c r="F96" s="5">
        <f>SUM(D96-47.9736-28.99732-1238.64731-987.05415)</f>
        <v>2763.693619999999</v>
      </c>
      <c r="G96" s="5">
        <f>709.692+2054.002</f>
        <v>2763.694</v>
      </c>
      <c r="H96" s="29" t="s">
        <v>169</v>
      </c>
    </row>
    <row r="97" spans="1:8" s="65" customFormat="1" ht="112.5" customHeight="1">
      <c r="A97" s="30">
        <v>170703</v>
      </c>
      <c r="B97" s="39" t="s">
        <v>378</v>
      </c>
      <c r="C97" s="64" t="s">
        <v>264</v>
      </c>
      <c r="D97" s="5">
        <v>2037.432</v>
      </c>
      <c r="E97" s="45">
        <f t="shared" si="4"/>
        <v>62.594479717605296</v>
      </c>
      <c r="F97" s="10">
        <f>SUM(D97-1064.43798-210.88298)+0.001</f>
        <v>762.1120400000001</v>
      </c>
      <c r="G97" s="3">
        <f>762.112-721.534</f>
        <v>40.577999999999975</v>
      </c>
      <c r="H97" s="29" t="s">
        <v>169</v>
      </c>
    </row>
    <row r="98" spans="1:8" ht="112.5" customHeight="1">
      <c r="A98" s="30">
        <v>170703</v>
      </c>
      <c r="B98" s="39" t="s">
        <v>378</v>
      </c>
      <c r="C98" s="39" t="s">
        <v>187</v>
      </c>
      <c r="D98" s="5">
        <v>2489.88</v>
      </c>
      <c r="E98" s="45">
        <f t="shared" si="4"/>
        <v>94.85133701222549</v>
      </c>
      <c r="F98" s="5">
        <f>SUM(D98-98.21146-96.41545-283.54791-696.4574-357.58275-829.4705)+0.001</f>
        <v>128.1955300000001</v>
      </c>
      <c r="G98" s="5">
        <v>37.49</v>
      </c>
      <c r="H98" s="29" t="s">
        <v>169</v>
      </c>
    </row>
    <row r="99" spans="1:8" ht="112.5" customHeight="1">
      <c r="A99" s="30">
        <v>170703</v>
      </c>
      <c r="B99" s="39" t="s">
        <v>378</v>
      </c>
      <c r="C99" s="39" t="s">
        <v>396</v>
      </c>
      <c r="D99" s="5">
        <v>10526.268</v>
      </c>
      <c r="E99" s="45">
        <f t="shared" si="4"/>
        <v>4.464502423841012</v>
      </c>
      <c r="F99" s="5">
        <f>D99-(60.3528+37.0812+318.25743+30.4963+23.75776)</f>
        <v>10056.32251</v>
      </c>
      <c r="G99" s="5">
        <f>1726.849-1710.667</f>
        <v>16.182000000000016</v>
      </c>
      <c r="H99" s="29" t="s">
        <v>169</v>
      </c>
    </row>
    <row r="100" spans="1:8" ht="61.5" customHeight="1">
      <c r="A100" s="43" t="s">
        <v>167</v>
      </c>
      <c r="B100" s="39" t="s">
        <v>166</v>
      </c>
      <c r="C100" s="39" t="s">
        <v>412</v>
      </c>
      <c r="D100" s="5">
        <v>5103.496</v>
      </c>
      <c r="E100" s="45">
        <f t="shared" si="4"/>
        <v>0</v>
      </c>
      <c r="F100" s="5">
        <f>SUM(D100)</f>
        <v>5103.496</v>
      </c>
      <c r="G100" s="5">
        <v>232.047</v>
      </c>
      <c r="H100" s="29" t="s">
        <v>169</v>
      </c>
    </row>
    <row r="101" spans="1:8" s="55" customFormat="1" ht="77.25" customHeight="1">
      <c r="A101" s="43" t="s">
        <v>167</v>
      </c>
      <c r="B101" s="39" t="s">
        <v>166</v>
      </c>
      <c r="C101" s="39" t="s">
        <v>61</v>
      </c>
      <c r="D101" s="5">
        <v>1732.413</v>
      </c>
      <c r="E101" s="45">
        <f t="shared" si="4"/>
        <v>29.817580449927362</v>
      </c>
      <c r="F101" s="5">
        <f>SUM(D101-38.64-477.92464)+0.001</f>
        <v>1215.84936</v>
      </c>
      <c r="G101" s="5">
        <f>700.849+320+195</f>
        <v>1215.8490000000002</v>
      </c>
      <c r="H101" s="29" t="s">
        <v>169</v>
      </c>
    </row>
    <row r="102" spans="1:8" ht="114.75" customHeight="1">
      <c r="A102" s="30">
        <v>170703</v>
      </c>
      <c r="B102" s="39" t="s">
        <v>378</v>
      </c>
      <c r="C102" s="53" t="s">
        <v>438</v>
      </c>
      <c r="D102" s="5">
        <v>5506.24</v>
      </c>
      <c r="E102" s="45">
        <f t="shared" si="4"/>
        <v>49.68996792729704</v>
      </c>
      <c r="F102" s="5">
        <f>D102-169.644-100.74664-35.67428-1704.05949-725.92548+0.001</f>
        <v>2770.1911099999993</v>
      </c>
      <c r="G102" s="5">
        <f>532.558+2237.633</f>
        <v>2770.191</v>
      </c>
      <c r="H102" s="29" t="s">
        <v>169</v>
      </c>
    </row>
    <row r="103" spans="1:8" ht="56.25" customHeight="1">
      <c r="A103" s="43" t="s">
        <v>167</v>
      </c>
      <c r="B103" s="39" t="s">
        <v>166</v>
      </c>
      <c r="C103" s="39" t="s">
        <v>188</v>
      </c>
      <c r="D103" s="5">
        <v>11704.046</v>
      </c>
      <c r="E103" s="45">
        <f t="shared" si="4"/>
        <v>32.63107689426376</v>
      </c>
      <c r="F103" s="129">
        <f>D103-83.80703-106.15176-11.81917-25.61054-3591.76775</f>
        <v>7884.889749999999</v>
      </c>
      <c r="G103" s="5">
        <v>7884.89</v>
      </c>
      <c r="H103" s="29" t="s">
        <v>169</v>
      </c>
    </row>
    <row r="104" spans="1:8" ht="45" customHeight="1">
      <c r="A104" s="43" t="s">
        <v>167</v>
      </c>
      <c r="B104" s="39" t="s">
        <v>166</v>
      </c>
      <c r="C104" s="39" t="s">
        <v>430</v>
      </c>
      <c r="D104" s="5">
        <v>13521.674</v>
      </c>
      <c r="E104" s="45">
        <f t="shared" si="4"/>
        <v>1.1226107802924474</v>
      </c>
      <c r="F104" s="5">
        <f>SUM(D104-151.79677)+0.001</f>
        <v>13369.87823</v>
      </c>
      <c r="G104" s="5">
        <f>3396.924+1429.258</f>
        <v>4826.182</v>
      </c>
      <c r="H104" s="29" t="s">
        <v>169</v>
      </c>
    </row>
    <row r="105" spans="1:8" ht="117" customHeight="1">
      <c r="A105" s="30">
        <v>170703</v>
      </c>
      <c r="B105" s="39" t="s">
        <v>378</v>
      </c>
      <c r="C105" s="59" t="s">
        <v>286</v>
      </c>
      <c r="D105" s="5">
        <v>389.279</v>
      </c>
      <c r="E105" s="45">
        <f t="shared" si="4"/>
        <v>82.4145330213035</v>
      </c>
      <c r="F105" s="5">
        <f>SUM(D105-60-1.5211-259.30137)</f>
        <v>68.45652999999999</v>
      </c>
      <c r="G105" s="5">
        <v>0.654</v>
      </c>
      <c r="H105" s="29" t="s">
        <v>169</v>
      </c>
    </row>
    <row r="106" spans="1:8" ht="58.5" customHeight="1">
      <c r="A106" s="43" t="s">
        <v>167</v>
      </c>
      <c r="B106" s="39" t="s">
        <v>166</v>
      </c>
      <c r="C106" s="39" t="s">
        <v>192</v>
      </c>
      <c r="D106" s="5">
        <v>600</v>
      </c>
      <c r="E106" s="45">
        <f t="shared" si="4"/>
        <v>20.558126666666666</v>
      </c>
      <c r="F106" s="5">
        <f>SUM(D106-1.54756-121.8012)</f>
        <v>476.65124000000003</v>
      </c>
      <c r="G106" s="5">
        <v>2.496</v>
      </c>
      <c r="H106" s="29" t="s">
        <v>169</v>
      </c>
    </row>
    <row r="107" spans="1:8" ht="114" customHeight="1">
      <c r="A107" s="30">
        <v>170703</v>
      </c>
      <c r="B107" s="39" t="s">
        <v>378</v>
      </c>
      <c r="C107" s="66" t="s">
        <v>40</v>
      </c>
      <c r="D107" s="8">
        <v>621.234</v>
      </c>
      <c r="E107" s="45">
        <f t="shared" si="4"/>
        <v>6.129516414104813</v>
      </c>
      <c r="F107" s="6">
        <f>SUM(D107-38.07864)</f>
        <v>583.1553600000001</v>
      </c>
      <c r="G107" s="8">
        <v>537.06</v>
      </c>
      <c r="H107" s="29" t="s">
        <v>169</v>
      </c>
    </row>
    <row r="108" spans="1:8" ht="114" customHeight="1">
      <c r="A108" s="30">
        <v>170703</v>
      </c>
      <c r="B108" s="39" t="s">
        <v>378</v>
      </c>
      <c r="C108" s="67" t="s">
        <v>229</v>
      </c>
      <c r="D108" s="8">
        <v>489.913</v>
      </c>
      <c r="E108" s="45">
        <f t="shared" si="4"/>
        <v>0</v>
      </c>
      <c r="F108" s="6">
        <f>SUM(D108)</f>
        <v>489.913</v>
      </c>
      <c r="G108" s="8">
        <v>489.913</v>
      </c>
      <c r="H108" s="29" t="s">
        <v>169</v>
      </c>
    </row>
    <row r="109" spans="1:8" ht="111.75" customHeight="1">
      <c r="A109" s="30">
        <v>170703</v>
      </c>
      <c r="B109" s="39" t="s">
        <v>378</v>
      </c>
      <c r="C109" s="62" t="s">
        <v>251</v>
      </c>
      <c r="D109" s="8">
        <v>383.378</v>
      </c>
      <c r="E109" s="45">
        <f t="shared" si="4"/>
        <v>86.85384920365802</v>
      </c>
      <c r="F109" s="6">
        <f>SUM(D109-332.97955)+0.001</f>
        <v>50.399449999999966</v>
      </c>
      <c r="G109" s="8">
        <v>50.399</v>
      </c>
      <c r="H109" s="29" t="s">
        <v>169</v>
      </c>
    </row>
    <row r="110" spans="1:8" ht="117.75" customHeight="1">
      <c r="A110" s="30">
        <v>170703</v>
      </c>
      <c r="B110" s="39" t="s">
        <v>378</v>
      </c>
      <c r="C110" s="62" t="s">
        <v>231</v>
      </c>
      <c r="D110" s="8">
        <v>240</v>
      </c>
      <c r="E110" s="45">
        <f t="shared" si="4"/>
        <v>52.322020833333326</v>
      </c>
      <c r="F110" s="6">
        <f>SUM(D110-125.57385)+0.001</f>
        <v>114.42715000000001</v>
      </c>
      <c r="G110" s="8">
        <v>50</v>
      </c>
      <c r="H110" s="29" t="s">
        <v>169</v>
      </c>
    </row>
    <row r="111" spans="1:8" ht="117.75" customHeight="1">
      <c r="A111" s="30">
        <v>170703</v>
      </c>
      <c r="B111" s="39" t="s">
        <v>378</v>
      </c>
      <c r="C111" s="39" t="s">
        <v>247</v>
      </c>
      <c r="D111" s="5">
        <v>250</v>
      </c>
      <c r="E111" s="45">
        <f t="shared" si="4"/>
        <v>0</v>
      </c>
      <c r="F111" s="6">
        <f>SUM(D111)</f>
        <v>250</v>
      </c>
      <c r="G111" s="5">
        <v>150</v>
      </c>
      <c r="H111" s="29" t="s">
        <v>169</v>
      </c>
    </row>
    <row r="112" spans="1:9" s="55" customFormat="1" ht="54.75" customHeight="1">
      <c r="A112" s="43" t="s">
        <v>167</v>
      </c>
      <c r="B112" s="39" t="s">
        <v>166</v>
      </c>
      <c r="C112" s="39" t="s">
        <v>354</v>
      </c>
      <c r="D112" s="5">
        <v>1400.465</v>
      </c>
      <c r="E112" s="45">
        <f t="shared" si="4"/>
        <v>61.24248874480976</v>
      </c>
      <c r="F112" s="5">
        <f>SUM(D112-148.21968-709.46094)+0.001</f>
        <v>542.7853799999999</v>
      </c>
      <c r="G112" s="5">
        <f>362.785+180</f>
        <v>542.7850000000001</v>
      </c>
      <c r="H112" s="29" t="s">
        <v>169</v>
      </c>
      <c r="I112" s="1"/>
    </row>
    <row r="113" spans="1:8" ht="79.5" customHeight="1">
      <c r="A113" s="43" t="s">
        <v>167</v>
      </c>
      <c r="B113" s="59" t="s">
        <v>166</v>
      </c>
      <c r="C113" s="44" t="s">
        <v>366</v>
      </c>
      <c r="D113" s="6">
        <v>90</v>
      </c>
      <c r="E113" s="45">
        <f t="shared" si="4"/>
        <v>0</v>
      </c>
      <c r="F113" s="6">
        <f>SUM(D113)</f>
        <v>90</v>
      </c>
      <c r="G113" s="6">
        <v>90</v>
      </c>
      <c r="H113" s="29" t="s">
        <v>169</v>
      </c>
    </row>
    <row r="114" spans="1:8" ht="77.25" customHeight="1">
      <c r="A114" s="43" t="s">
        <v>167</v>
      </c>
      <c r="B114" s="59" t="s">
        <v>166</v>
      </c>
      <c r="C114" s="44" t="s">
        <v>367</v>
      </c>
      <c r="D114" s="6">
        <v>150</v>
      </c>
      <c r="E114" s="45">
        <f>100-(F114/D114)*100</f>
        <v>0</v>
      </c>
      <c r="F114" s="6">
        <f>SUM(D114)</f>
        <v>150</v>
      </c>
      <c r="G114" s="6">
        <v>150</v>
      </c>
      <c r="H114" s="29" t="s">
        <v>169</v>
      </c>
    </row>
    <row r="115" spans="1:8" ht="38.25" customHeight="1">
      <c r="A115" s="43" t="s">
        <v>167</v>
      </c>
      <c r="B115" s="59" t="s">
        <v>166</v>
      </c>
      <c r="C115" s="44" t="s">
        <v>41</v>
      </c>
      <c r="D115" s="6">
        <v>3969.917</v>
      </c>
      <c r="E115" s="45">
        <f t="shared" si="4"/>
        <v>2.422386412612653</v>
      </c>
      <c r="F115" s="6">
        <f>SUM(D115-38.81773-57.35)+0.001</f>
        <v>3873.75027</v>
      </c>
      <c r="G115" s="6">
        <f>2607.6</f>
        <v>2607.6</v>
      </c>
      <c r="H115" s="29" t="s">
        <v>169</v>
      </c>
    </row>
    <row r="116" spans="1:8" ht="38.25" customHeight="1">
      <c r="A116" s="43" t="s">
        <v>167</v>
      </c>
      <c r="B116" s="59" t="s">
        <v>166</v>
      </c>
      <c r="C116" s="44" t="s">
        <v>326</v>
      </c>
      <c r="D116" s="6">
        <v>1000</v>
      </c>
      <c r="E116" s="45">
        <f>100-(F116/D116)*100</f>
        <v>0</v>
      </c>
      <c r="F116" s="6">
        <f>SUM(D116)</f>
        <v>1000</v>
      </c>
      <c r="G116" s="6">
        <f>956.994-607.571</f>
        <v>349.423</v>
      </c>
      <c r="H116" s="29" t="s">
        <v>169</v>
      </c>
    </row>
    <row r="117" spans="1:8" ht="112.5" customHeight="1">
      <c r="A117" s="30">
        <v>170703</v>
      </c>
      <c r="B117" s="39" t="s">
        <v>378</v>
      </c>
      <c r="C117" s="62" t="s">
        <v>287</v>
      </c>
      <c r="D117" s="7">
        <v>208.941</v>
      </c>
      <c r="E117" s="45">
        <f t="shared" si="4"/>
        <v>0</v>
      </c>
      <c r="F117" s="6">
        <f>SUM(D117)</f>
        <v>208.941</v>
      </c>
      <c r="G117" s="7">
        <v>208.941</v>
      </c>
      <c r="H117" s="29" t="s">
        <v>169</v>
      </c>
    </row>
    <row r="118" spans="1:8" s="61" customFormat="1" ht="116.25" customHeight="1">
      <c r="A118" s="30">
        <v>170703</v>
      </c>
      <c r="B118" s="39" t="s">
        <v>378</v>
      </c>
      <c r="C118" s="64" t="s">
        <v>397</v>
      </c>
      <c r="D118" s="5">
        <v>4797.126</v>
      </c>
      <c r="E118" s="45">
        <f t="shared" si="4"/>
        <v>2.5431831475762863</v>
      </c>
      <c r="F118" s="5">
        <f>SUM(D118-64.34-57.6597)</f>
        <v>4675.1263</v>
      </c>
      <c r="G118" s="5">
        <f>13.95+26.343</f>
        <v>40.293</v>
      </c>
      <c r="H118" s="29"/>
    </row>
    <row r="119" spans="1:8" s="61" customFormat="1" ht="111" customHeight="1">
      <c r="A119" s="30">
        <v>170703</v>
      </c>
      <c r="B119" s="39" t="s">
        <v>378</v>
      </c>
      <c r="C119" s="39" t="s">
        <v>376</v>
      </c>
      <c r="D119" s="5">
        <v>250</v>
      </c>
      <c r="E119" s="45">
        <f>100-(F119/D119)*100</f>
        <v>0</v>
      </c>
      <c r="F119" s="5">
        <f>SUM(D119)</f>
        <v>250</v>
      </c>
      <c r="G119" s="5">
        <v>250</v>
      </c>
      <c r="H119" s="29" t="s">
        <v>169</v>
      </c>
    </row>
    <row r="120" spans="1:8" s="61" customFormat="1" ht="75.75" customHeight="1">
      <c r="A120" s="30">
        <v>150101</v>
      </c>
      <c r="B120" s="39" t="s">
        <v>166</v>
      </c>
      <c r="C120" s="68" t="s">
        <v>30</v>
      </c>
      <c r="D120" s="5">
        <v>996.506</v>
      </c>
      <c r="E120" s="45">
        <f>100-(F120/D120)*100</f>
        <v>0</v>
      </c>
      <c r="F120" s="5">
        <f>SUM(D120)</f>
        <v>996.506</v>
      </c>
      <c r="G120" s="5">
        <v>996.506</v>
      </c>
      <c r="H120" s="29" t="s">
        <v>189</v>
      </c>
    </row>
    <row r="121" spans="1:8" s="61" customFormat="1" ht="62.25" customHeight="1">
      <c r="A121" s="30">
        <v>150101</v>
      </c>
      <c r="B121" s="39" t="s">
        <v>166</v>
      </c>
      <c r="C121" s="46" t="s">
        <v>60</v>
      </c>
      <c r="D121" s="5">
        <v>76.71</v>
      </c>
      <c r="E121" s="45">
        <f>100-(F121/D121)*100</f>
        <v>0</v>
      </c>
      <c r="F121" s="5">
        <f>SUM(D121)</f>
        <v>76.71</v>
      </c>
      <c r="G121" s="5">
        <v>76.71</v>
      </c>
      <c r="H121" s="29" t="s">
        <v>169</v>
      </c>
    </row>
    <row r="122" spans="1:8" ht="39.75" customHeight="1">
      <c r="A122" s="30">
        <v>150101</v>
      </c>
      <c r="B122" s="39" t="s">
        <v>166</v>
      </c>
      <c r="C122" s="62" t="s">
        <v>230</v>
      </c>
      <c r="D122" s="7">
        <v>1113.484</v>
      </c>
      <c r="E122" s="45">
        <f t="shared" si="4"/>
        <v>3.0270951356283575</v>
      </c>
      <c r="F122" s="6">
        <f>SUM(D122-33.70622)</f>
        <v>1079.77778</v>
      </c>
      <c r="G122" s="7">
        <v>1079.778</v>
      </c>
      <c r="H122" s="29" t="s">
        <v>169</v>
      </c>
    </row>
    <row r="123" spans="1:8" ht="98.25" customHeight="1">
      <c r="A123" s="30">
        <v>150101</v>
      </c>
      <c r="B123" s="39" t="s">
        <v>166</v>
      </c>
      <c r="C123" s="62" t="s">
        <v>35</v>
      </c>
      <c r="D123" s="7">
        <v>1199.572</v>
      </c>
      <c r="E123" s="45">
        <f t="shared" si="4"/>
        <v>0</v>
      </c>
      <c r="F123" s="6">
        <v>1199.572</v>
      </c>
      <c r="G123" s="7">
        <v>1199.572</v>
      </c>
      <c r="H123" s="29" t="s">
        <v>169</v>
      </c>
    </row>
    <row r="124" spans="1:8" ht="37.5" customHeight="1">
      <c r="A124" s="30">
        <v>150101</v>
      </c>
      <c r="B124" s="39" t="s">
        <v>166</v>
      </c>
      <c r="C124" s="62" t="s">
        <v>288</v>
      </c>
      <c r="D124" s="7">
        <v>540.156</v>
      </c>
      <c r="E124" s="45">
        <f t="shared" si="4"/>
        <v>4.851931664185898</v>
      </c>
      <c r="F124" s="6">
        <f>SUM(D124-26.208)</f>
        <v>513.948</v>
      </c>
      <c r="G124" s="7">
        <v>513.948</v>
      </c>
      <c r="H124" s="29" t="s">
        <v>169</v>
      </c>
    </row>
    <row r="125" spans="1:8" ht="58.5" customHeight="1">
      <c r="A125" s="30">
        <v>150101</v>
      </c>
      <c r="B125" s="39" t="s">
        <v>166</v>
      </c>
      <c r="C125" s="66" t="s">
        <v>249</v>
      </c>
      <c r="D125" s="9">
        <v>92.492</v>
      </c>
      <c r="E125" s="45">
        <f t="shared" si="4"/>
        <v>0</v>
      </c>
      <c r="F125" s="6">
        <f>SUM(D125)</f>
        <v>92.492</v>
      </c>
      <c r="G125" s="9">
        <v>92.492</v>
      </c>
      <c r="H125" s="29" t="s">
        <v>169</v>
      </c>
    </row>
    <row r="126" spans="1:8" ht="38.25" customHeight="1">
      <c r="A126" s="30">
        <v>150101</v>
      </c>
      <c r="B126" s="39" t="s">
        <v>166</v>
      </c>
      <c r="C126" s="62" t="s">
        <v>265</v>
      </c>
      <c r="D126" s="7">
        <v>1705.594</v>
      </c>
      <c r="E126" s="45">
        <f t="shared" si="4"/>
        <v>0</v>
      </c>
      <c r="F126" s="6">
        <f>SUM(D126)</f>
        <v>1705.594</v>
      </c>
      <c r="G126" s="7">
        <f>1705.594-62.869</f>
        <v>1642.7250000000001</v>
      </c>
      <c r="H126" s="29" t="s">
        <v>169</v>
      </c>
    </row>
    <row r="127" spans="1:8" ht="55.5" customHeight="1">
      <c r="A127" s="30">
        <v>150101</v>
      </c>
      <c r="B127" s="39" t="s">
        <v>166</v>
      </c>
      <c r="C127" s="62" t="s">
        <v>365</v>
      </c>
      <c r="D127" s="7">
        <v>90</v>
      </c>
      <c r="E127" s="45">
        <f t="shared" si="4"/>
        <v>0</v>
      </c>
      <c r="F127" s="6">
        <f>SUM(D127)</f>
        <v>90</v>
      </c>
      <c r="G127" s="7">
        <v>90</v>
      </c>
      <c r="H127" s="29" t="s">
        <v>169</v>
      </c>
    </row>
    <row r="128" spans="1:8" ht="57.75" customHeight="1">
      <c r="A128" s="30">
        <v>150101</v>
      </c>
      <c r="B128" s="39" t="s">
        <v>166</v>
      </c>
      <c r="C128" s="62" t="s">
        <v>377</v>
      </c>
      <c r="D128" s="7">
        <v>66.541</v>
      </c>
      <c r="E128" s="45">
        <f>100-(F128/D128)*100</f>
        <v>0</v>
      </c>
      <c r="F128" s="6">
        <f>SUM(D128)</f>
        <v>66.541</v>
      </c>
      <c r="G128" s="7">
        <v>66.541</v>
      </c>
      <c r="H128" s="29" t="s">
        <v>169</v>
      </c>
    </row>
    <row r="129" spans="1:8" s="65" customFormat="1" ht="47.25" customHeight="1">
      <c r="A129" s="43" t="s">
        <v>167</v>
      </c>
      <c r="B129" s="39" t="s">
        <v>166</v>
      </c>
      <c r="C129" s="39" t="s">
        <v>24</v>
      </c>
      <c r="D129" s="10">
        <v>443.006</v>
      </c>
      <c r="E129" s="45">
        <v>0</v>
      </c>
      <c r="F129" s="5">
        <f>D129</f>
        <v>443.006</v>
      </c>
      <c r="G129" s="10">
        <v>443.006</v>
      </c>
      <c r="H129" s="29" t="s">
        <v>169</v>
      </c>
    </row>
    <row r="130" spans="1:8" ht="57.75" customHeight="1">
      <c r="A130" s="43" t="s">
        <v>167</v>
      </c>
      <c r="B130" s="39" t="s">
        <v>166</v>
      </c>
      <c r="C130" s="39" t="s">
        <v>289</v>
      </c>
      <c r="D130" s="3">
        <v>376.904</v>
      </c>
      <c r="E130" s="45">
        <f>100-(F130/D130)*100</f>
        <v>2.8818717763674613</v>
      </c>
      <c r="F130" s="10">
        <f>SUM(D130-10.86189)</f>
        <v>366.04211</v>
      </c>
      <c r="G130" s="3">
        <v>18.385</v>
      </c>
      <c r="H130" s="29" t="s">
        <v>169</v>
      </c>
    </row>
    <row r="131" spans="1:8" ht="38.25" customHeight="1">
      <c r="A131" s="43" t="s">
        <v>167</v>
      </c>
      <c r="B131" s="39" t="s">
        <v>166</v>
      </c>
      <c r="C131" s="39" t="s">
        <v>191</v>
      </c>
      <c r="D131" s="5">
        <v>7999.556</v>
      </c>
      <c r="E131" s="45">
        <f>100-(F131/D131)*100</f>
        <v>4.198549394491394</v>
      </c>
      <c r="F131" s="5">
        <f>SUM(D131-197.6733-138.19201)</f>
        <v>7663.690689999999</v>
      </c>
      <c r="G131" s="5">
        <v>32</v>
      </c>
      <c r="H131" s="29" t="s">
        <v>169</v>
      </c>
    </row>
    <row r="132" spans="1:8" s="55" customFormat="1" ht="62.25" customHeight="1">
      <c r="A132" s="43" t="s">
        <v>167</v>
      </c>
      <c r="B132" s="39" t="s">
        <v>166</v>
      </c>
      <c r="C132" s="39" t="s">
        <v>245</v>
      </c>
      <c r="D132" s="5">
        <v>164.449</v>
      </c>
      <c r="E132" s="45">
        <v>0</v>
      </c>
      <c r="F132" s="5">
        <v>164.449</v>
      </c>
      <c r="G132" s="5">
        <v>164.449</v>
      </c>
      <c r="H132" s="29" t="s">
        <v>346</v>
      </c>
    </row>
    <row r="133" spans="1:8" ht="58.5" customHeight="1">
      <c r="A133" s="43" t="s">
        <v>167</v>
      </c>
      <c r="B133" s="39" t="s">
        <v>166</v>
      </c>
      <c r="C133" s="39" t="s">
        <v>290</v>
      </c>
      <c r="D133" s="5">
        <v>19.433</v>
      </c>
      <c r="E133" s="45">
        <f>100-(F133/D133)*100</f>
        <v>0</v>
      </c>
      <c r="F133" s="6">
        <f>SUM(D133)</f>
        <v>19.433</v>
      </c>
      <c r="G133" s="5">
        <v>17.44</v>
      </c>
      <c r="H133" s="29" t="s">
        <v>189</v>
      </c>
    </row>
    <row r="134" spans="1:8" ht="63" customHeight="1">
      <c r="A134" s="43" t="s">
        <v>167</v>
      </c>
      <c r="B134" s="39" t="s">
        <v>166</v>
      </c>
      <c r="C134" s="46" t="s">
        <v>439</v>
      </c>
      <c r="D134" s="5">
        <v>374.435</v>
      </c>
      <c r="E134" s="45">
        <f>100-(F134/D134)*100</f>
        <v>0</v>
      </c>
      <c r="F134" s="5">
        <v>374.435</v>
      </c>
      <c r="G134" s="5">
        <v>374.435</v>
      </c>
      <c r="H134" s="29"/>
    </row>
    <row r="135" spans="1:8" ht="94.5" customHeight="1">
      <c r="A135" s="43" t="s">
        <v>167</v>
      </c>
      <c r="B135" s="39" t="s">
        <v>166</v>
      </c>
      <c r="C135" s="39" t="s">
        <v>398</v>
      </c>
      <c r="D135" s="5">
        <v>7724.916</v>
      </c>
      <c r="E135" s="45">
        <f>100-(F135/D135)*100</f>
        <v>50.88013902028191</v>
      </c>
      <c r="F135" s="5">
        <v>3794.468</v>
      </c>
      <c r="G135" s="5">
        <v>3794.468</v>
      </c>
      <c r="H135" s="29" t="s">
        <v>169</v>
      </c>
    </row>
    <row r="136" spans="1:8" s="55" customFormat="1" ht="37.5" customHeight="1">
      <c r="A136" s="43" t="s">
        <v>167</v>
      </c>
      <c r="B136" s="39" t="s">
        <v>166</v>
      </c>
      <c r="C136" s="62" t="s">
        <v>319</v>
      </c>
      <c r="D136" s="7">
        <v>13492.94</v>
      </c>
      <c r="E136" s="45">
        <f>100-(F136/D136)*100</f>
        <v>21.412500166753873</v>
      </c>
      <c r="F136" s="7">
        <v>10603.7642</v>
      </c>
      <c r="G136" s="5">
        <f>500-119.107</f>
        <v>380.89300000000003</v>
      </c>
      <c r="H136" s="29" t="s">
        <v>169</v>
      </c>
    </row>
    <row r="137" spans="1:8" ht="72.75" customHeight="1">
      <c r="A137" s="43" t="s">
        <v>184</v>
      </c>
      <c r="B137" s="39" t="s">
        <v>185</v>
      </c>
      <c r="C137" s="39" t="s">
        <v>185</v>
      </c>
      <c r="D137" s="5"/>
      <c r="E137" s="45"/>
      <c r="F137" s="5"/>
      <c r="G137" s="5">
        <f>3870.326-3870.326</f>
        <v>0</v>
      </c>
      <c r="H137" s="29"/>
    </row>
    <row r="138" spans="1:8" s="65" customFormat="1" ht="40.5" customHeight="1">
      <c r="A138" s="43"/>
      <c r="B138" s="39"/>
      <c r="C138" s="69" t="s">
        <v>291</v>
      </c>
      <c r="D138" s="4">
        <f>SUM(D139:D150)</f>
        <v>2879.0952</v>
      </c>
      <c r="E138" s="69"/>
      <c r="F138" s="4">
        <f>SUM(F139:F150)</f>
        <v>2663.7999</v>
      </c>
      <c r="G138" s="4">
        <f>SUM(G139:G150)</f>
        <v>2221.057</v>
      </c>
      <c r="H138" s="70"/>
    </row>
    <row r="139" spans="1:8" ht="38.25" customHeight="1">
      <c r="A139" s="43" t="s">
        <v>167</v>
      </c>
      <c r="B139" s="39" t="s">
        <v>166</v>
      </c>
      <c r="C139" s="59" t="s">
        <v>296</v>
      </c>
      <c r="D139" s="6">
        <v>267.878</v>
      </c>
      <c r="E139" s="45">
        <f>100-(F139/D139)*100</f>
        <v>32.239862922673765</v>
      </c>
      <c r="F139" s="6">
        <f>SUM(D139-27.8161-58.5474)</f>
        <v>181.51449999999997</v>
      </c>
      <c r="G139" s="6">
        <v>181.515</v>
      </c>
      <c r="H139" s="29"/>
    </row>
    <row r="140" spans="1:8" ht="40.5" customHeight="1">
      <c r="A140" s="43" t="s">
        <v>167</v>
      </c>
      <c r="B140" s="39" t="s">
        <v>166</v>
      </c>
      <c r="C140" s="59" t="s">
        <v>297</v>
      </c>
      <c r="D140" s="6">
        <v>253.469</v>
      </c>
      <c r="E140" s="45">
        <f>100-(F140/D140)*100</f>
        <v>31.107977701415166</v>
      </c>
      <c r="F140" s="6">
        <f>SUM(D140-24.8546-53.99448)</f>
        <v>174.61991999999998</v>
      </c>
      <c r="G140" s="6">
        <v>174.62</v>
      </c>
      <c r="H140" s="29"/>
    </row>
    <row r="141" spans="1:8" ht="55.5" customHeight="1">
      <c r="A141" s="43" t="s">
        <v>167</v>
      </c>
      <c r="B141" s="39" t="s">
        <v>166</v>
      </c>
      <c r="C141" s="59" t="s">
        <v>298</v>
      </c>
      <c r="D141" s="6">
        <v>307.135</v>
      </c>
      <c r="E141" s="45">
        <f>100-(F141/D141)*100</f>
        <v>8.39292167939179</v>
      </c>
      <c r="F141" s="6">
        <f>SUM(D141-24.8546-0.924)+0.001</f>
        <v>281.3574</v>
      </c>
      <c r="G141" s="6">
        <v>281.356</v>
      </c>
      <c r="H141" s="29"/>
    </row>
    <row r="142" spans="1:8" s="55" customFormat="1" ht="57" customHeight="1">
      <c r="A142" s="43" t="s">
        <v>167</v>
      </c>
      <c r="B142" s="39" t="s">
        <v>166</v>
      </c>
      <c r="C142" s="39" t="s">
        <v>21</v>
      </c>
      <c r="D142" s="5">
        <v>204.634</v>
      </c>
      <c r="E142" s="45">
        <v>0</v>
      </c>
      <c r="F142" s="6">
        <f>SUM(D142-24.30512)</f>
        <v>180.32888</v>
      </c>
      <c r="G142" s="5">
        <v>180.329</v>
      </c>
      <c r="H142" s="29"/>
    </row>
    <row r="143" spans="1:8" ht="79.5" customHeight="1">
      <c r="A143" s="43" t="s">
        <v>167</v>
      </c>
      <c r="B143" s="39" t="s">
        <v>166</v>
      </c>
      <c r="C143" s="66" t="s">
        <v>64</v>
      </c>
      <c r="D143" s="8">
        <v>204.811</v>
      </c>
      <c r="E143" s="45">
        <f aca="true" t="shared" si="5" ref="E143:E150">100-(F143/D143)*100</f>
        <v>0</v>
      </c>
      <c r="F143" s="6">
        <f aca="true" t="shared" si="6" ref="F143:F150">SUM(D143)</f>
        <v>204.811</v>
      </c>
      <c r="G143" s="8">
        <f>108.613+96.198</f>
        <v>204.81099999999998</v>
      </c>
      <c r="H143" s="29"/>
    </row>
    <row r="144" spans="1:8" ht="39.75" customHeight="1">
      <c r="A144" s="43" t="s">
        <v>167</v>
      </c>
      <c r="B144" s="39" t="s">
        <v>166</v>
      </c>
      <c r="C144" s="66" t="s">
        <v>48</v>
      </c>
      <c r="D144" s="8">
        <v>198.316</v>
      </c>
      <c r="E144" s="45">
        <f t="shared" si="5"/>
        <v>0</v>
      </c>
      <c r="F144" s="6">
        <f t="shared" si="6"/>
        <v>198.316</v>
      </c>
      <c r="G144" s="8">
        <f>198.316-168.316</f>
        <v>30</v>
      </c>
      <c r="H144" s="29"/>
    </row>
    <row r="145" spans="1:8" ht="61.5" customHeight="1">
      <c r="A145" s="43" t="s">
        <v>167</v>
      </c>
      <c r="B145" s="39" t="s">
        <v>166</v>
      </c>
      <c r="C145" s="66" t="s">
        <v>19</v>
      </c>
      <c r="D145" s="8">
        <v>191.5932</v>
      </c>
      <c r="E145" s="45">
        <f t="shared" si="5"/>
        <v>0</v>
      </c>
      <c r="F145" s="6">
        <f t="shared" si="6"/>
        <v>191.5932</v>
      </c>
      <c r="G145" s="8">
        <f>191.593-128.804</f>
        <v>62.78899999999999</v>
      </c>
      <c r="H145" s="29"/>
    </row>
    <row r="146" spans="1:8" ht="71.25" customHeight="1">
      <c r="A146" s="43" t="s">
        <v>167</v>
      </c>
      <c r="B146" s="39" t="s">
        <v>166</v>
      </c>
      <c r="C146" s="66" t="s">
        <v>269</v>
      </c>
      <c r="D146" s="8">
        <v>193.084</v>
      </c>
      <c r="E146" s="45">
        <f t="shared" si="5"/>
        <v>0</v>
      </c>
      <c r="F146" s="6">
        <f t="shared" si="6"/>
        <v>193.084</v>
      </c>
      <c r="G146" s="8">
        <v>47.462</v>
      </c>
      <c r="H146" s="29"/>
    </row>
    <row r="147" spans="1:8" ht="50.25" customHeight="1">
      <c r="A147" s="43" t="s">
        <v>167</v>
      </c>
      <c r="B147" s="39" t="s">
        <v>166</v>
      </c>
      <c r="C147" s="66" t="s">
        <v>66</v>
      </c>
      <c r="D147" s="8">
        <v>345.424</v>
      </c>
      <c r="E147" s="45">
        <f t="shared" si="5"/>
        <v>0</v>
      </c>
      <c r="F147" s="6">
        <f t="shared" si="6"/>
        <v>345.424</v>
      </c>
      <c r="G147" s="8">
        <f>275.876+69.548</f>
        <v>345.424</v>
      </c>
      <c r="H147" s="29"/>
    </row>
    <row r="148" spans="1:8" ht="39" customHeight="1">
      <c r="A148" s="43" t="s">
        <v>167</v>
      </c>
      <c r="B148" s="39" t="s">
        <v>166</v>
      </c>
      <c r="C148" s="66" t="s">
        <v>18</v>
      </c>
      <c r="D148" s="8">
        <v>215.23</v>
      </c>
      <c r="E148" s="45">
        <f t="shared" si="5"/>
        <v>0</v>
      </c>
      <c r="F148" s="6">
        <f t="shared" si="6"/>
        <v>215.23</v>
      </c>
      <c r="G148" s="8">
        <v>215.23</v>
      </c>
      <c r="H148" s="29"/>
    </row>
    <row r="149" spans="1:8" ht="53.25" customHeight="1">
      <c r="A149" s="43" t="s">
        <v>167</v>
      </c>
      <c r="B149" s="39" t="s">
        <v>166</v>
      </c>
      <c r="C149" s="39" t="s">
        <v>65</v>
      </c>
      <c r="D149" s="5">
        <v>350.387</v>
      </c>
      <c r="E149" s="45">
        <f t="shared" si="5"/>
        <v>0</v>
      </c>
      <c r="F149" s="6">
        <f t="shared" si="6"/>
        <v>350.387</v>
      </c>
      <c r="G149" s="5">
        <f>219.013+131.374</f>
        <v>350.387</v>
      </c>
      <c r="H149" s="29"/>
    </row>
    <row r="150" spans="1:8" s="65" customFormat="1" ht="64.5" customHeight="1">
      <c r="A150" s="43" t="s">
        <v>167</v>
      </c>
      <c r="B150" s="39" t="s">
        <v>166</v>
      </c>
      <c r="C150" s="71" t="s">
        <v>20</v>
      </c>
      <c r="D150" s="3">
        <v>147.134</v>
      </c>
      <c r="E150" s="3">
        <f t="shared" si="5"/>
        <v>0</v>
      </c>
      <c r="F150" s="3">
        <f t="shared" si="6"/>
        <v>147.134</v>
      </c>
      <c r="G150" s="3">
        <v>147.134</v>
      </c>
      <c r="H150" s="70"/>
    </row>
    <row r="151" spans="1:8" s="65" customFormat="1" ht="42.75" customHeight="1">
      <c r="A151" s="43"/>
      <c r="B151" s="39"/>
      <c r="C151" s="72" t="s">
        <v>320</v>
      </c>
      <c r="D151" s="4">
        <f>SUM(D152:D178)</f>
        <v>3000.353</v>
      </c>
      <c r="E151" s="69"/>
      <c r="F151" s="4">
        <f>SUM(F152:F178)</f>
        <v>2970.47392</v>
      </c>
      <c r="G151" s="4">
        <f>SUM(G152:G178)</f>
        <v>2856.5239999999994</v>
      </c>
      <c r="H151" s="70"/>
    </row>
    <row r="152" spans="1:8" s="65" customFormat="1" ht="59.25" customHeight="1">
      <c r="A152" s="30">
        <v>150101</v>
      </c>
      <c r="B152" s="39" t="s">
        <v>166</v>
      </c>
      <c r="C152" s="60" t="s">
        <v>299</v>
      </c>
      <c r="D152" s="5">
        <v>62.814</v>
      </c>
      <c r="E152" s="45">
        <f aca="true" t="shared" si="7" ref="E152:E177">100-(F152/D152)*100</f>
        <v>0</v>
      </c>
      <c r="F152" s="5">
        <f>SUM(D152)</f>
        <v>62.814</v>
      </c>
      <c r="G152" s="5">
        <v>62.814</v>
      </c>
      <c r="H152" s="29"/>
    </row>
    <row r="153" spans="1:8" s="61" customFormat="1" ht="56.25" customHeight="1">
      <c r="A153" s="30">
        <v>150101</v>
      </c>
      <c r="B153" s="39" t="s">
        <v>166</v>
      </c>
      <c r="C153" s="39" t="s">
        <v>300</v>
      </c>
      <c r="D153" s="5">
        <v>94.582</v>
      </c>
      <c r="E153" s="45">
        <f t="shared" si="7"/>
        <v>7.830676027151043</v>
      </c>
      <c r="F153" s="5">
        <f>SUM(D153-7.40641)</f>
        <v>87.17559</v>
      </c>
      <c r="G153" s="5">
        <v>87.176</v>
      </c>
      <c r="H153" s="29"/>
    </row>
    <row r="154" spans="1:8" s="61" customFormat="1" ht="77.25" customHeight="1">
      <c r="A154" s="30">
        <v>150101</v>
      </c>
      <c r="B154" s="39" t="s">
        <v>166</v>
      </c>
      <c r="C154" s="39" t="s">
        <v>1</v>
      </c>
      <c r="D154" s="5">
        <v>79.883</v>
      </c>
      <c r="E154" s="45">
        <f t="shared" si="7"/>
        <v>0</v>
      </c>
      <c r="F154" s="5">
        <v>79.883</v>
      </c>
      <c r="G154" s="5">
        <v>79.883</v>
      </c>
      <c r="H154" s="29"/>
    </row>
    <row r="155" spans="1:8" s="61" customFormat="1" ht="63.75" customHeight="1">
      <c r="A155" s="30">
        <v>150101</v>
      </c>
      <c r="B155" s="39" t="s">
        <v>166</v>
      </c>
      <c r="C155" s="39" t="s">
        <v>2</v>
      </c>
      <c r="D155" s="5">
        <v>36.08</v>
      </c>
      <c r="E155" s="45">
        <f t="shared" si="7"/>
        <v>0</v>
      </c>
      <c r="F155" s="5">
        <v>36.08</v>
      </c>
      <c r="G155" s="5">
        <v>36.08</v>
      </c>
      <c r="H155" s="29"/>
    </row>
    <row r="156" spans="1:8" s="61" customFormat="1" ht="63.75" customHeight="1">
      <c r="A156" s="30">
        <v>150101</v>
      </c>
      <c r="B156" s="39" t="s">
        <v>166</v>
      </c>
      <c r="C156" s="39" t="s">
        <v>3</v>
      </c>
      <c r="D156" s="5">
        <v>59.628</v>
      </c>
      <c r="E156" s="45">
        <f t="shared" si="7"/>
        <v>12.562705440397124</v>
      </c>
      <c r="F156" s="6">
        <f>SUM(D156-7.49189)+0.001</f>
        <v>52.13711</v>
      </c>
      <c r="G156" s="5">
        <f>10.217+41.92</f>
        <v>52.137</v>
      </c>
      <c r="H156" s="29"/>
    </row>
    <row r="157" spans="1:8" s="61" customFormat="1" ht="63.75" customHeight="1">
      <c r="A157" s="30">
        <v>150101</v>
      </c>
      <c r="B157" s="39" t="s">
        <v>166</v>
      </c>
      <c r="C157" s="39" t="s">
        <v>4</v>
      </c>
      <c r="D157" s="5">
        <v>79.219</v>
      </c>
      <c r="E157" s="45">
        <f t="shared" si="7"/>
        <v>9.455925977353914</v>
      </c>
      <c r="F157" s="6">
        <f>SUM(D157-7.49189)+0.001</f>
        <v>71.72811</v>
      </c>
      <c r="G157" s="5">
        <f>18.639+53.089</f>
        <v>71.728</v>
      </c>
      <c r="H157" s="29"/>
    </row>
    <row r="158" spans="1:8" s="65" customFormat="1" ht="75" customHeight="1">
      <c r="A158" s="43" t="s">
        <v>167</v>
      </c>
      <c r="B158" s="39" t="s">
        <v>166</v>
      </c>
      <c r="C158" s="46" t="s">
        <v>301</v>
      </c>
      <c r="D158" s="10">
        <v>49.577</v>
      </c>
      <c r="E158" s="45">
        <f t="shared" si="7"/>
        <v>15.10960727756823</v>
      </c>
      <c r="F158" s="6">
        <f>SUM(D158-7.49189)+0.001</f>
        <v>42.08611</v>
      </c>
      <c r="G158" s="3">
        <f>7.937+34.149</f>
        <v>42.086</v>
      </c>
      <c r="H158" s="70"/>
    </row>
    <row r="159" spans="1:8" s="65" customFormat="1" ht="74.25" customHeight="1">
      <c r="A159" s="43" t="s">
        <v>167</v>
      </c>
      <c r="B159" s="39" t="s">
        <v>166</v>
      </c>
      <c r="C159" s="46" t="s">
        <v>399</v>
      </c>
      <c r="D159" s="10">
        <v>13.026</v>
      </c>
      <c r="E159" s="45">
        <f t="shared" si="7"/>
        <v>0</v>
      </c>
      <c r="F159" s="6">
        <f aca="true" t="shared" si="8" ref="F159:F177">SUM(D159)</f>
        <v>13.026</v>
      </c>
      <c r="G159" s="10">
        <f>9.52+3.506</f>
        <v>13.026</v>
      </c>
      <c r="H159" s="70"/>
    </row>
    <row r="160" spans="1:8" s="65" customFormat="1" ht="59.25" customHeight="1">
      <c r="A160" s="43" t="s">
        <v>167</v>
      </c>
      <c r="B160" s="39" t="s">
        <v>166</v>
      </c>
      <c r="C160" s="46" t="s">
        <v>302</v>
      </c>
      <c r="D160" s="10">
        <v>9.52</v>
      </c>
      <c r="E160" s="45">
        <f t="shared" si="7"/>
        <v>0</v>
      </c>
      <c r="F160" s="6">
        <f t="shared" si="8"/>
        <v>9.52</v>
      </c>
      <c r="G160" s="10">
        <v>9.52</v>
      </c>
      <c r="H160" s="70"/>
    </row>
    <row r="161" spans="1:8" s="65" customFormat="1" ht="55.5" customHeight="1">
      <c r="A161" s="43" t="s">
        <v>167</v>
      </c>
      <c r="B161" s="39" t="s">
        <v>166</v>
      </c>
      <c r="C161" s="46" t="s">
        <v>303</v>
      </c>
      <c r="D161" s="10">
        <v>9.52</v>
      </c>
      <c r="E161" s="45">
        <f t="shared" si="7"/>
        <v>0</v>
      </c>
      <c r="F161" s="6">
        <f t="shared" si="8"/>
        <v>9.52</v>
      </c>
      <c r="G161" s="10">
        <v>9.52</v>
      </c>
      <c r="H161" s="70"/>
    </row>
    <row r="162" spans="1:8" s="65" customFormat="1" ht="57" customHeight="1">
      <c r="A162" s="43" t="s">
        <v>167</v>
      </c>
      <c r="B162" s="39" t="s">
        <v>166</v>
      </c>
      <c r="C162" s="39" t="s">
        <v>304</v>
      </c>
      <c r="D162" s="10">
        <v>9.52</v>
      </c>
      <c r="E162" s="45">
        <f t="shared" si="7"/>
        <v>0</v>
      </c>
      <c r="F162" s="6">
        <f t="shared" si="8"/>
        <v>9.52</v>
      </c>
      <c r="G162" s="10">
        <v>9.52</v>
      </c>
      <c r="H162" s="70"/>
    </row>
    <row r="163" spans="1:8" s="65" customFormat="1" ht="43.5" customHeight="1">
      <c r="A163" s="43" t="s">
        <v>167</v>
      </c>
      <c r="B163" s="39" t="s">
        <v>166</v>
      </c>
      <c r="C163" s="39" t="s">
        <v>347</v>
      </c>
      <c r="D163" s="10">
        <v>321.139</v>
      </c>
      <c r="E163" s="45">
        <f t="shared" si="7"/>
        <v>0</v>
      </c>
      <c r="F163" s="6">
        <f t="shared" si="8"/>
        <v>321.139</v>
      </c>
      <c r="G163" s="10">
        <v>321.139</v>
      </c>
      <c r="H163" s="70"/>
    </row>
    <row r="164" spans="1:8" s="65" customFormat="1" ht="43.5" customHeight="1">
      <c r="A164" s="43" t="s">
        <v>167</v>
      </c>
      <c r="B164" s="39" t="s">
        <v>166</v>
      </c>
      <c r="C164" s="68" t="s">
        <v>17</v>
      </c>
      <c r="D164" s="10">
        <v>189.019</v>
      </c>
      <c r="E164" s="45">
        <f t="shared" si="7"/>
        <v>0</v>
      </c>
      <c r="F164" s="6">
        <f t="shared" si="8"/>
        <v>189.019</v>
      </c>
      <c r="G164" s="10">
        <f>189.019-113.95</f>
        <v>75.069</v>
      </c>
      <c r="H164" s="70"/>
    </row>
    <row r="165" spans="1:8" s="65" customFormat="1" ht="43.5" customHeight="1">
      <c r="A165" s="43" t="s">
        <v>167</v>
      </c>
      <c r="B165" s="39" t="s">
        <v>166</v>
      </c>
      <c r="C165" s="46" t="s">
        <v>52</v>
      </c>
      <c r="D165" s="10">
        <v>184.33</v>
      </c>
      <c r="E165" s="45">
        <f>100-(F165/D165)*100</f>
        <v>0</v>
      </c>
      <c r="F165" s="6">
        <f>SUM(D165)</f>
        <v>184.33</v>
      </c>
      <c r="G165" s="10">
        <v>184.33</v>
      </c>
      <c r="H165" s="70"/>
    </row>
    <row r="166" spans="1:8" s="65" customFormat="1" ht="59.25" customHeight="1">
      <c r="A166" s="30">
        <v>150101</v>
      </c>
      <c r="B166" s="39" t="s">
        <v>166</v>
      </c>
      <c r="C166" s="60" t="s">
        <v>57</v>
      </c>
      <c r="D166" s="5">
        <v>182.658</v>
      </c>
      <c r="E166" s="45">
        <f>100-(F166/D166)*100</f>
        <v>0</v>
      </c>
      <c r="F166" s="5">
        <f>SUM(D166)</f>
        <v>182.658</v>
      </c>
      <c r="G166" s="5">
        <v>182.658</v>
      </c>
      <c r="H166" s="29"/>
    </row>
    <row r="167" spans="1:8" s="65" customFormat="1" ht="43.5" customHeight="1">
      <c r="A167" s="43" t="s">
        <v>167</v>
      </c>
      <c r="B167" s="39" t="s">
        <v>166</v>
      </c>
      <c r="C167" s="39" t="s">
        <v>400</v>
      </c>
      <c r="D167" s="10">
        <v>323.365</v>
      </c>
      <c r="E167" s="45">
        <f t="shared" si="7"/>
        <v>0</v>
      </c>
      <c r="F167" s="6">
        <f t="shared" si="8"/>
        <v>323.365</v>
      </c>
      <c r="G167" s="10">
        <v>323.365</v>
      </c>
      <c r="H167" s="70"/>
    </row>
    <row r="168" spans="1:8" s="65" customFormat="1" ht="36" customHeight="1">
      <c r="A168" s="43" t="s">
        <v>167</v>
      </c>
      <c r="B168" s="39" t="s">
        <v>166</v>
      </c>
      <c r="C168" s="39" t="s">
        <v>401</v>
      </c>
      <c r="D168" s="10">
        <v>121.162</v>
      </c>
      <c r="E168" s="45">
        <f t="shared" si="7"/>
        <v>0</v>
      </c>
      <c r="F168" s="6">
        <f t="shared" si="8"/>
        <v>121.162</v>
      </c>
      <c r="G168" s="10">
        <v>121.162</v>
      </c>
      <c r="H168" s="70"/>
    </row>
    <row r="169" spans="1:8" s="65" customFormat="1" ht="38.25" customHeight="1">
      <c r="A169" s="43" t="s">
        <v>167</v>
      </c>
      <c r="B169" s="39" t="s">
        <v>166</v>
      </c>
      <c r="C169" s="39" t="s">
        <v>5</v>
      </c>
      <c r="D169" s="10">
        <v>88.945</v>
      </c>
      <c r="E169" s="45">
        <f t="shared" si="7"/>
        <v>0</v>
      </c>
      <c r="F169" s="6">
        <f t="shared" si="8"/>
        <v>88.945</v>
      </c>
      <c r="G169" s="10">
        <f>65.604+23.341</f>
        <v>88.945</v>
      </c>
      <c r="H169" s="70"/>
    </row>
    <row r="170" spans="1:8" s="65" customFormat="1" ht="43.5" customHeight="1">
      <c r="A170" s="43" t="s">
        <v>167</v>
      </c>
      <c r="B170" s="39" t="s">
        <v>166</v>
      </c>
      <c r="C170" s="39" t="s">
        <v>6</v>
      </c>
      <c r="D170" s="10">
        <v>90.128</v>
      </c>
      <c r="E170" s="45">
        <f t="shared" si="7"/>
        <v>0</v>
      </c>
      <c r="F170" s="6">
        <f t="shared" si="8"/>
        <v>90.128</v>
      </c>
      <c r="G170" s="10">
        <f>75.684+14.444</f>
        <v>90.128</v>
      </c>
      <c r="H170" s="70"/>
    </row>
    <row r="171" spans="1:8" s="65" customFormat="1" ht="39" customHeight="1">
      <c r="A171" s="43" t="s">
        <v>167</v>
      </c>
      <c r="B171" s="39" t="s">
        <v>166</v>
      </c>
      <c r="C171" s="39" t="s">
        <v>7</v>
      </c>
      <c r="D171" s="10">
        <v>166.619</v>
      </c>
      <c r="E171" s="45">
        <f t="shared" si="7"/>
        <v>0</v>
      </c>
      <c r="F171" s="6">
        <f t="shared" si="8"/>
        <v>166.619</v>
      </c>
      <c r="G171" s="10">
        <v>166.619</v>
      </c>
      <c r="H171" s="70"/>
    </row>
    <row r="172" spans="1:8" s="65" customFormat="1" ht="43.5" customHeight="1">
      <c r="A172" s="43" t="s">
        <v>167</v>
      </c>
      <c r="B172" s="39" t="s">
        <v>166</v>
      </c>
      <c r="C172" s="39" t="s">
        <v>8</v>
      </c>
      <c r="D172" s="10">
        <v>253.512</v>
      </c>
      <c r="E172" s="45">
        <f t="shared" si="7"/>
        <v>0</v>
      </c>
      <c r="F172" s="6">
        <f t="shared" si="8"/>
        <v>253.512</v>
      </c>
      <c r="G172" s="10">
        <v>253.512</v>
      </c>
      <c r="H172" s="70"/>
    </row>
    <row r="173" spans="1:8" s="65" customFormat="1" ht="39.75" customHeight="1">
      <c r="A173" s="43" t="s">
        <v>167</v>
      </c>
      <c r="B173" s="39" t="s">
        <v>166</v>
      </c>
      <c r="C173" s="39" t="s">
        <v>348</v>
      </c>
      <c r="D173" s="10">
        <v>110.874</v>
      </c>
      <c r="E173" s="45">
        <f t="shared" si="7"/>
        <v>0</v>
      </c>
      <c r="F173" s="6">
        <f t="shared" si="8"/>
        <v>110.874</v>
      </c>
      <c r="G173" s="10">
        <v>110.874</v>
      </c>
      <c r="H173" s="70"/>
    </row>
    <row r="174" spans="1:8" s="65" customFormat="1" ht="57" customHeight="1">
      <c r="A174" s="43" t="s">
        <v>167</v>
      </c>
      <c r="B174" s="39" t="s">
        <v>166</v>
      </c>
      <c r="C174" s="39" t="s">
        <v>349</v>
      </c>
      <c r="D174" s="10">
        <v>67.945</v>
      </c>
      <c r="E174" s="45">
        <f t="shared" si="7"/>
        <v>0</v>
      </c>
      <c r="F174" s="6">
        <f t="shared" si="8"/>
        <v>67.945</v>
      </c>
      <c r="G174" s="10">
        <v>67.945</v>
      </c>
      <c r="H174" s="70"/>
    </row>
    <row r="175" spans="1:8" s="61" customFormat="1" ht="56.25" customHeight="1">
      <c r="A175" s="43" t="s">
        <v>167</v>
      </c>
      <c r="B175" s="39" t="s">
        <v>166</v>
      </c>
      <c r="C175" s="39" t="s">
        <v>9</v>
      </c>
      <c r="D175" s="5">
        <v>48.143</v>
      </c>
      <c r="E175" s="45">
        <f t="shared" si="7"/>
        <v>0</v>
      </c>
      <c r="F175" s="5">
        <f t="shared" si="8"/>
        <v>48.143</v>
      </c>
      <c r="G175" s="5">
        <v>48.143</v>
      </c>
      <c r="H175" s="29"/>
    </row>
    <row r="176" spans="1:8" s="61" customFormat="1" ht="56.25" customHeight="1">
      <c r="A176" s="43" t="s">
        <v>167</v>
      </c>
      <c r="B176" s="39" t="s">
        <v>166</v>
      </c>
      <c r="C176" s="39" t="s">
        <v>10</v>
      </c>
      <c r="D176" s="5">
        <v>201.395</v>
      </c>
      <c r="E176" s="45">
        <f t="shared" si="7"/>
        <v>0</v>
      </c>
      <c r="F176" s="5">
        <f t="shared" si="8"/>
        <v>201.395</v>
      </c>
      <c r="G176" s="5">
        <v>201.395</v>
      </c>
      <c r="H176" s="29"/>
    </row>
    <row r="177" spans="1:8" s="65" customFormat="1" ht="57" customHeight="1">
      <c r="A177" s="43" t="s">
        <v>167</v>
      </c>
      <c r="B177" s="39" t="s">
        <v>166</v>
      </c>
      <c r="C177" s="39" t="s">
        <v>350</v>
      </c>
      <c r="D177" s="10">
        <v>53.694</v>
      </c>
      <c r="E177" s="45">
        <f t="shared" si="7"/>
        <v>0</v>
      </c>
      <c r="F177" s="6">
        <f t="shared" si="8"/>
        <v>53.694</v>
      </c>
      <c r="G177" s="10">
        <v>53.694</v>
      </c>
      <c r="H177" s="70"/>
    </row>
    <row r="178" spans="1:8" s="65" customFormat="1" ht="57" customHeight="1">
      <c r="A178" s="43" t="s">
        <v>167</v>
      </c>
      <c r="B178" s="39" t="s">
        <v>166</v>
      </c>
      <c r="C178" s="39" t="s">
        <v>25</v>
      </c>
      <c r="D178" s="10">
        <v>94.056</v>
      </c>
      <c r="E178" s="45">
        <f>100-(F178/D178)*100</f>
        <v>0</v>
      </c>
      <c r="F178" s="6">
        <f>SUM(D178)</f>
        <v>94.056</v>
      </c>
      <c r="G178" s="10">
        <v>94.056</v>
      </c>
      <c r="H178" s="70"/>
    </row>
    <row r="179" spans="1:8" s="65" customFormat="1" ht="42" customHeight="1">
      <c r="A179" s="43"/>
      <c r="B179" s="39"/>
      <c r="C179" s="73" t="s">
        <v>387</v>
      </c>
      <c r="D179" s="4">
        <f>SUM(D180:D215)</f>
        <v>12909.092000000002</v>
      </c>
      <c r="E179" s="74">
        <f aca="true" t="shared" si="9" ref="E179:E190">100-(F179/D179)*100</f>
        <v>3.2327980930029696</v>
      </c>
      <c r="F179" s="4">
        <f>SUM(F180:F215)</f>
        <v>12491.767120000004</v>
      </c>
      <c r="G179" s="4">
        <f>SUM(G180:G215)</f>
        <v>11145.12</v>
      </c>
      <c r="H179" s="70"/>
    </row>
    <row r="180" spans="1:8" s="61" customFormat="1" ht="102" customHeight="1">
      <c r="A180" s="30">
        <v>150101</v>
      </c>
      <c r="B180" s="39" t="s">
        <v>166</v>
      </c>
      <c r="C180" s="39" t="s">
        <v>402</v>
      </c>
      <c r="D180" s="5">
        <v>1307.928</v>
      </c>
      <c r="E180" s="45">
        <f>100-(F180/D180)*100</f>
        <v>1.7711502468025628</v>
      </c>
      <c r="F180" s="5">
        <f>SUM(D180-23.16537)</f>
        <v>1284.7626300000002</v>
      </c>
      <c r="G180" s="5">
        <f>887.882+237.13+159.751</f>
        <v>1284.763</v>
      </c>
      <c r="H180" s="29"/>
    </row>
    <row r="181" spans="1:8" s="61" customFormat="1" ht="72" customHeight="1">
      <c r="A181" s="30">
        <v>150101</v>
      </c>
      <c r="B181" s="39" t="s">
        <v>166</v>
      </c>
      <c r="C181" s="39" t="s">
        <v>403</v>
      </c>
      <c r="D181" s="5">
        <v>572.185</v>
      </c>
      <c r="E181" s="45">
        <f>100-(F181/D181)*100</f>
        <v>3.5916285816650344</v>
      </c>
      <c r="F181" s="5">
        <f>SUM(D181-20.55176)+0.001</f>
        <v>551.6342399999999</v>
      </c>
      <c r="G181" s="5">
        <f>499.584-52.25+104.3</f>
        <v>551.634</v>
      </c>
      <c r="H181" s="29"/>
    </row>
    <row r="182" spans="1:8" ht="57.75" customHeight="1">
      <c r="A182" s="43" t="s">
        <v>167</v>
      </c>
      <c r="B182" s="39" t="s">
        <v>166</v>
      </c>
      <c r="C182" s="39" t="s">
        <v>305</v>
      </c>
      <c r="D182" s="75">
        <v>196.141</v>
      </c>
      <c r="E182" s="76">
        <f t="shared" si="9"/>
        <v>5.0106403046787875</v>
      </c>
      <c r="F182" s="75">
        <f>SUM(D182-9.82892)+0.001</f>
        <v>186.31307999999999</v>
      </c>
      <c r="G182" s="5">
        <v>186.313</v>
      </c>
      <c r="H182" s="29"/>
    </row>
    <row r="183" spans="1:8" s="61" customFormat="1" ht="55.5" customHeight="1">
      <c r="A183" s="30">
        <v>150101</v>
      </c>
      <c r="B183" s="39" t="s">
        <v>166</v>
      </c>
      <c r="C183" s="39" t="s">
        <v>306</v>
      </c>
      <c r="D183" s="5">
        <v>102.156</v>
      </c>
      <c r="E183" s="45">
        <f t="shared" si="9"/>
        <v>0</v>
      </c>
      <c r="F183" s="5">
        <f>SUM(D183)</f>
        <v>102.156</v>
      </c>
      <c r="G183" s="5">
        <v>102.156</v>
      </c>
      <c r="H183" s="29"/>
    </row>
    <row r="184" spans="1:8" s="61" customFormat="1" ht="54.75" customHeight="1">
      <c r="A184" s="30">
        <v>150101</v>
      </c>
      <c r="B184" s="39" t="s">
        <v>166</v>
      </c>
      <c r="C184" s="39" t="s">
        <v>307</v>
      </c>
      <c r="D184" s="5">
        <v>115.085</v>
      </c>
      <c r="E184" s="45">
        <f t="shared" si="9"/>
        <v>0</v>
      </c>
      <c r="F184" s="5">
        <f>SUM(D184)</f>
        <v>115.085</v>
      </c>
      <c r="G184" s="5">
        <v>115.085</v>
      </c>
      <c r="H184" s="29"/>
    </row>
    <row r="185" spans="1:8" s="61" customFormat="1" ht="54" customHeight="1">
      <c r="A185" s="30">
        <v>150101</v>
      </c>
      <c r="B185" s="39" t="s">
        <v>166</v>
      </c>
      <c r="C185" s="39" t="s">
        <v>308</v>
      </c>
      <c r="D185" s="5">
        <v>208.248</v>
      </c>
      <c r="E185" s="45">
        <f t="shared" si="9"/>
        <v>2.8411557373900393</v>
      </c>
      <c r="F185" s="5">
        <f>SUM(D185-5.91765)+0.001</f>
        <v>202.33135</v>
      </c>
      <c r="G185" s="5">
        <v>202.331</v>
      </c>
      <c r="H185" s="29"/>
    </row>
    <row r="186" spans="1:8" s="65" customFormat="1" ht="56.25">
      <c r="A186" s="30">
        <v>150101</v>
      </c>
      <c r="B186" s="39" t="s">
        <v>166</v>
      </c>
      <c r="C186" s="39" t="s">
        <v>411</v>
      </c>
      <c r="D186" s="5">
        <v>255.617</v>
      </c>
      <c r="E186" s="45">
        <f t="shared" si="9"/>
        <v>0</v>
      </c>
      <c r="F186" s="5">
        <f>SUM(D186)</f>
        <v>255.617</v>
      </c>
      <c r="G186" s="5">
        <v>255.617</v>
      </c>
      <c r="H186" s="29"/>
    </row>
    <row r="187" spans="1:8" s="61" customFormat="1" ht="55.5" customHeight="1">
      <c r="A187" s="30">
        <v>150101</v>
      </c>
      <c r="B187" s="39" t="s">
        <v>166</v>
      </c>
      <c r="C187" s="39" t="s">
        <v>309</v>
      </c>
      <c r="D187" s="5">
        <v>199.098</v>
      </c>
      <c r="E187" s="45">
        <f t="shared" si="9"/>
        <v>2.8519774181558972</v>
      </c>
      <c r="F187" s="5">
        <f>SUM(D187-5.67823)</f>
        <v>193.41977</v>
      </c>
      <c r="G187" s="5">
        <f>116.463+76.957</f>
        <v>193.42</v>
      </c>
      <c r="H187" s="29"/>
    </row>
    <row r="188" spans="1:8" s="61" customFormat="1" ht="36" customHeight="1">
      <c r="A188" s="30">
        <v>150101</v>
      </c>
      <c r="B188" s="39" t="s">
        <v>166</v>
      </c>
      <c r="C188" s="39" t="s">
        <v>310</v>
      </c>
      <c r="D188" s="5">
        <v>123.586</v>
      </c>
      <c r="E188" s="45">
        <f t="shared" si="9"/>
        <v>5.100691016781838</v>
      </c>
      <c r="F188" s="5">
        <f>SUM(D188-4.55874-1.746)+0.001</f>
        <v>117.28226000000001</v>
      </c>
      <c r="G188" s="5">
        <f>82.471+34.811</f>
        <v>117.28200000000001</v>
      </c>
      <c r="H188" s="29"/>
    </row>
    <row r="189" spans="1:8" s="65" customFormat="1" ht="36.75" customHeight="1">
      <c r="A189" s="30">
        <v>150101</v>
      </c>
      <c r="B189" s="39" t="s">
        <v>166</v>
      </c>
      <c r="C189" s="39" t="s">
        <v>311</v>
      </c>
      <c r="D189" s="5">
        <v>56.336</v>
      </c>
      <c r="E189" s="45">
        <f t="shared" si="9"/>
        <v>0</v>
      </c>
      <c r="F189" s="5">
        <f>SUM(D189)</f>
        <v>56.336</v>
      </c>
      <c r="G189" s="5">
        <f>56.336-30.184</f>
        <v>26.151999999999997</v>
      </c>
      <c r="H189" s="29"/>
    </row>
    <row r="190" spans="1:8" s="65" customFormat="1" ht="36" customHeight="1">
      <c r="A190" s="30">
        <v>150101</v>
      </c>
      <c r="B190" s="39" t="s">
        <v>166</v>
      </c>
      <c r="C190" s="39" t="s">
        <v>312</v>
      </c>
      <c r="D190" s="5">
        <v>105.436</v>
      </c>
      <c r="E190" s="45">
        <f t="shared" si="9"/>
        <v>0</v>
      </c>
      <c r="F190" s="5">
        <f>SUM(D190)</f>
        <v>105.436</v>
      </c>
      <c r="G190" s="5">
        <v>4.072</v>
      </c>
      <c r="H190" s="29"/>
    </row>
    <row r="191" spans="1:8" s="65" customFormat="1" ht="55.5" customHeight="1">
      <c r="A191" s="30">
        <v>150101</v>
      </c>
      <c r="B191" s="39" t="s">
        <v>166</v>
      </c>
      <c r="C191" s="39" t="s">
        <v>313</v>
      </c>
      <c r="D191" s="11">
        <v>228.233</v>
      </c>
      <c r="E191" s="45">
        <f aca="true" t="shared" si="10" ref="E191:E198">100-(F191/D191)*100</f>
        <v>0</v>
      </c>
      <c r="F191" s="5">
        <f aca="true" t="shared" si="11" ref="F191:F200">SUM(D191)</f>
        <v>228.233</v>
      </c>
      <c r="G191" s="11">
        <v>228.233</v>
      </c>
      <c r="H191" s="70"/>
    </row>
    <row r="192" spans="1:8" s="65" customFormat="1" ht="54.75" customHeight="1">
      <c r="A192" s="30">
        <v>150101</v>
      </c>
      <c r="B192" s="39" t="s">
        <v>166</v>
      </c>
      <c r="C192" s="39" t="s">
        <v>314</v>
      </c>
      <c r="D192" s="11">
        <v>217.826</v>
      </c>
      <c r="E192" s="45">
        <f t="shared" si="10"/>
        <v>0</v>
      </c>
      <c r="F192" s="5">
        <f t="shared" si="11"/>
        <v>217.826</v>
      </c>
      <c r="G192" s="11">
        <v>217.826</v>
      </c>
      <c r="H192" s="70"/>
    </row>
    <row r="193" spans="1:8" s="65" customFormat="1" ht="54.75" customHeight="1">
      <c r="A193" s="30">
        <v>150101</v>
      </c>
      <c r="B193" s="39" t="s">
        <v>166</v>
      </c>
      <c r="C193" s="39" t="s">
        <v>315</v>
      </c>
      <c r="D193" s="11">
        <v>251.941</v>
      </c>
      <c r="E193" s="45">
        <f t="shared" si="10"/>
        <v>0</v>
      </c>
      <c r="F193" s="5">
        <f t="shared" si="11"/>
        <v>251.941</v>
      </c>
      <c r="G193" s="11">
        <v>251.941</v>
      </c>
      <c r="H193" s="70"/>
    </row>
    <row r="194" spans="1:8" s="65" customFormat="1" ht="54.75" customHeight="1">
      <c r="A194" s="30">
        <v>150101</v>
      </c>
      <c r="B194" s="39" t="s">
        <v>166</v>
      </c>
      <c r="C194" s="39" t="s">
        <v>404</v>
      </c>
      <c r="D194" s="11">
        <v>67.493</v>
      </c>
      <c r="E194" s="45">
        <f t="shared" si="10"/>
        <v>0</v>
      </c>
      <c r="F194" s="5">
        <f t="shared" si="11"/>
        <v>67.493</v>
      </c>
      <c r="G194" s="11">
        <v>67.493</v>
      </c>
      <c r="H194" s="70"/>
    </row>
    <row r="195" spans="1:8" s="65" customFormat="1" ht="36.75" customHeight="1">
      <c r="A195" s="30">
        <v>150101</v>
      </c>
      <c r="B195" s="39" t="s">
        <v>166</v>
      </c>
      <c r="C195" s="39" t="s">
        <v>266</v>
      </c>
      <c r="D195" s="10">
        <v>200.557</v>
      </c>
      <c r="E195" s="45">
        <f t="shared" si="10"/>
        <v>0</v>
      </c>
      <c r="F195" s="5">
        <f t="shared" si="11"/>
        <v>200.557</v>
      </c>
      <c r="G195" s="10">
        <v>200.557</v>
      </c>
      <c r="H195" s="70"/>
    </row>
    <row r="196" spans="1:8" s="65" customFormat="1" ht="54.75" customHeight="1">
      <c r="A196" s="30">
        <v>150101</v>
      </c>
      <c r="B196" s="39" t="s">
        <v>166</v>
      </c>
      <c r="C196" s="39" t="s">
        <v>379</v>
      </c>
      <c r="D196" s="10">
        <v>242.658</v>
      </c>
      <c r="E196" s="45">
        <f t="shared" si="10"/>
        <v>0</v>
      </c>
      <c r="F196" s="5">
        <f t="shared" si="11"/>
        <v>242.658</v>
      </c>
      <c r="G196" s="10">
        <v>242.658</v>
      </c>
      <c r="H196" s="70"/>
    </row>
    <row r="197" spans="1:8" s="65" customFormat="1" ht="75" customHeight="1">
      <c r="A197" s="30">
        <v>150101</v>
      </c>
      <c r="B197" s="39" t="s">
        <v>166</v>
      </c>
      <c r="C197" s="39" t="s">
        <v>380</v>
      </c>
      <c r="D197" s="10">
        <v>762.986</v>
      </c>
      <c r="E197" s="45">
        <f t="shared" si="10"/>
        <v>0</v>
      </c>
      <c r="F197" s="5">
        <f t="shared" si="11"/>
        <v>762.986</v>
      </c>
      <c r="G197" s="10">
        <v>217.236</v>
      </c>
      <c r="H197" s="70"/>
    </row>
    <row r="198" spans="1:8" s="65" customFormat="1" ht="55.5" customHeight="1">
      <c r="A198" s="30">
        <v>150101</v>
      </c>
      <c r="B198" s="39" t="s">
        <v>166</v>
      </c>
      <c r="C198" s="39" t="s">
        <v>381</v>
      </c>
      <c r="D198" s="5">
        <v>700.084</v>
      </c>
      <c r="E198" s="45">
        <f t="shared" si="10"/>
        <v>0</v>
      </c>
      <c r="F198" s="5">
        <f t="shared" si="11"/>
        <v>700.084</v>
      </c>
      <c r="G198" s="5">
        <v>700.084</v>
      </c>
      <c r="H198" s="70"/>
    </row>
    <row r="199" spans="1:8" s="65" customFormat="1" ht="39" customHeight="1">
      <c r="A199" s="30">
        <v>150101</v>
      </c>
      <c r="B199" s="39" t="s">
        <v>166</v>
      </c>
      <c r="C199" s="39" t="s">
        <v>316</v>
      </c>
      <c r="D199" s="5">
        <v>112.998</v>
      </c>
      <c r="E199" s="45">
        <f>100-(F199/D199)*100</f>
        <v>0</v>
      </c>
      <c r="F199" s="5">
        <f t="shared" si="11"/>
        <v>112.998</v>
      </c>
      <c r="G199" s="5">
        <v>51.752</v>
      </c>
      <c r="H199" s="29"/>
    </row>
    <row r="200" spans="1:8" s="55" customFormat="1" ht="59.25" customHeight="1">
      <c r="A200" s="30">
        <v>150101</v>
      </c>
      <c r="B200" s="39" t="s">
        <v>166</v>
      </c>
      <c r="C200" s="39" t="s">
        <v>243</v>
      </c>
      <c r="D200" s="5">
        <v>985.867</v>
      </c>
      <c r="E200" s="45">
        <v>0</v>
      </c>
      <c r="F200" s="5">
        <f t="shared" si="11"/>
        <v>985.867</v>
      </c>
      <c r="G200" s="5">
        <v>907.895</v>
      </c>
      <c r="H200" s="29"/>
    </row>
    <row r="201" spans="1:8" s="61" customFormat="1" ht="36" customHeight="1">
      <c r="A201" s="30">
        <v>150101</v>
      </c>
      <c r="B201" s="39" t="s">
        <v>166</v>
      </c>
      <c r="C201" s="39" t="s">
        <v>250</v>
      </c>
      <c r="D201" s="5">
        <v>119.099</v>
      </c>
      <c r="E201" s="45">
        <f aca="true" t="shared" si="12" ref="E201:E208">100-(F201/D201)*100</f>
        <v>14.273839410910256</v>
      </c>
      <c r="F201" s="5">
        <f>SUM(D201-17)</f>
        <v>102.099</v>
      </c>
      <c r="G201" s="5">
        <v>91.96</v>
      </c>
      <c r="H201" s="29"/>
    </row>
    <row r="202" spans="1:8" s="65" customFormat="1" ht="56.25" customHeight="1">
      <c r="A202" s="30">
        <v>150101</v>
      </c>
      <c r="B202" s="39" t="s">
        <v>166</v>
      </c>
      <c r="C202" s="39" t="s">
        <v>211</v>
      </c>
      <c r="D202" s="5">
        <v>255.769</v>
      </c>
      <c r="E202" s="45">
        <f t="shared" si="12"/>
        <v>0</v>
      </c>
      <c r="F202" s="5">
        <f>SUM(D202)</f>
        <v>255.769</v>
      </c>
      <c r="G202" s="5">
        <v>245.845</v>
      </c>
      <c r="H202" s="29"/>
    </row>
    <row r="203" spans="1:8" s="65" customFormat="1" ht="57" customHeight="1">
      <c r="A203" s="30">
        <v>150101</v>
      </c>
      <c r="B203" s="39" t="s">
        <v>166</v>
      </c>
      <c r="C203" s="39" t="s">
        <v>212</v>
      </c>
      <c r="D203" s="5">
        <v>488.2</v>
      </c>
      <c r="E203" s="45">
        <f t="shared" si="12"/>
        <v>31.825501843506757</v>
      </c>
      <c r="F203" s="5">
        <f>SUM(D203-155.3721)</f>
        <v>332.8279</v>
      </c>
      <c r="G203" s="5">
        <v>260.852</v>
      </c>
      <c r="H203" s="29"/>
    </row>
    <row r="204" spans="1:8" s="65" customFormat="1" ht="39" customHeight="1">
      <c r="A204" s="30">
        <v>150101</v>
      </c>
      <c r="B204" s="39" t="s">
        <v>166</v>
      </c>
      <c r="C204" s="39" t="s">
        <v>317</v>
      </c>
      <c r="D204" s="5">
        <v>254.771</v>
      </c>
      <c r="E204" s="45">
        <f t="shared" si="12"/>
        <v>0</v>
      </c>
      <c r="F204" s="5">
        <f>SUM(D204)</f>
        <v>254.771</v>
      </c>
      <c r="G204" s="5">
        <v>254.771</v>
      </c>
      <c r="H204" s="29"/>
    </row>
    <row r="205" spans="1:8" s="65" customFormat="1" ht="38.25" customHeight="1">
      <c r="A205" s="30">
        <v>150101</v>
      </c>
      <c r="B205" s="39" t="s">
        <v>166</v>
      </c>
      <c r="C205" s="39" t="s">
        <v>213</v>
      </c>
      <c r="D205" s="5">
        <v>118.223</v>
      </c>
      <c r="E205" s="45">
        <f t="shared" si="12"/>
        <v>27.609712154149364</v>
      </c>
      <c r="F205" s="5">
        <f>SUM(D205-5.901-26.74003)</f>
        <v>85.58197</v>
      </c>
      <c r="G205" s="5">
        <v>69.506</v>
      </c>
      <c r="H205" s="29"/>
    </row>
    <row r="206" spans="1:8" s="61" customFormat="1" ht="36.75" customHeight="1">
      <c r="A206" s="30">
        <v>150101</v>
      </c>
      <c r="B206" s="39" t="s">
        <v>166</v>
      </c>
      <c r="C206" s="39" t="s">
        <v>214</v>
      </c>
      <c r="D206" s="5">
        <v>394.561</v>
      </c>
      <c r="E206" s="45">
        <f t="shared" si="12"/>
        <v>18.922384624937607</v>
      </c>
      <c r="F206" s="5">
        <f>SUM(D206-9.39935-65.261)</f>
        <v>319.9006499999999</v>
      </c>
      <c r="G206" s="5">
        <v>258.682</v>
      </c>
      <c r="H206" s="29"/>
    </row>
    <row r="207" spans="1:8" s="61" customFormat="1" ht="36" customHeight="1">
      <c r="A207" s="30">
        <v>150101</v>
      </c>
      <c r="B207" s="39" t="s">
        <v>166</v>
      </c>
      <c r="C207" s="39" t="s">
        <v>215</v>
      </c>
      <c r="D207" s="5">
        <v>194.639</v>
      </c>
      <c r="E207" s="45">
        <f t="shared" si="12"/>
        <v>20.022621365707806</v>
      </c>
      <c r="F207" s="5">
        <f>SUM(D207-38.97183)</f>
        <v>155.66717</v>
      </c>
      <c r="G207" s="5">
        <v>125.093</v>
      </c>
      <c r="H207" s="29"/>
    </row>
    <row r="208" spans="1:8" s="61" customFormat="1" ht="39" customHeight="1">
      <c r="A208" s="30">
        <v>150101</v>
      </c>
      <c r="B208" s="39" t="s">
        <v>166</v>
      </c>
      <c r="C208" s="39" t="s">
        <v>216</v>
      </c>
      <c r="D208" s="5">
        <v>140.302</v>
      </c>
      <c r="E208" s="45">
        <f t="shared" si="12"/>
        <v>19.41305184530512</v>
      </c>
      <c r="F208" s="5">
        <f>SUM(D208-5.3449-21.892)</f>
        <v>113.0651</v>
      </c>
      <c r="G208" s="5">
        <v>95.106</v>
      </c>
      <c r="H208" s="29"/>
    </row>
    <row r="209" spans="1:8" s="61" customFormat="1" ht="60" customHeight="1">
      <c r="A209" s="30">
        <v>150101</v>
      </c>
      <c r="B209" s="39" t="s">
        <v>166</v>
      </c>
      <c r="C209" s="39" t="s">
        <v>405</v>
      </c>
      <c r="D209" s="5">
        <v>859.154</v>
      </c>
      <c r="E209" s="45">
        <f aca="true" t="shared" si="13" ref="E209:E215">100-(F209/D209)*100</f>
        <v>0</v>
      </c>
      <c r="F209" s="5">
        <f aca="true" t="shared" si="14" ref="F209:F215">SUM(D209)</f>
        <v>859.154</v>
      </c>
      <c r="G209" s="5">
        <v>859.154</v>
      </c>
      <c r="H209" s="29"/>
    </row>
    <row r="210" spans="1:8" s="61" customFormat="1" ht="57" customHeight="1">
      <c r="A210" s="30">
        <v>150101</v>
      </c>
      <c r="B210" s="39" t="s">
        <v>166</v>
      </c>
      <c r="C210" s="39" t="s">
        <v>436</v>
      </c>
      <c r="D210" s="5">
        <v>1749.395</v>
      </c>
      <c r="E210" s="45">
        <f t="shared" si="13"/>
        <v>0</v>
      </c>
      <c r="F210" s="5">
        <f t="shared" si="14"/>
        <v>1749.395</v>
      </c>
      <c r="G210" s="5">
        <v>1437.131</v>
      </c>
      <c r="H210" s="29"/>
    </row>
    <row r="211" spans="1:8" s="65" customFormat="1" ht="57" customHeight="1">
      <c r="A211" s="43" t="s">
        <v>167</v>
      </c>
      <c r="B211" s="39" t="s">
        <v>166</v>
      </c>
      <c r="C211" s="39" t="s">
        <v>351</v>
      </c>
      <c r="D211" s="10">
        <v>10.984</v>
      </c>
      <c r="E211" s="45">
        <f t="shared" si="13"/>
        <v>0</v>
      </c>
      <c r="F211" s="6">
        <f t="shared" si="14"/>
        <v>10.984</v>
      </c>
      <c r="G211" s="130">
        <v>10.984</v>
      </c>
      <c r="H211" s="70"/>
    </row>
    <row r="212" spans="1:8" s="65" customFormat="1" ht="49.5" customHeight="1">
      <c r="A212" s="43" t="s">
        <v>167</v>
      </c>
      <c r="B212" s="39" t="s">
        <v>166</v>
      </c>
      <c r="C212" s="39" t="s">
        <v>352</v>
      </c>
      <c r="D212" s="10">
        <v>11.269</v>
      </c>
      <c r="E212" s="45">
        <f t="shared" si="13"/>
        <v>0</v>
      </c>
      <c r="F212" s="6">
        <f t="shared" si="14"/>
        <v>11.269</v>
      </c>
      <c r="G212" s="130">
        <v>11.269</v>
      </c>
      <c r="H212" s="70"/>
    </row>
    <row r="213" spans="1:8" s="65" customFormat="1" ht="60" customHeight="1">
      <c r="A213" s="43" t="s">
        <v>167</v>
      </c>
      <c r="B213" s="39" t="s">
        <v>166</v>
      </c>
      <c r="C213" s="39" t="s">
        <v>11</v>
      </c>
      <c r="D213" s="10">
        <v>940.423</v>
      </c>
      <c r="E213" s="45">
        <f t="shared" si="13"/>
        <v>0</v>
      </c>
      <c r="F213" s="6">
        <f t="shared" si="14"/>
        <v>940.423</v>
      </c>
      <c r="G213" s="130">
        <v>940.423</v>
      </c>
      <c r="H213" s="70"/>
    </row>
    <row r="214" spans="1:8" s="65" customFormat="1" ht="60" customHeight="1">
      <c r="A214" s="43" t="s">
        <v>167</v>
      </c>
      <c r="B214" s="39" t="s">
        <v>166</v>
      </c>
      <c r="C214" s="39" t="s">
        <v>53</v>
      </c>
      <c r="D214" s="10">
        <v>213.761</v>
      </c>
      <c r="E214" s="45">
        <f>100-(F214/D214)*100</f>
        <v>0</v>
      </c>
      <c r="F214" s="6">
        <f>SUM(D214)</f>
        <v>213.761</v>
      </c>
      <c r="G214" s="130">
        <v>213.761</v>
      </c>
      <c r="H214" s="70"/>
    </row>
    <row r="215" spans="1:8" s="65" customFormat="1" ht="57" customHeight="1">
      <c r="A215" s="43" t="s">
        <v>167</v>
      </c>
      <c r="B215" s="39" t="s">
        <v>166</v>
      </c>
      <c r="C215" s="39" t="s">
        <v>31</v>
      </c>
      <c r="D215" s="10">
        <v>146.083</v>
      </c>
      <c r="E215" s="45">
        <f t="shared" si="13"/>
        <v>0</v>
      </c>
      <c r="F215" s="6">
        <f t="shared" si="14"/>
        <v>146.083</v>
      </c>
      <c r="G215" s="10">
        <v>146.083</v>
      </c>
      <c r="H215" s="70"/>
    </row>
    <row r="216" spans="1:8" ht="61.5" customHeight="1">
      <c r="A216" s="43"/>
      <c r="B216" s="39"/>
      <c r="C216" s="33" t="s">
        <v>321</v>
      </c>
      <c r="D216" s="4">
        <f>SUM(D217:D236)</f>
        <v>1665.1109999999996</v>
      </c>
      <c r="E216" s="41"/>
      <c r="F216" s="4">
        <f>SUM(F217:F236)</f>
        <v>1237.96614</v>
      </c>
      <c r="G216" s="4">
        <f>SUM(G217:G236)</f>
        <v>1195.2130000000002</v>
      </c>
      <c r="H216" s="29"/>
    </row>
    <row r="217" spans="1:8" ht="28.5" customHeight="1">
      <c r="A217" s="43" t="s">
        <v>167</v>
      </c>
      <c r="B217" s="39" t="s">
        <v>166</v>
      </c>
      <c r="C217" s="39" t="s">
        <v>54</v>
      </c>
      <c r="D217" s="5">
        <v>91</v>
      </c>
      <c r="E217" s="45">
        <f>100-(F217/D217)*100</f>
        <v>0</v>
      </c>
      <c r="F217" s="5">
        <v>91</v>
      </c>
      <c r="G217" s="10">
        <v>91</v>
      </c>
      <c r="H217" s="29" t="s">
        <v>169</v>
      </c>
    </row>
    <row r="218" spans="1:8" s="65" customFormat="1" ht="29.25" customHeight="1">
      <c r="A218" s="43" t="s">
        <v>167</v>
      </c>
      <c r="B218" s="39" t="s">
        <v>166</v>
      </c>
      <c r="C218" s="39" t="s">
        <v>204</v>
      </c>
      <c r="D218" s="5">
        <v>68.963</v>
      </c>
      <c r="E218" s="45">
        <f aca="true" t="shared" si="15" ref="E218:E234">100-(F218/D218)*100</f>
        <v>97.52291808651016</v>
      </c>
      <c r="F218" s="5">
        <f>SUM(D218-67.25473)</f>
        <v>1.7082699999999988</v>
      </c>
      <c r="G218" s="10">
        <v>0.41</v>
      </c>
      <c r="H218" s="29" t="s">
        <v>169</v>
      </c>
    </row>
    <row r="219" spans="1:8" s="65" customFormat="1" ht="27.75" customHeight="1">
      <c r="A219" s="43" t="s">
        <v>167</v>
      </c>
      <c r="B219" s="39" t="s">
        <v>166</v>
      </c>
      <c r="C219" s="39" t="s">
        <v>205</v>
      </c>
      <c r="D219" s="5">
        <v>57.076</v>
      </c>
      <c r="E219" s="45">
        <f t="shared" si="15"/>
        <v>10.524633821571229</v>
      </c>
      <c r="F219" s="5">
        <f>SUM(D219-6.00704)</f>
        <v>51.068960000000004</v>
      </c>
      <c r="G219" s="3">
        <f>0.571+50.498</f>
        <v>51.068999999999996</v>
      </c>
      <c r="H219" s="29" t="s">
        <v>169</v>
      </c>
    </row>
    <row r="220" spans="1:8" s="65" customFormat="1" ht="25.5" customHeight="1">
      <c r="A220" s="43" t="s">
        <v>167</v>
      </c>
      <c r="B220" s="39" t="s">
        <v>166</v>
      </c>
      <c r="C220" s="39" t="s">
        <v>206</v>
      </c>
      <c r="D220" s="5">
        <v>74.519</v>
      </c>
      <c r="E220" s="45">
        <f t="shared" si="15"/>
        <v>78.58261651390919</v>
      </c>
      <c r="F220" s="5">
        <f>SUM(D220-58.55898)</f>
        <v>15.960020000000007</v>
      </c>
      <c r="G220" s="3">
        <v>1.558</v>
      </c>
      <c r="H220" s="29" t="s">
        <v>169</v>
      </c>
    </row>
    <row r="221" spans="1:8" s="65" customFormat="1" ht="25.5" customHeight="1">
      <c r="A221" s="43" t="s">
        <v>167</v>
      </c>
      <c r="B221" s="39" t="s">
        <v>166</v>
      </c>
      <c r="C221" s="39" t="s">
        <v>207</v>
      </c>
      <c r="D221" s="5">
        <v>75.228</v>
      </c>
      <c r="E221" s="45">
        <f t="shared" si="15"/>
        <v>85.83500824161217</v>
      </c>
      <c r="F221" s="5">
        <f>SUM(D221-64.57196)</f>
        <v>10.65603999999999</v>
      </c>
      <c r="G221" s="3">
        <v>1.692</v>
      </c>
      <c r="H221" s="29" t="s">
        <v>169</v>
      </c>
    </row>
    <row r="222" spans="1:8" s="65" customFormat="1" ht="25.5" customHeight="1">
      <c r="A222" s="43" t="s">
        <v>167</v>
      </c>
      <c r="B222" s="39" t="s">
        <v>166</v>
      </c>
      <c r="C222" s="39" t="s">
        <v>292</v>
      </c>
      <c r="D222" s="5">
        <v>49.702</v>
      </c>
      <c r="E222" s="45">
        <f t="shared" si="15"/>
        <v>77.02174962778159</v>
      </c>
      <c r="F222" s="5">
        <f>SUM(D222-38.28135)</f>
        <v>11.420649999999995</v>
      </c>
      <c r="G222" s="3">
        <v>1.536</v>
      </c>
      <c r="H222" s="29" t="s">
        <v>169</v>
      </c>
    </row>
    <row r="223" spans="1:8" s="65" customFormat="1" ht="21" customHeight="1">
      <c r="A223" s="43" t="s">
        <v>167</v>
      </c>
      <c r="B223" s="39" t="s">
        <v>166</v>
      </c>
      <c r="C223" s="39" t="s">
        <v>208</v>
      </c>
      <c r="D223" s="5">
        <v>97.58</v>
      </c>
      <c r="E223" s="45">
        <f t="shared" si="15"/>
        <v>7.17617339618775</v>
      </c>
      <c r="F223" s="5">
        <f>SUM(D223-7.00251)</f>
        <v>90.57749</v>
      </c>
      <c r="G223" s="3">
        <f>0.699+89.878</f>
        <v>90.577</v>
      </c>
      <c r="H223" s="29" t="s">
        <v>169</v>
      </c>
    </row>
    <row r="224" spans="1:8" s="65" customFormat="1" ht="17.25" customHeight="1">
      <c r="A224" s="43" t="s">
        <v>167</v>
      </c>
      <c r="B224" s="39" t="s">
        <v>166</v>
      </c>
      <c r="C224" s="39" t="s">
        <v>209</v>
      </c>
      <c r="D224" s="5">
        <v>82.88</v>
      </c>
      <c r="E224" s="45">
        <f t="shared" si="15"/>
        <v>8.448974420849424</v>
      </c>
      <c r="F224" s="5">
        <f>SUM(D224-7.00251)</f>
        <v>75.87749</v>
      </c>
      <c r="G224" s="3">
        <f>0.656+75.221</f>
        <v>75.87700000000001</v>
      </c>
      <c r="H224" s="29" t="s">
        <v>169</v>
      </c>
    </row>
    <row r="225" spans="1:8" s="65" customFormat="1" ht="17.25" customHeight="1">
      <c r="A225" s="43" t="s">
        <v>167</v>
      </c>
      <c r="B225" s="39" t="s">
        <v>166</v>
      </c>
      <c r="C225" s="39" t="s">
        <v>210</v>
      </c>
      <c r="D225" s="5">
        <v>75.228</v>
      </c>
      <c r="E225" s="45">
        <f t="shared" si="15"/>
        <v>86.82624820545543</v>
      </c>
      <c r="F225" s="5">
        <f>SUM(D225-65.31765)</f>
        <v>9.910349999999994</v>
      </c>
      <c r="G225" s="3">
        <v>1.706</v>
      </c>
      <c r="H225" s="29" t="s">
        <v>169</v>
      </c>
    </row>
    <row r="226" spans="1:8" s="65" customFormat="1" ht="17.25" customHeight="1">
      <c r="A226" s="43" t="s">
        <v>167</v>
      </c>
      <c r="B226" s="39" t="s">
        <v>166</v>
      </c>
      <c r="C226" s="39" t="s">
        <v>332</v>
      </c>
      <c r="D226" s="5">
        <v>90.304</v>
      </c>
      <c r="E226" s="45">
        <f t="shared" si="15"/>
        <v>7.8318236180014225</v>
      </c>
      <c r="F226" s="5">
        <f>SUM(D226-7.07245)</f>
        <v>83.23155</v>
      </c>
      <c r="G226" s="3">
        <v>83.232</v>
      </c>
      <c r="H226" s="29" t="s">
        <v>169</v>
      </c>
    </row>
    <row r="227" spans="1:8" s="65" customFormat="1" ht="17.25" customHeight="1">
      <c r="A227" s="43" t="s">
        <v>167</v>
      </c>
      <c r="B227" s="39" t="s">
        <v>166</v>
      </c>
      <c r="C227" s="39" t="s">
        <v>333</v>
      </c>
      <c r="D227" s="5">
        <v>116.591</v>
      </c>
      <c r="E227" s="45">
        <f t="shared" si="15"/>
        <v>8.21875616471253</v>
      </c>
      <c r="F227" s="5">
        <f>SUM(D227-9.58233)</f>
        <v>107.00867</v>
      </c>
      <c r="G227" s="3">
        <v>107.009</v>
      </c>
      <c r="H227" s="29" t="s">
        <v>169</v>
      </c>
    </row>
    <row r="228" spans="1:8" s="65" customFormat="1" ht="17.25" customHeight="1">
      <c r="A228" s="43" t="s">
        <v>167</v>
      </c>
      <c r="B228" s="39" t="s">
        <v>166</v>
      </c>
      <c r="C228" s="39" t="s">
        <v>334</v>
      </c>
      <c r="D228" s="5">
        <v>98.607</v>
      </c>
      <c r="E228" s="45">
        <f t="shared" si="15"/>
        <v>29.483819607127288</v>
      </c>
      <c r="F228" s="5">
        <f>SUM(D228-19.6279-9.44521)</f>
        <v>69.53389</v>
      </c>
      <c r="G228" s="3">
        <v>69.534</v>
      </c>
      <c r="H228" s="29" t="s">
        <v>169</v>
      </c>
    </row>
    <row r="229" spans="1:8" s="65" customFormat="1" ht="17.25" customHeight="1">
      <c r="A229" s="43" t="s">
        <v>167</v>
      </c>
      <c r="B229" s="39" t="s">
        <v>166</v>
      </c>
      <c r="C229" s="39" t="s">
        <v>335</v>
      </c>
      <c r="D229" s="5">
        <v>131.646</v>
      </c>
      <c r="E229" s="45">
        <f t="shared" si="15"/>
        <v>7.39987542348419</v>
      </c>
      <c r="F229" s="5">
        <f>SUM(D229-9.74164)</f>
        <v>121.90435999999998</v>
      </c>
      <c r="G229" s="3">
        <v>121.904</v>
      </c>
      <c r="H229" s="29" t="s">
        <v>169</v>
      </c>
    </row>
    <row r="230" spans="1:8" s="65" customFormat="1" ht="17.25" customHeight="1">
      <c r="A230" s="43" t="s">
        <v>167</v>
      </c>
      <c r="B230" s="39" t="s">
        <v>166</v>
      </c>
      <c r="C230" s="39" t="s">
        <v>336</v>
      </c>
      <c r="D230" s="5">
        <v>90.927</v>
      </c>
      <c r="E230" s="45">
        <f t="shared" si="15"/>
        <v>10.303188271910429</v>
      </c>
      <c r="F230" s="5">
        <f>SUM(D230-9.36838)</f>
        <v>81.55862</v>
      </c>
      <c r="G230" s="3">
        <v>81.559</v>
      </c>
      <c r="H230" s="29" t="s">
        <v>169</v>
      </c>
    </row>
    <row r="231" spans="1:8" s="65" customFormat="1" ht="17.25" customHeight="1">
      <c r="A231" s="43" t="s">
        <v>167</v>
      </c>
      <c r="B231" s="39" t="s">
        <v>166</v>
      </c>
      <c r="C231" s="39" t="s">
        <v>337</v>
      </c>
      <c r="D231" s="5">
        <v>65.129</v>
      </c>
      <c r="E231" s="45">
        <f t="shared" si="15"/>
        <v>14.003408619816057</v>
      </c>
      <c r="F231" s="5">
        <f>SUM(D231-9.12028)</f>
        <v>56.008720000000004</v>
      </c>
      <c r="G231" s="3">
        <v>56.009</v>
      </c>
      <c r="H231" s="29" t="s">
        <v>169</v>
      </c>
    </row>
    <row r="232" spans="1:8" s="65" customFormat="1" ht="17.25" customHeight="1">
      <c r="A232" s="43" t="s">
        <v>167</v>
      </c>
      <c r="B232" s="39" t="s">
        <v>166</v>
      </c>
      <c r="C232" s="39" t="s">
        <v>338</v>
      </c>
      <c r="D232" s="5">
        <v>54.223</v>
      </c>
      <c r="E232" s="45">
        <f t="shared" si="15"/>
        <v>16.675266953137964</v>
      </c>
      <c r="F232" s="5">
        <f>SUM(D232-9.04183)</f>
        <v>45.18117</v>
      </c>
      <c r="G232" s="3">
        <v>45.181</v>
      </c>
      <c r="H232" s="29" t="s">
        <v>169</v>
      </c>
    </row>
    <row r="233" spans="1:8" s="65" customFormat="1" ht="17.25" customHeight="1">
      <c r="A233" s="43" t="s">
        <v>167</v>
      </c>
      <c r="B233" s="39" t="s">
        <v>166</v>
      </c>
      <c r="C233" s="39" t="s">
        <v>339</v>
      </c>
      <c r="D233" s="5">
        <v>100.258</v>
      </c>
      <c r="E233" s="45">
        <f t="shared" si="15"/>
        <v>30.07052803766284</v>
      </c>
      <c r="F233" s="5">
        <f>SUM(D233-30.14811)</f>
        <v>70.10989</v>
      </c>
      <c r="G233" s="10">
        <v>70.11</v>
      </c>
      <c r="H233" s="29" t="s">
        <v>169</v>
      </c>
    </row>
    <row r="234" spans="1:8" s="65" customFormat="1" ht="17.25" customHeight="1">
      <c r="A234" s="43" t="s">
        <v>167</v>
      </c>
      <c r="B234" s="39" t="s">
        <v>166</v>
      </c>
      <c r="C234" s="77" t="s">
        <v>345</v>
      </c>
      <c r="D234" s="5">
        <v>100</v>
      </c>
      <c r="E234" s="45">
        <f t="shared" si="15"/>
        <v>0</v>
      </c>
      <c r="F234" s="5">
        <f>SUM(D234)</f>
        <v>100</v>
      </c>
      <c r="G234" s="10">
        <v>100</v>
      </c>
      <c r="H234" s="29" t="s">
        <v>169</v>
      </c>
    </row>
    <row r="235" spans="1:8" s="65" customFormat="1" ht="17.25" customHeight="1">
      <c r="A235" s="43" t="s">
        <v>167</v>
      </c>
      <c r="B235" s="39" t="s">
        <v>166</v>
      </c>
      <c r="C235" s="77" t="s">
        <v>32</v>
      </c>
      <c r="D235" s="5">
        <v>94.95</v>
      </c>
      <c r="E235" s="45">
        <f>100-(F235/D235)*100</f>
        <v>0</v>
      </c>
      <c r="F235" s="5">
        <f>SUM(D235)</f>
        <v>94.95</v>
      </c>
      <c r="G235" s="10">
        <v>94.95</v>
      </c>
      <c r="H235" s="29" t="s">
        <v>169</v>
      </c>
    </row>
    <row r="236" spans="1:8" s="65" customFormat="1" ht="17.25" customHeight="1">
      <c r="A236" s="43" t="s">
        <v>167</v>
      </c>
      <c r="B236" s="39" t="s">
        <v>166</v>
      </c>
      <c r="C236" s="77" t="s">
        <v>26</v>
      </c>
      <c r="D236" s="5">
        <v>50.3</v>
      </c>
      <c r="E236" s="45">
        <f>100-(F236/D236)*100</f>
        <v>0</v>
      </c>
      <c r="F236" s="5">
        <f>SUM(D236)</f>
        <v>50.3</v>
      </c>
      <c r="G236" s="10">
        <v>50.3</v>
      </c>
      <c r="H236" s="29" t="s">
        <v>169</v>
      </c>
    </row>
    <row r="237" spans="1:8" s="65" customFormat="1" ht="56.25" customHeight="1">
      <c r="A237" s="43"/>
      <c r="B237" s="39"/>
      <c r="C237" s="33" t="s">
        <v>340</v>
      </c>
      <c r="D237" s="4">
        <f>SUM(D238:D241)</f>
        <v>198.656</v>
      </c>
      <c r="E237" s="41"/>
      <c r="F237" s="4">
        <f>SUM(F238:F241)</f>
        <v>168.67276</v>
      </c>
      <c r="G237" s="4">
        <f>SUM(G238:G241)</f>
        <v>168.672</v>
      </c>
      <c r="H237" s="29"/>
    </row>
    <row r="238" spans="1:8" s="65" customFormat="1" ht="18.75" customHeight="1">
      <c r="A238" s="43" t="s">
        <v>167</v>
      </c>
      <c r="B238" s="39" t="s">
        <v>166</v>
      </c>
      <c r="C238" s="39" t="s">
        <v>341</v>
      </c>
      <c r="D238" s="5">
        <v>49.664</v>
      </c>
      <c r="E238" s="45">
        <f>100-(F238/D238)*100</f>
        <v>15.09304526417526</v>
      </c>
      <c r="F238" s="5">
        <f>SUM(D238-7.49581)</f>
        <v>42.16819</v>
      </c>
      <c r="G238" s="3">
        <v>42.168</v>
      </c>
      <c r="H238" s="29" t="s">
        <v>169</v>
      </c>
    </row>
    <row r="239" spans="1:8" s="65" customFormat="1" ht="18.75" customHeight="1">
      <c r="A239" s="43" t="s">
        <v>167</v>
      </c>
      <c r="B239" s="39" t="s">
        <v>166</v>
      </c>
      <c r="C239" s="39" t="s">
        <v>342</v>
      </c>
      <c r="D239" s="5">
        <v>49.664</v>
      </c>
      <c r="E239" s="45">
        <f>100-(F239/D239)*100</f>
        <v>15.09304526417526</v>
      </c>
      <c r="F239" s="5">
        <f>SUM(D239-7.49581)</f>
        <v>42.16819</v>
      </c>
      <c r="G239" s="3">
        <v>42.168</v>
      </c>
      <c r="H239" s="29" t="s">
        <v>169</v>
      </c>
    </row>
    <row r="240" spans="1:8" s="65" customFormat="1" ht="18.75" customHeight="1">
      <c r="A240" s="43" t="s">
        <v>167</v>
      </c>
      <c r="B240" s="39" t="s">
        <v>166</v>
      </c>
      <c r="C240" s="39" t="s">
        <v>343</v>
      </c>
      <c r="D240" s="5">
        <v>49.664</v>
      </c>
      <c r="E240" s="45">
        <f>100-(F240/D240)*100</f>
        <v>15.09304526417526</v>
      </c>
      <c r="F240" s="5">
        <f>SUM(D240-7.49581)</f>
        <v>42.16819</v>
      </c>
      <c r="G240" s="3">
        <v>42.168</v>
      </c>
      <c r="H240" s="29" t="s">
        <v>169</v>
      </c>
    </row>
    <row r="241" spans="1:8" s="65" customFormat="1" ht="18.75" customHeight="1">
      <c r="A241" s="43" t="s">
        <v>167</v>
      </c>
      <c r="B241" s="39" t="s">
        <v>166</v>
      </c>
      <c r="C241" s="39" t="s">
        <v>344</v>
      </c>
      <c r="D241" s="5">
        <v>49.664</v>
      </c>
      <c r="E241" s="45">
        <f>100-(F241/D241)*100</f>
        <v>15.09304526417526</v>
      </c>
      <c r="F241" s="5">
        <f>SUM(D241-7.49581)</f>
        <v>42.16819</v>
      </c>
      <c r="G241" s="3">
        <v>42.168</v>
      </c>
      <c r="H241" s="29" t="s">
        <v>169</v>
      </c>
    </row>
    <row r="242" spans="1:12" s="65" customFormat="1" ht="31.5" customHeight="1">
      <c r="A242" s="138">
        <v>180409</v>
      </c>
      <c r="B242" s="157" t="s">
        <v>275</v>
      </c>
      <c r="C242" s="78" t="s">
        <v>323</v>
      </c>
      <c r="D242" s="13"/>
      <c r="E242" s="13"/>
      <c r="F242" s="13"/>
      <c r="G242" s="12">
        <f>SUM(G243+G244+G245+G246+G247+G248+G249+G250)</f>
        <v>60550.818</v>
      </c>
      <c r="H242" s="79"/>
      <c r="J242" s="80"/>
      <c r="K242" s="80"/>
      <c r="L242" s="80"/>
    </row>
    <row r="243" spans="1:12" s="65" customFormat="1" ht="190.5" customHeight="1">
      <c r="A243" s="139"/>
      <c r="B243" s="158"/>
      <c r="C243" s="53" t="s">
        <v>67</v>
      </c>
      <c r="D243" s="13"/>
      <c r="E243" s="45"/>
      <c r="F243" s="13"/>
      <c r="G243" s="13">
        <f>6289.906-1.394</f>
        <v>6288.512</v>
      </c>
      <c r="H243" s="70" t="s">
        <v>276</v>
      </c>
      <c r="J243" s="80"/>
      <c r="K243" s="80"/>
      <c r="L243" s="80"/>
    </row>
    <row r="244" spans="1:12" s="65" customFormat="1" ht="115.5" customHeight="1">
      <c r="A244" s="139">
        <v>180409</v>
      </c>
      <c r="B244" s="140" t="s">
        <v>275</v>
      </c>
      <c r="C244" s="53" t="s">
        <v>68</v>
      </c>
      <c r="D244" s="13"/>
      <c r="E244" s="45"/>
      <c r="F244" s="13"/>
      <c r="G244" s="13">
        <v>5482.194</v>
      </c>
      <c r="H244" s="70" t="s">
        <v>353</v>
      </c>
      <c r="J244" s="80"/>
      <c r="K244" s="80"/>
      <c r="L244" s="80"/>
    </row>
    <row r="245" spans="1:12" s="65" customFormat="1" ht="151.5" customHeight="1">
      <c r="A245" s="139"/>
      <c r="B245" s="140"/>
      <c r="C245" s="53" t="s">
        <v>69</v>
      </c>
      <c r="D245" s="13"/>
      <c r="E245" s="45"/>
      <c r="F245" s="13"/>
      <c r="G245" s="13">
        <v>10351.561</v>
      </c>
      <c r="H245" s="70" t="s">
        <v>368</v>
      </c>
      <c r="J245" s="80"/>
      <c r="K245" s="80"/>
      <c r="L245" s="80"/>
    </row>
    <row r="246" spans="1:12" s="65" customFormat="1" ht="230.25" customHeight="1">
      <c r="A246" s="139"/>
      <c r="B246" s="140"/>
      <c r="C246" s="53" t="s">
        <v>76</v>
      </c>
      <c r="D246" s="13"/>
      <c r="E246" s="45"/>
      <c r="F246" s="13"/>
      <c r="G246" s="13">
        <v>19851.945</v>
      </c>
      <c r="H246" s="70" t="s">
        <v>277</v>
      </c>
      <c r="J246" s="80"/>
      <c r="K246" s="80"/>
      <c r="L246" s="80"/>
    </row>
    <row r="247" spans="1:12" s="65" customFormat="1" ht="117.75" customHeight="1">
      <c r="A247" s="139"/>
      <c r="B247" s="140"/>
      <c r="C247" s="53" t="s">
        <v>77</v>
      </c>
      <c r="D247" s="13"/>
      <c r="E247" s="45"/>
      <c r="F247" s="13"/>
      <c r="G247" s="13">
        <v>2577.26</v>
      </c>
      <c r="H247" s="70" t="s">
        <v>189</v>
      </c>
      <c r="J247" s="80"/>
      <c r="K247" s="80"/>
      <c r="L247" s="80"/>
    </row>
    <row r="248" spans="1:12" s="65" customFormat="1" ht="169.5" customHeight="1">
      <c r="A248" s="142">
        <v>180409</v>
      </c>
      <c r="B248" s="140" t="s">
        <v>275</v>
      </c>
      <c r="C248" s="53" t="s">
        <v>78</v>
      </c>
      <c r="D248" s="13"/>
      <c r="E248" s="45"/>
      <c r="F248" s="13"/>
      <c r="G248" s="13">
        <v>5875.64</v>
      </c>
      <c r="H248" s="70" t="s">
        <v>278</v>
      </c>
      <c r="J248" s="80"/>
      <c r="K248" s="80"/>
      <c r="L248" s="80"/>
    </row>
    <row r="249" spans="1:12" s="65" customFormat="1" ht="207" customHeight="1">
      <c r="A249" s="143"/>
      <c r="B249" s="141"/>
      <c r="C249" s="53" t="s">
        <v>79</v>
      </c>
      <c r="D249" s="13"/>
      <c r="E249" s="45"/>
      <c r="F249" s="13"/>
      <c r="G249" s="13">
        <f>4690.8+3312.74</f>
        <v>8003.54</v>
      </c>
      <c r="H249" s="70" t="s">
        <v>279</v>
      </c>
      <c r="J249" s="80"/>
      <c r="K249" s="80"/>
      <c r="L249" s="80"/>
    </row>
    <row r="250" spans="1:12" s="65" customFormat="1" ht="75" customHeight="1">
      <c r="A250" s="81"/>
      <c r="B250" s="60"/>
      <c r="C250" s="53" t="s">
        <v>42</v>
      </c>
      <c r="D250" s="13"/>
      <c r="E250" s="45"/>
      <c r="F250" s="13"/>
      <c r="G250" s="13">
        <v>2120.166</v>
      </c>
      <c r="H250" s="46" t="s">
        <v>16</v>
      </c>
      <c r="J250" s="80"/>
      <c r="K250" s="80"/>
      <c r="L250" s="80"/>
    </row>
    <row r="251" spans="1:12" s="65" customFormat="1" ht="74.25" customHeight="1">
      <c r="A251" s="32">
        <v>60</v>
      </c>
      <c r="B251" s="33" t="s">
        <v>217</v>
      </c>
      <c r="C251" s="78"/>
      <c r="D251" s="12">
        <f>SUM(D252:D260)</f>
        <v>138272.77999999997</v>
      </c>
      <c r="E251" s="82"/>
      <c r="F251" s="12">
        <f>SUM(F252:F260)</f>
        <v>127608.05818000002</v>
      </c>
      <c r="G251" s="12">
        <f>SUM(G252:G260)</f>
        <v>11279.308</v>
      </c>
      <c r="H251" s="83"/>
      <c r="J251" s="80"/>
      <c r="K251" s="80"/>
      <c r="L251" s="80"/>
    </row>
    <row r="252" spans="1:12" s="65" customFormat="1" ht="42" customHeight="1">
      <c r="A252" s="81">
        <v>200700</v>
      </c>
      <c r="B252" s="60" t="s">
        <v>274</v>
      </c>
      <c r="C252" s="60" t="s">
        <v>422</v>
      </c>
      <c r="D252" s="13">
        <v>20106.125</v>
      </c>
      <c r="E252" s="45">
        <f aca="true" t="shared" si="16" ref="E252:E260">100-(F252/D252)*100</f>
        <v>0.36422766694226993</v>
      </c>
      <c r="F252" s="13">
        <f>SUM(D252-73.23207)</f>
        <v>20032.89293</v>
      </c>
      <c r="G252" s="13">
        <v>3112.255</v>
      </c>
      <c r="H252" s="29" t="s">
        <v>169</v>
      </c>
      <c r="J252" s="80"/>
      <c r="K252" s="80"/>
      <c r="L252" s="80"/>
    </row>
    <row r="253" spans="1:12" s="65" customFormat="1" ht="75" customHeight="1">
      <c r="A253" s="81">
        <v>200700</v>
      </c>
      <c r="B253" s="60" t="s">
        <v>274</v>
      </c>
      <c r="C253" s="60" t="s">
        <v>425</v>
      </c>
      <c r="D253" s="13">
        <v>10055.245</v>
      </c>
      <c r="E253" s="45">
        <f t="shared" si="16"/>
        <v>66.69794788689882</v>
      </c>
      <c r="F253" s="13">
        <f>SUM(D253-6706.64207)</f>
        <v>3348.602930000001</v>
      </c>
      <c r="G253" s="13">
        <v>3000</v>
      </c>
      <c r="H253" s="29" t="s">
        <v>169</v>
      </c>
      <c r="J253" s="80"/>
      <c r="K253" s="80"/>
      <c r="L253" s="80"/>
    </row>
    <row r="254" spans="1:12" s="65" customFormat="1" ht="73.5" customHeight="1">
      <c r="A254" s="81">
        <v>200700</v>
      </c>
      <c r="B254" s="60" t="s">
        <v>274</v>
      </c>
      <c r="C254" s="60" t="s">
        <v>423</v>
      </c>
      <c r="D254" s="13">
        <v>12260.502</v>
      </c>
      <c r="E254" s="45">
        <f t="shared" si="16"/>
        <v>2.5838809047133537</v>
      </c>
      <c r="F254" s="13">
        <f>SUM(D254-316.79777)+0.001</f>
        <v>11943.705230000001</v>
      </c>
      <c r="G254" s="13">
        <v>0.722</v>
      </c>
      <c r="H254" s="29" t="s">
        <v>169</v>
      </c>
      <c r="J254" s="80"/>
      <c r="K254" s="80"/>
      <c r="L254" s="80"/>
    </row>
    <row r="255" spans="1:12" s="65" customFormat="1" ht="57" customHeight="1">
      <c r="A255" s="81">
        <v>200700</v>
      </c>
      <c r="B255" s="60" t="s">
        <v>274</v>
      </c>
      <c r="C255" s="60" t="s">
        <v>43</v>
      </c>
      <c r="D255" s="13">
        <v>59844.115</v>
      </c>
      <c r="E255" s="45">
        <f t="shared" si="16"/>
        <v>0</v>
      </c>
      <c r="F255" s="13">
        <f>SUM(D255)</f>
        <v>59844.115</v>
      </c>
      <c r="G255" s="13">
        <v>3910.738</v>
      </c>
      <c r="H255" s="29" t="s">
        <v>368</v>
      </c>
      <c r="J255" s="80"/>
      <c r="K255" s="80"/>
      <c r="L255" s="80"/>
    </row>
    <row r="256" spans="1:12" s="65" customFormat="1" ht="80.25" customHeight="1">
      <c r="A256" s="81">
        <v>200700</v>
      </c>
      <c r="B256" s="60" t="s">
        <v>274</v>
      </c>
      <c r="C256" s="60" t="s">
        <v>281</v>
      </c>
      <c r="D256" s="13">
        <v>5131.557</v>
      </c>
      <c r="E256" s="45">
        <f t="shared" si="16"/>
        <v>9.140039368168374</v>
      </c>
      <c r="F256" s="13">
        <f>SUM(D256-469.02633)</f>
        <v>4662.53067</v>
      </c>
      <c r="G256" s="13">
        <v>569.119</v>
      </c>
      <c r="H256" s="29" t="s">
        <v>169</v>
      </c>
      <c r="J256" s="80"/>
      <c r="K256" s="80"/>
      <c r="L256" s="80"/>
    </row>
    <row r="257" spans="1:12" s="65" customFormat="1" ht="60" customHeight="1">
      <c r="A257" s="81">
        <v>200700</v>
      </c>
      <c r="B257" s="60" t="s">
        <v>274</v>
      </c>
      <c r="C257" s="60" t="s">
        <v>424</v>
      </c>
      <c r="D257" s="13">
        <v>4693.146</v>
      </c>
      <c r="E257" s="45">
        <f t="shared" si="16"/>
        <v>36.3798375332879</v>
      </c>
      <c r="F257" s="13">
        <f>SUM(D257-1707.35989)+0.001</f>
        <v>2985.78711</v>
      </c>
      <c r="G257" s="13">
        <v>422.789</v>
      </c>
      <c r="H257" s="29" t="s">
        <v>169</v>
      </c>
      <c r="J257" s="80"/>
      <c r="K257" s="80"/>
      <c r="L257" s="80"/>
    </row>
    <row r="258" spans="1:12" s="65" customFormat="1" ht="77.25" customHeight="1">
      <c r="A258" s="81">
        <v>200700</v>
      </c>
      <c r="B258" s="60" t="s">
        <v>274</v>
      </c>
      <c r="C258" s="60" t="s">
        <v>44</v>
      </c>
      <c r="D258" s="13">
        <v>25042.561</v>
      </c>
      <c r="E258" s="45">
        <f t="shared" si="16"/>
        <v>1.6658855697705945</v>
      </c>
      <c r="F258" s="13">
        <f>SUM(D258-417.18041)</f>
        <v>24625.38059</v>
      </c>
      <c r="G258" s="13">
        <v>98.641</v>
      </c>
      <c r="H258" s="29" t="s">
        <v>169</v>
      </c>
      <c r="J258" s="80"/>
      <c r="K258" s="80"/>
      <c r="L258" s="80"/>
    </row>
    <row r="259" spans="1:12" s="65" customFormat="1" ht="66.75" customHeight="1">
      <c r="A259" s="81">
        <v>200700</v>
      </c>
      <c r="B259" s="60" t="s">
        <v>274</v>
      </c>
      <c r="C259" s="60" t="s">
        <v>386</v>
      </c>
      <c r="D259" s="13">
        <v>901.629</v>
      </c>
      <c r="E259" s="45">
        <f t="shared" si="16"/>
        <v>90.6113357045969</v>
      </c>
      <c r="F259" s="13">
        <f>SUM(D259-816.97808)</f>
        <v>84.65092000000004</v>
      </c>
      <c r="G259" s="13">
        <v>84.651</v>
      </c>
      <c r="H259" s="29" t="s">
        <v>169</v>
      </c>
      <c r="J259" s="80"/>
      <c r="K259" s="80"/>
      <c r="L259" s="80"/>
    </row>
    <row r="260" spans="1:12" s="65" customFormat="1" ht="54.75" customHeight="1">
      <c r="A260" s="81">
        <v>200700</v>
      </c>
      <c r="B260" s="60" t="s">
        <v>274</v>
      </c>
      <c r="C260" s="60" t="s">
        <v>324</v>
      </c>
      <c r="D260" s="13">
        <v>237.9</v>
      </c>
      <c r="E260" s="45">
        <f t="shared" si="16"/>
        <v>66.20731399747794</v>
      </c>
      <c r="F260" s="13">
        <f>SUM(D260-157.5072)</f>
        <v>80.3928</v>
      </c>
      <c r="G260" s="13">
        <v>80.393</v>
      </c>
      <c r="H260" s="29" t="s">
        <v>169</v>
      </c>
      <c r="J260" s="80"/>
      <c r="K260" s="80"/>
      <c r="L260" s="80"/>
    </row>
    <row r="261" spans="1:8" s="55" customFormat="1" ht="96.75" customHeight="1">
      <c r="A261" s="84" t="s">
        <v>130</v>
      </c>
      <c r="B261" s="33" t="s">
        <v>193</v>
      </c>
      <c r="C261" s="33"/>
      <c r="D261" s="4">
        <f>SUM(D262+D263+D264+D265+D267+D268+D269+D266)</f>
        <v>85982.98067</v>
      </c>
      <c r="E261" s="4"/>
      <c r="F261" s="4">
        <f>SUM(F262+F263+F264+F265+F267+F268+F269+F266)</f>
        <v>84976.16109000001</v>
      </c>
      <c r="G261" s="4">
        <f>SUM(G262+G263+G264+G265+G267+G268+G269+G266)</f>
        <v>48002.532999999996</v>
      </c>
      <c r="H261" s="34"/>
    </row>
    <row r="262" spans="1:8" s="55" customFormat="1" ht="57" customHeight="1">
      <c r="A262" s="85" t="s">
        <v>167</v>
      </c>
      <c r="B262" s="39" t="s">
        <v>166</v>
      </c>
      <c r="C262" s="39" t="s">
        <v>45</v>
      </c>
      <c r="D262" s="5">
        <v>4081.52467</v>
      </c>
      <c r="E262" s="45">
        <f aca="true" t="shared" si="17" ref="E262:E267">100-(F262/D262)*100</f>
        <v>16.895156975738672</v>
      </c>
      <c r="F262" s="5">
        <f>SUM(D262-689.58)</f>
        <v>3391.94467</v>
      </c>
      <c r="G262" s="5">
        <f>3203.127-2500</f>
        <v>703.127</v>
      </c>
      <c r="H262" s="29" t="s">
        <v>169</v>
      </c>
    </row>
    <row r="263" spans="1:8" s="55" customFormat="1" ht="60" customHeight="1">
      <c r="A263" s="85" t="s">
        <v>167</v>
      </c>
      <c r="B263" s="39" t="s">
        <v>166</v>
      </c>
      <c r="C263" s="39" t="s">
        <v>382</v>
      </c>
      <c r="D263" s="5">
        <v>605.465</v>
      </c>
      <c r="E263" s="45">
        <f t="shared" si="17"/>
        <v>29.79185584633298</v>
      </c>
      <c r="F263" s="5">
        <f>SUM(D263-180.37926)</f>
        <v>425.08574000000004</v>
      </c>
      <c r="G263" s="5">
        <v>419.621</v>
      </c>
      <c r="H263" s="29"/>
    </row>
    <row r="264" spans="1:8" s="55" customFormat="1" ht="60" customHeight="1">
      <c r="A264" s="85" t="s">
        <v>167</v>
      </c>
      <c r="B264" s="39" t="s">
        <v>166</v>
      </c>
      <c r="C264" s="39" t="s">
        <v>383</v>
      </c>
      <c r="D264" s="5">
        <v>474.716</v>
      </c>
      <c r="E264" s="45">
        <f t="shared" si="17"/>
        <v>28.829936214494552</v>
      </c>
      <c r="F264" s="5">
        <f>SUM(D264-136.86032)</f>
        <v>337.85568</v>
      </c>
      <c r="G264" s="5">
        <f>4.415+264.787</f>
        <v>269.202</v>
      </c>
      <c r="H264" s="29"/>
    </row>
    <row r="265" spans="1:8" s="55" customFormat="1" ht="80.25" customHeight="1">
      <c r="A265" s="85" t="s">
        <v>167</v>
      </c>
      <c r="B265" s="39" t="s">
        <v>166</v>
      </c>
      <c r="C265" s="39" t="s">
        <v>433</v>
      </c>
      <c r="D265" s="5">
        <v>350</v>
      </c>
      <c r="E265" s="45">
        <f t="shared" si="17"/>
        <v>0</v>
      </c>
      <c r="F265" s="5">
        <f>SUM(D265)</f>
        <v>350</v>
      </c>
      <c r="G265" s="5">
        <v>350</v>
      </c>
      <c r="H265" s="29"/>
    </row>
    <row r="266" spans="1:8" s="55" customFormat="1" ht="43.5" customHeight="1">
      <c r="A266" s="85" t="s">
        <v>167</v>
      </c>
      <c r="B266" s="39" t="s">
        <v>166</v>
      </c>
      <c r="C266" s="39" t="s">
        <v>330</v>
      </c>
      <c r="D266" s="5">
        <v>78858.047</v>
      </c>
      <c r="E266" s="45">
        <f t="shared" si="17"/>
        <v>0</v>
      </c>
      <c r="F266" s="5">
        <f>SUM(D266)</f>
        <v>78858.047</v>
      </c>
      <c r="G266" s="5">
        <f>14080.267-8580.267-4049.612</f>
        <v>1450.388</v>
      </c>
      <c r="H266" s="29" t="s">
        <v>169</v>
      </c>
    </row>
    <row r="267" spans="1:8" s="55" customFormat="1" ht="81" customHeight="1">
      <c r="A267" s="85" t="s">
        <v>167</v>
      </c>
      <c r="B267" s="39" t="s">
        <v>166</v>
      </c>
      <c r="C267" s="39" t="s">
        <v>434</v>
      </c>
      <c r="D267" s="5">
        <v>874.644</v>
      </c>
      <c r="E267" s="45">
        <f t="shared" si="17"/>
        <v>0</v>
      </c>
      <c r="F267" s="5">
        <f>SUM(D267)</f>
        <v>874.644</v>
      </c>
      <c r="G267" s="5">
        <f>874.644-717.04</f>
        <v>157.60400000000004</v>
      </c>
      <c r="H267" s="29"/>
    </row>
    <row r="268" spans="1:8" s="55" customFormat="1" ht="54.75" customHeight="1">
      <c r="A268" s="85" t="s">
        <v>167</v>
      </c>
      <c r="B268" s="39" t="s">
        <v>166</v>
      </c>
      <c r="C268" s="39" t="s">
        <v>435</v>
      </c>
      <c r="D268" s="5">
        <v>738.584</v>
      </c>
      <c r="E268" s="45">
        <f>100-(F268/D268)*100</f>
        <v>0</v>
      </c>
      <c r="F268" s="5">
        <f>SUM(D268)</f>
        <v>738.584</v>
      </c>
      <c r="G268" s="5">
        <v>738.584</v>
      </c>
      <c r="H268" s="29"/>
    </row>
    <row r="269" spans="1:9" s="55" customFormat="1" ht="45.75" customHeight="1">
      <c r="A269" s="149" t="s">
        <v>284</v>
      </c>
      <c r="B269" s="161" t="s">
        <v>275</v>
      </c>
      <c r="C269" s="86" t="s">
        <v>322</v>
      </c>
      <c r="D269" s="5"/>
      <c r="E269" s="45"/>
      <c r="F269" s="5"/>
      <c r="G269" s="5">
        <f>SUM(G271+G270+G272)</f>
        <v>43914.007</v>
      </c>
      <c r="H269" s="40"/>
      <c r="I269" s="87"/>
    </row>
    <row r="270" spans="1:9" s="55" customFormat="1" ht="39.75" customHeight="1">
      <c r="A270" s="149"/>
      <c r="B270" s="161"/>
      <c r="C270" s="86" t="s">
        <v>75</v>
      </c>
      <c r="D270" s="5"/>
      <c r="E270" s="45"/>
      <c r="F270" s="5"/>
      <c r="G270" s="5">
        <v>195.592</v>
      </c>
      <c r="H270" s="40" t="s">
        <v>70</v>
      </c>
      <c r="I270" s="87"/>
    </row>
    <row r="271" spans="1:8" s="55" customFormat="1" ht="110.25" customHeight="1">
      <c r="A271" s="149"/>
      <c r="B271" s="161"/>
      <c r="C271" s="39" t="s">
        <v>71</v>
      </c>
      <c r="D271" s="5"/>
      <c r="E271" s="45"/>
      <c r="F271" s="5"/>
      <c r="G271" s="5">
        <f>25174.48-1474.48</f>
        <v>23700</v>
      </c>
      <c r="H271" s="29" t="s">
        <v>293</v>
      </c>
    </row>
    <row r="272" spans="1:8" s="55" customFormat="1" ht="132.75" customHeight="1">
      <c r="A272" s="149"/>
      <c r="B272" s="161"/>
      <c r="C272" s="39" t="s">
        <v>72</v>
      </c>
      <c r="D272" s="5"/>
      <c r="E272" s="45"/>
      <c r="F272" s="5"/>
      <c r="G272" s="5">
        <f>18368+1350+15+1118-832.585</f>
        <v>20018.415</v>
      </c>
      <c r="H272" s="29" t="s">
        <v>294</v>
      </c>
    </row>
    <row r="273" spans="1:8" ht="73.5" customHeight="1">
      <c r="A273" s="32">
        <v>73</v>
      </c>
      <c r="B273" s="33" t="s">
        <v>83</v>
      </c>
      <c r="C273" s="33"/>
      <c r="D273" s="4">
        <f>SUM(D274+D277+D278+D275+D276)</f>
        <v>28218.961000000003</v>
      </c>
      <c r="E273" s="4"/>
      <c r="F273" s="4">
        <f>SUM(F274+F277+F278+F275+F276)+0.001</f>
        <v>16467.697350000002</v>
      </c>
      <c r="G273" s="4">
        <f>SUM(G274+G277+G278+G275+G276+G279)</f>
        <v>16320.061000000002</v>
      </c>
      <c r="H273" s="42"/>
    </row>
    <row r="274" spans="1:8" ht="36" customHeight="1">
      <c r="A274" s="43" t="s">
        <v>167</v>
      </c>
      <c r="B274" s="39" t="s">
        <v>166</v>
      </c>
      <c r="C274" s="39" t="s">
        <v>194</v>
      </c>
      <c r="D274" s="5">
        <v>13415.939</v>
      </c>
      <c r="E274" s="45">
        <f>100-(F274/D274)*100</f>
        <v>49.656134617189295</v>
      </c>
      <c r="F274" s="5">
        <f>SUM(D274-(2.65228+224.04934+1231.39282+3025.28968+831.30335+1041.19882+305.95144))+0.001</f>
        <v>6754.10227</v>
      </c>
      <c r="G274" s="5">
        <v>6754.102</v>
      </c>
      <c r="H274" s="29" t="s">
        <v>169</v>
      </c>
    </row>
    <row r="275" spans="1:8" ht="54" customHeight="1">
      <c r="A275" s="43" t="s">
        <v>167</v>
      </c>
      <c r="B275" s="39" t="s">
        <v>166</v>
      </c>
      <c r="C275" s="39" t="s">
        <v>199</v>
      </c>
      <c r="D275" s="5">
        <v>351.416</v>
      </c>
      <c r="E275" s="45">
        <f>100-(F275/D275)*100</f>
        <v>13.917223461652284</v>
      </c>
      <c r="F275" s="5">
        <f>SUM(D275-48.90735)</f>
        <v>302.50865</v>
      </c>
      <c r="G275" s="5">
        <v>151.093</v>
      </c>
      <c r="H275" s="29" t="s">
        <v>169</v>
      </c>
    </row>
    <row r="276" spans="1:8" ht="54" customHeight="1">
      <c r="A276" s="43" t="s">
        <v>167</v>
      </c>
      <c r="B276" s="39" t="s">
        <v>166</v>
      </c>
      <c r="C276" s="39" t="s">
        <v>200</v>
      </c>
      <c r="D276" s="5">
        <v>172.787</v>
      </c>
      <c r="E276" s="45">
        <f>100-(F276/D276)*100</f>
        <v>14.57129297921719</v>
      </c>
      <c r="F276" s="5">
        <f>SUM(D276-25.1773)</f>
        <v>147.6097</v>
      </c>
      <c r="G276" s="5">
        <v>147.61</v>
      </c>
      <c r="H276" s="29" t="s">
        <v>169</v>
      </c>
    </row>
    <row r="277" spans="1:8" ht="35.25" customHeight="1">
      <c r="A277" s="43" t="s">
        <v>167</v>
      </c>
      <c r="B277" s="39" t="s">
        <v>166</v>
      </c>
      <c r="C277" s="39" t="s">
        <v>195</v>
      </c>
      <c r="D277" s="5">
        <v>168.762</v>
      </c>
      <c r="E277" s="88">
        <f>100-(F277/D277)*100</f>
        <v>25.494951470117684</v>
      </c>
      <c r="F277" s="5">
        <f>SUM(D277-34.48159-8.1492-0.396)+0.001</f>
        <v>125.73621000000001</v>
      </c>
      <c r="G277" s="5">
        <v>125.736</v>
      </c>
      <c r="H277" s="29" t="s">
        <v>169</v>
      </c>
    </row>
    <row r="278" spans="1:8" ht="111" customHeight="1">
      <c r="A278" s="43" t="s">
        <v>196</v>
      </c>
      <c r="B278" s="38" t="s">
        <v>197</v>
      </c>
      <c r="C278" s="39" t="s">
        <v>198</v>
      </c>
      <c r="D278" s="5">
        <v>14110.057</v>
      </c>
      <c r="E278" s="45">
        <f>100-(F278/D278)*100</f>
        <v>35.239527948044426</v>
      </c>
      <c r="F278" s="5">
        <f>SUM(D278)-(56.35656+570.604+1000+338.9424+271.5277+862.47196+1642.00706+230.4078)</f>
        <v>9137.739520000001</v>
      </c>
      <c r="G278" s="5">
        <v>9137.74</v>
      </c>
      <c r="H278" s="29" t="s">
        <v>169</v>
      </c>
    </row>
    <row r="279" spans="1:8" ht="110.25" customHeight="1">
      <c r="A279" s="43" t="s">
        <v>284</v>
      </c>
      <c r="B279" s="38" t="s">
        <v>275</v>
      </c>
      <c r="C279" s="39" t="s">
        <v>73</v>
      </c>
      <c r="D279" s="5"/>
      <c r="E279" s="45"/>
      <c r="F279" s="5"/>
      <c r="G279" s="5">
        <v>3.78</v>
      </c>
      <c r="H279" s="29" t="s">
        <v>74</v>
      </c>
    </row>
    <row r="280" spans="1:8" ht="90.75" customHeight="1">
      <c r="A280" s="32">
        <v>91</v>
      </c>
      <c r="B280" s="33" t="s">
        <v>328</v>
      </c>
      <c r="C280" s="33"/>
      <c r="D280" s="4">
        <f>SUM(D281:D281)</f>
        <v>8712.65</v>
      </c>
      <c r="E280" s="4"/>
      <c r="F280" s="4">
        <f>SUM(F281:F281)</f>
        <v>8712.65</v>
      </c>
      <c r="G280" s="4">
        <f>SUM(G281:G281)</f>
        <v>438.266</v>
      </c>
      <c r="H280" s="42"/>
    </row>
    <row r="281" spans="1:8" ht="39.75" customHeight="1">
      <c r="A281" s="43" t="s">
        <v>167</v>
      </c>
      <c r="B281" s="39" t="s">
        <v>166</v>
      </c>
      <c r="C281" s="89" t="s">
        <v>362</v>
      </c>
      <c r="D281" s="90">
        <v>8712.65</v>
      </c>
      <c r="E281" s="45">
        <f>100-(F281/D281)*100</f>
        <v>0</v>
      </c>
      <c r="F281" s="5">
        <f>D281</f>
        <v>8712.65</v>
      </c>
      <c r="G281" s="5">
        <v>438.266</v>
      </c>
      <c r="H281" s="29" t="s">
        <v>169</v>
      </c>
    </row>
    <row r="282" spans="1:8" ht="110.25" customHeight="1">
      <c r="A282" s="32">
        <v>92</v>
      </c>
      <c r="B282" s="33" t="s">
        <v>86</v>
      </c>
      <c r="C282" s="33"/>
      <c r="D282" s="4">
        <f>SUM(D283+D286+D287+D288+D289+D290+D291+D292+D293+D284+D285)</f>
        <v>37932.6</v>
      </c>
      <c r="E282" s="41"/>
      <c r="F282" s="4">
        <f>SUM(F283+F286+F287+F288+F289+F290+F291+F292+F293+F284+F285)</f>
        <v>35909.51616</v>
      </c>
      <c r="G282" s="4">
        <f>SUM(G283+G286+G287+G288+G289+G290+G291+G292+G293+G284+G285)</f>
        <v>5542.1179999999995</v>
      </c>
      <c r="H282" s="42"/>
    </row>
    <row r="283" spans="1:8" ht="30.75" customHeight="1">
      <c r="A283" s="43" t="s">
        <v>167</v>
      </c>
      <c r="B283" s="39" t="s">
        <v>166</v>
      </c>
      <c r="C283" s="39" t="s">
        <v>201</v>
      </c>
      <c r="D283" s="5">
        <v>10000</v>
      </c>
      <c r="E283" s="45">
        <f aca="true" t="shared" si="18" ref="E283:E293">100-(F283/D283)*100</f>
        <v>1.1687439000000097</v>
      </c>
      <c r="F283" s="5">
        <f>SUM(D283-0.85027-116.02412)</f>
        <v>9883.12561</v>
      </c>
      <c r="G283" s="5">
        <v>128.4</v>
      </c>
      <c r="H283" s="29" t="s">
        <v>169</v>
      </c>
    </row>
    <row r="284" spans="1:8" ht="56.25" customHeight="1">
      <c r="A284" s="43" t="s">
        <v>167</v>
      </c>
      <c r="B284" s="39" t="s">
        <v>166</v>
      </c>
      <c r="C284" s="39" t="s">
        <v>55</v>
      </c>
      <c r="D284" s="5">
        <v>875.95</v>
      </c>
      <c r="E284" s="45">
        <f>100-(F284/D284)*100</f>
        <v>68.51247217306924</v>
      </c>
      <c r="F284" s="5">
        <v>275.815</v>
      </c>
      <c r="G284" s="5">
        <v>10.965</v>
      </c>
      <c r="H284" s="29" t="s">
        <v>169</v>
      </c>
    </row>
    <row r="285" spans="1:8" ht="62.25" customHeight="1">
      <c r="A285" s="43" t="s">
        <v>167</v>
      </c>
      <c r="B285" s="39" t="s">
        <v>166</v>
      </c>
      <c r="C285" s="39" t="s">
        <v>56</v>
      </c>
      <c r="D285" s="5">
        <v>999.736</v>
      </c>
      <c r="E285" s="45">
        <f>100-(F285/D285)*100</f>
        <v>81.48301151503998</v>
      </c>
      <c r="F285" s="5">
        <v>185.121</v>
      </c>
      <c r="G285" s="5">
        <v>10.79</v>
      </c>
      <c r="H285" s="29" t="s">
        <v>169</v>
      </c>
    </row>
    <row r="286" spans="1:8" s="55" customFormat="1" ht="65.25" customHeight="1">
      <c r="A286" s="43" t="s">
        <v>167</v>
      </c>
      <c r="B286" s="39" t="s">
        <v>166</v>
      </c>
      <c r="C286" s="39" t="s">
        <v>234</v>
      </c>
      <c r="D286" s="5">
        <v>2129.131</v>
      </c>
      <c r="E286" s="45">
        <f t="shared" si="18"/>
        <v>0</v>
      </c>
      <c r="F286" s="5">
        <f>SUM(D286)</f>
        <v>2129.131</v>
      </c>
      <c r="G286" s="5">
        <v>2129.131</v>
      </c>
      <c r="H286" s="29" t="s">
        <v>169</v>
      </c>
    </row>
    <row r="287" spans="1:8" s="55" customFormat="1" ht="75.75" customHeight="1">
      <c r="A287" s="43" t="s">
        <v>167</v>
      </c>
      <c r="B287" s="39" t="s">
        <v>166</v>
      </c>
      <c r="C287" s="39" t="s">
        <v>432</v>
      </c>
      <c r="D287" s="5">
        <v>1725.658</v>
      </c>
      <c r="E287" s="45">
        <f t="shared" si="18"/>
        <v>0</v>
      </c>
      <c r="F287" s="5">
        <f>SUM(D287)</f>
        <v>1725.658</v>
      </c>
      <c r="G287" s="5">
        <v>1725.658</v>
      </c>
      <c r="H287" s="29" t="s">
        <v>169</v>
      </c>
    </row>
    <row r="288" spans="1:8" s="55" customFormat="1" ht="60" customHeight="1">
      <c r="A288" s="43" t="s">
        <v>167</v>
      </c>
      <c r="B288" s="39" t="s">
        <v>166</v>
      </c>
      <c r="C288" s="39" t="s">
        <v>233</v>
      </c>
      <c r="D288" s="5">
        <v>1107.209</v>
      </c>
      <c r="E288" s="45">
        <f t="shared" si="18"/>
        <v>2.4948541783890903</v>
      </c>
      <c r="F288" s="5">
        <f>SUM(D288-27.62325)</f>
        <v>1079.58575</v>
      </c>
      <c r="G288" s="5">
        <v>1079.586</v>
      </c>
      <c r="H288" s="29" t="s">
        <v>169</v>
      </c>
    </row>
    <row r="289" spans="1:8" ht="57.75" customHeight="1">
      <c r="A289" s="43" t="s">
        <v>167</v>
      </c>
      <c r="B289" s="39" t="s">
        <v>166</v>
      </c>
      <c r="C289" s="39" t="s">
        <v>46</v>
      </c>
      <c r="D289" s="90">
        <v>12748.462</v>
      </c>
      <c r="E289" s="45">
        <f t="shared" si="18"/>
        <v>0.6953533689005127</v>
      </c>
      <c r="F289" s="5">
        <f>SUM(D289-88.64686)</f>
        <v>12659.815139999999</v>
      </c>
      <c r="G289" s="5">
        <v>39.208</v>
      </c>
      <c r="H289" s="29" t="s">
        <v>169</v>
      </c>
    </row>
    <row r="290" spans="1:8" ht="54.75" customHeight="1">
      <c r="A290" s="43" t="s">
        <v>167</v>
      </c>
      <c r="B290" s="39" t="s">
        <v>166</v>
      </c>
      <c r="C290" s="39" t="s">
        <v>47</v>
      </c>
      <c r="D290" s="90">
        <v>7398.667</v>
      </c>
      <c r="E290" s="45">
        <f t="shared" si="18"/>
        <v>0.15585631844223258</v>
      </c>
      <c r="F290" s="5">
        <f>SUM(D290-11.53129)</f>
        <v>7387.1357100000005</v>
      </c>
      <c r="G290" s="5">
        <v>88.638</v>
      </c>
      <c r="H290" s="29" t="s">
        <v>169</v>
      </c>
    </row>
    <row r="291" spans="1:8" ht="55.5" customHeight="1">
      <c r="A291" s="43" t="s">
        <v>167</v>
      </c>
      <c r="B291" s="39" t="s">
        <v>166</v>
      </c>
      <c r="C291" s="39" t="s">
        <v>203</v>
      </c>
      <c r="D291" s="90">
        <v>609.237</v>
      </c>
      <c r="E291" s="45">
        <f t="shared" si="18"/>
        <v>57.854181541830194</v>
      </c>
      <c r="F291" s="5">
        <f>D291-0.68238-254.73094-97.05576</f>
        <v>256.76791999999995</v>
      </c>
      <c r="G291" s="5">
        <f>2.381+42.413-42.413</f>
        <v>2.3810000000000002</v>
      </c>
      <c r="H291" s="29" t="s">
        <v>169</v>
      </c>
    </row>
    <row r="292" spans="1:8" ht="57.75" customHeight="1">
      <c r="A292" s="43" t="s">
        <v>167</v>
      </c>
      <c r="B292" s="39" t="s">
        <v>166</v>
      </c>
      <c r="C292" s="39" t="s">
        <v>408</v>
      </c>
      <c r="D292" s="90">
        <v>38.55</v>
      </c>
      <c r="E292" s="45">
        <f t="shared" si="18"/>
        <v>0</v>
      </c>
      <c r="F292" s="5">
        <f>SUM(D292)</f>
        <v>38.55</v>
      </c>
      <c r="G292" s="5">
        <v>38.55</v>
      </c>
      <c r="H292" s="29" t="s">
        <v>169</v>
      </c>
    </row>
    <row r="293" spans="1:8" ht="85.5" customHeight="1">
      <c r="A293" s="43" t="s">
        <v>167</v>
      </c>
      <c r="B293" s="39" t="s">
        <v>166</v>
      </c>
      <c r="C293" s="39" t="s">
        <v>406</v>
      </c>
      <c r="D293" s="90">
        <v>300</v>
      </c>
      <c r="E293" s="45">
        <f t="shared" si="18"/>
        <v>3.729656666666685</v>
      </c>
      <c r="F293" s="5">
        <f>SUM(D293-11.18997)+0.001</f>
        <v>288.81102999999996</v>
      </c>
      <c r="G293" s="5">
        <v>288.811</v>
      </c>
      <c r="H293" s="29" t="s">
        <v>169</v>
      </c>
    </row>
    <row r="294" spans="1:8" ht="114.75" customHeight="1">
      <c r="A294" s="32">
        <v>94</v>
      </c>
      <c r="B294" s="33" t="s">
        <v>325</v>
      </c>
      <c r="C294" s="33"/>
      <c r="D294" s="4">
        <f>SUM(D295:D295)</f>
        <v>5756.846</v>
      </c>
      <c r="E294" s="4"/>
      <c r="F294" s="4">
        <f>SUM(F295:F295)</f>
        <v>5756.846</v>
      </c>
      <c r="G294" s="4">
        <f>SUM(G295:G295)</f>
        <v>3339.853</v>
      </c>
      <c r="H294" s="42"/>
    </row>
    <row r="295" spans="1:8" ht="39.75" customHeight="1">
      <c r="A295" s="43" t="s">
        <v>167</v>
      </c>
      <c r="B295" s="39" t="s">
        <v>166</v>
      </c>
      <c r="C295" s="60" t="s">
        <v>385</v>
      </c>
      <c r="D295" s="90">
        <v>5756.846</v>
      </c>
      <c r="E295" s="45">
        <f>100-(F295/D295)*100</f>
        <v>0</v>
      </c>
      <c r="F295" s="5">
        <v>5756.846</v>
      </c>
      <c r="G295" s="5">
        <f>2500+839.853</f>
        <v>3339.853</v>
      </c>
      <c r="H295" s="29" t="s">
        <v>169</v>
      </c>
    </row>
    <row r="296" spans="1:8" ht="99" customHeight="1">
      <c r="A296" s="32">
        <v>95</v>
      </c>
      <c r="B296" s="33" t="s">
        <v>327</v>
      </c>
      <c r="C296" s="33"/>
      <c r="D296" s="4">
        <f>SUM(D297:D297)</f>
        <v>10609.909</v>
      </c>
      <c r="E296" s="4"/>
      <c r="F296" s="4">
        <f>SUM(F297:F297)</f>
        <v>10609.909</v>
      </c>
      <c r="G296" s="4">
        <f>SUM(G297:G297)</f>
        <v>449.99</v>
      </c>
      <c r="H296" s="42"/>
    </row>
    <row r="297" spans="1:8" ht="57.75" customHeight="1">
      <c r="A297" s="43" t="s">
        <v>167</v>
      </c>
      <c r="B297" s="39" t="s">
        <v>166</v>
      </c>
      <c r="C297" s="46" t="s">
        <v>363</v>
      </c>
      <c r="D297" s="90">
        <v>10609.909</v>
      </c>
      <c r="E297" s="45">
        <f>100-(F297/D297)*100</f>
        <v>0</v>
      </c>
      <c r="F297" s="5">
        <f>D297</f>
        <v>10609.909</v>
      </c>
      <c r="G297" s="5">
        <v>449.99</v>
      </c>
      <c r="H297" s="29" t="s">
        <v>169</v>
      </c>
    </row>
    <row r="298" spans="1:8" ht="117" customHeight="1">
      <c r="A298" s="32">
        <v>96</v>
      </c>
      <c r="B298" s="33" t="s">
        <v>329</v>
      </c>
      <c r="C298" s="33"/>
      <c r="D298" s="4">
        <f>SUM(D299:D299)</f>
        <v>12000</v>
      </c>
      <c r="E298" s="4"/>
      <c r="F298" s="4">
        <f>SUM(F299:F299)</f>
        <v>12000</v>
      </c>
      <c r="G298" s="4">
        <f>SUM(G299:G299)</f>
        <v>526</v>
      </c>
      <c r="H298" s="42"/>
    </row>
    <row r="299" spans="1:8" ht="40.5" customHeight="1" thickBot="1">
      <c r="A299" s="91" t="s">
        <v>167</v>
      </c>
      <c r="B299" s="92" t="s">
        <v>166</v>
      </c>
      <c r="C299" s="93" t="s">
        <v>364</v>
      </c>
      <c r="D299" s="94">
        <v>12000</v>
      </c>
      <c r="E299" s="95">
        <f>100-(F299/D299)*100</f>
        <v>0</v>
      </c>
      <c r="F299" s="14">
        <f>D299</f>
        <v>12000</v>
      </c>
      <c r="G299" s="14">
        <v>526</v>
      </c>
      <c r="H299" s="96" t="s">
        <v>169</v>
      </c>
    </row>
  </sheetData>
  <sheetProtection/>
  <autoFilter ref="H1:H299"/>
  <mergeCells count="26">
    <mergeCell ref="H11:H12"/>
    <mergeCell ref="B25:B26"/>
    <mergeCell ref="H25:H26"/>
    <mergeCell ref="D11:D12"/>
    <mergeCell ref="B10:C10"/>
    <mergeCell ref="F11:F12"/>
    <mergeCell ref="B269:B272"/>
    <mergeCell ref="F5:H6"/>
    <mergeCell ref="A7:H7"/>
    <mergeCell ref="A269:A272"/>
    <mergeCell ref="E11:E12"/>
    <mergeCell ref="A9:H9"/>
    <mergeCell ref="G11:G12"/>
    <mergeCell ref="C11:C12"/>
    <mergeCell ref="A25:A26"/>
    <mergeCell ref="B242:B243"/>
    <mergeCell ref="G8:H8"/>
    <mergeCell ref="F1:G1"/>
    <mergeCell ref="F2:G2"/>
    <mergeCell ref="F3:H3"/>
    <mergeCell ref="F4:H4"/>
    <mergeCell ref="A242:A243"/>
    <mergeCell ref="B244:B247"/>
    <mergeCell ref="A244:A247"/>
    <mergeCell ref="B248:B249"/>
    <mergeCell ref="A248:A249"/>
  </mergeCells>
  <printOptions/>
  <pageMargins left="0.5118110236220472" right="0.11811023622047245" top="1.299212598425197" bottom="0.15748031496062992" header="1.1023622047244095" footer="0.31496062992125984"/>
  <pageSetup firstPageNumber="1" useFirstPageNumber="1" horizontalDpi="600" verticalDpi="600" orientation="landscape" paperSize="9" scale="75" r:id="rId1"/>
  <headerFooter alignWithMargins="0">
    <oddHeader>&amp;C&amp;P</oddHeader>
  </headerFooter>
  <rowBreaks count="2" manualBreakCount="2">
    <brk id="223" max="7" man="1"/>
    <brk id="243" max="7" man="1"/>
  </rowBreaks>
</worksheet>
</file>

<file path=xl/worksheets/sheet2.xml><?xml version="1.0" encoding="utf-8"?>
<worksheet xmlns="http://schemas.openxmlformats.org/spreadsheetml/2006/main" xmlns:r="http://schemas.openxmlformats.org/officeDocument/2006/relationships">
  <sheetPr>
    <tabColor rgb="FFFF0000"/>
  </sheetPr>
  <dimension ref="A1:F93"/>
  <sheetViews>
    <sheetView view="pageBreakPreview" zoomScale="90" zoomScaleSheetLayoutView="90" workbookViewId="0" topLeftCell="A1">
      <selection activeCell="A1" sqref="A1"/>
    </sheetView>
  </sheetViews>
  <sheetFormatPr defaultColWidth="9.140625" defaultRowHeight="15"/>
  <cols>
    <col min="1" max="1" width="19.140625" style="68" customWidth="1"/>
    <col min="2" max="2" width="49.140625" style="68" customWidth="1"/>
    <col min="3" max="3" width="22.7109375" style="61" customWidth="1"/>
    <col min="4" max="4" width="19.00390625" style="61" customWidth="1"/>
    <col min="5" max="5" width="20.140625" style="68" customWidth="1"/>
    <col min="6" max="6" width="24.00390625" style="68" customWidth="1"/>
    <col min="7" max="16384" width="9.140625" style="68" customWidth="1"/>
  </cols>
  <sheetData>
    <row r="1" spans="1:4" s="1" customFormat="1" ht="22.5" customHeight="1">
      <c r="A1" s="22"/>
      <c r="B1" s="22"/>
      <c r="C1" s="22"/>
      <c r="D1" s="22" t="s">
        <v>95</v>
      </c>
    </row>
    <row r="2" spans="1:4" s="1" customFormat="1" ht="38.25" customHeight="1">
      <c r="A2" s="152" t="s">
        <v>256</v>
      </c>
      <c r="B2" s="152"/>
      <c r="C2" s="152"/>
      <c r="D2" s="152"/>
    </row>
    <row r="3" spans="1:4" s="1" customFormat="1" ht="22.5" customHeight="1" thickBot="1">
      <c r="A3" s="22"/>
      <c r="B3" s="22"/>
      <c r="C3" s="97"/>
      <c r="D3" s="22" t="s">
        <v>88</v>
      </c>
    </row>
    <row r="4" spans="1:4" s="1" customFormat="1" ht="57.75" customHeight="1">
      <c r="A4" s="27" t="s">
        <v>89</v>
      </c>
      <c r="B4" s="2" t="s">
        <v>82</v>
      </c>
      <c r="C4" s="153" t="s">
        <v>90</v>
      </c>
      <c r="D4" s="162" t="s">
        <v>255</v>
      </c>
    </row>
    <row r="5" spans="1:4" s="1" customFormat="1" ht="59.25" customHeight="1" thickBot="1">
      <c r="A5" s="98" t="s">
        <v>91</v>
      </c>
      <c r="B5" s="51" t="s">
        <v>92</v>
      </c>
      <c r="C5" s="132"/>
      <c r="D5" s="134"/>
    </row>
    <row r="6" spans="1:4" s="1" customFormat="1" ht="18" customHeight="1" thickBot="1">
      <c r="A6" s="99">
        <v>1</v>
      </c>
      <c r="B6" s="100">
        <v>2</v>
      </c>
      <c r="C6" s="100">
        <v>3</v>
      </c>
      <c r="D6" s="101">
        <v>4</v>
      </c>
    </row>
    <row r="7" spans="1:6" s="1" customFormat="1" ht="27.75" customHeight="1">
      <c r="A7" s="102"/>
      <c r="B7" s="103" t="s">
        <v>93</v>
      </c>
      <c r="C7" s="104"/>
      <c r="D7" s="105">
        <f>SUM(D8+D11+D24+D31+D37+D39+D41+D47+D49+D57+D59+D62+D64+D68+D71+D75+D77+D79+D81+D83+D88+D86+D91)</f>
        <v>384078.92900000006</v>
      </c>
      <c r="E7" s="47"/>
      <c r="F7" s="47"/>
    </row>
    <row r="8" spans="1:4" s="1" customFormat="1" ht="27.75" customHeight="1">
      <c r="A8" s="37" t="s">
        <v>96</v>
      </c>
      <c r="B8" s="33" t="s">
        <v>139</v>
      </c>
      <c r="C8" s="33"/>
      <c r="D8" s="34">
        <f>SUM(D9:D10)</f>
        <v>3455.377</v>
      </c>
    </row>
    <row r="9" spans="1:4" s="1" customFormat="1" ht="21.75" customHeight="1">
      <c r="A9" s="43" t="s">
        <v>97</v>
      </c>
      <c r="B9" s="39" t="s">
        <v>98</v>
      </c>
      <c r="C9" s="3" t="s">
        <v>99</v>
      </c>
      <c r="D9" s="40">
        <f>3328.566+115.011</f>
        <v>3443.5769999999998</v>
      </c>
    </row>
    <row r="10" spans="1:4" s="1" customFormat="1" ht="27.75" customHeight="1">
      <c r="A10" s="43" t="s">
        <v>413</v>
      </c>
      <c r="B10" s="39" t="s">
        <v>414</v>
      </c>
      <c r="C10" s="3" t="s">
        <v>99</v>
      </c>
      <c r="D10" s="40">
        <v>11.8</v>
      </c>
    </row>
    <row r="11" spans="1:4" ht="41.25" customHeight="1">
      <c r="A11" s="32">
        <v>10</v>
      </c>
      <c r="B11" s="33" t="s">
        <v>84</v>
      </c>
      <c r="C11" s="33"/>
      <c r="D11" s="34">
        <f>SUM(D12:D23)</f>
        <v>31153.437999999995</v>
      </c>
    </row>
    <row r="12" spans="1:4" ht="23.25" customHeight="1">
      <c r="A12" s="43" t="s">
        <v>97</v>
      </c>
      <c r="B12" s="39" t="s">
        <v>98</v>
      </c>
      <c r="C12" s="3" t="s">
        <v>99</v>
      </c>
      <c r="D12" s="40">
        <v>109.15</v>
      </c>
    </row>
    <row r="13" spans="1:4" ht="25.5" customHeight="1">
      <c r="A13" s="43" t="s">
        <v>101</v>
      </c>
      <c r="B13" s="44" t="s">
        <v>102</v>
      </c>
      <c r="C13" s="3" t="s">
        <v>99</v>
      </c>
      <c r="D13" s="40">
        <v>10005.304</v>
      </c>
    </row>
    <row r="14" spans="1:4" ht="72.75" customHeight="1">
      <c r="A14" s="43" t="s">
        <v>103</v>
      </c>
      <c r="B14" s="39" t="s">
        <v>104</v>
      </c>
      <c r="C14" s="3" t="s">
        <v>99</v>
      </c>
      <c r="D14" s="40">
        <v>19422.795</v>
      </c>
    </row>
    <row r="15" spans="1:4" ht="26.25" customHeight="1">
      <c r="A15" s="85" t="s">
        <v>142</v>
      </c>
      <c r="B15" s="39" t="s">
        <v>143</v>
      </c>
      <c r="C15" s="3" t="s">
        <v>99</v>
      </c>
      <c r="D15" s="40">
        <f>145.821-10.771</f>
        <v>135.05</v>
      </c>
    </row>
    <row r="16" spans="1:5" ht="38.25" customHeight="1">
      <c r="A16" s="43" t="s">
        <v>105</v>
      </c>
      <c r="B16" s="39" t="s">
        <v>106</v>
      </c>
      <c r="C16" s="3" t="s">
        <v>99</v>
      </c>
      <c r="D16" s="40">
        <v>817.777</v>
      </c>
      <c r="E16" s="1"/>
    </row>
    <row r="17" spans="1:5" ht="37.5" customHeight="1">
      <c r="A17" s="43" t="s">
        <v>220</v>
      </c>
      <c r="B17" s="39" t="s">
        <v>221</v>
      </c>
      <c r="C17" s="3" t="s">
        <v>99</v>
      </c>
      <c r="D17" s="40">
        <v>15</v>
      </c>
      <c r="E17" s="1"/>
    </row>
    <row r="18" spans="1:5" ht="76.5" customHeight="1">
      <c r="A18" s="43" t="s">
        <v>270</v>
      </c>
      <c r="B18" s="39" t="s">
        <v>271</v>
      </c>
      <c r="C18" s="3" t="s">
        <v>99</v>
      </c>
      <c r="D18" s="40">
        <v>17.4</v>
      </c>
      <c r="E18" s="1"/>
    </row>
    <row r="19" spans="1:5" ht="39" customHeight="1">
      <c r="A19" s="43" t="s">
        <v>151</v>
      </c>
      <c r="B19" s="39" t="s">
        <v>152</v>
      </c>
      <c r="C19" s="3" t="s">
        <v>99</v>
      </c>
      <c r="D19" s="40">
        <v>199.232</v>
      </c>
      <c r="E19" s="1"/>
    </row>
    <row r="20" spans="1:5" ht="39" customHeight="1">
      <c r="A20" s="43" t="s">
        <v>272</v>
      </c>
      <c r="B20" s="39" t="s">
        <v>240</v>
      </c>
      <c r="C20" s="3" t="s">
        <v>99</v>
      </c>
      <c r="D20" s="40">
        <v>96.01</v>
      </c>
      <c r="E20" s="1"/>
    </row>
    <row r="21" spans="1:4" ht="36.75" customHeight="1">
      <c r="A21" s="43" t="s">
        <v>239</v>
      </c>
      <c r="B21" s="44" t="s">
        <v>240</v>
      </c>
      <c r="C21" s="3" t="s">
        <v>99</v>
      </c>
      <c r="D21" s="40">
        <v>104.32</v>
      </c>
    </row>
    <row r="22" spans="1:4" ht="37.5" customHeight="1">
      <c r="A22" s="85" t="s">
        <v>144</v>
      </c>
      <c r="B22" s="39" t="s">
        <v>145</v>
      </c>
      <c r="C22" s="3" t="s">
        <v>99</v>
      </c>
      <c r="D22" s="40">
        <v>225.4</v>
      </c>
    </row>
    <row r="23" spans="1:4" ht="27" customHeight="1">
      <c r="A23" s="85" t="s">
        <v>273</v>
      </c>
      <c r="B23" s="39" t="s">
        <v>274</v>
      </c>
      <c r="C23" s="3" t="s">
        <v>99</v>
      </c>
      <c r="D23" s="40">
        <v>6</v>
      </c>
    </row>
    <row r="24" spans="1:5" ht="40.5" customHeight="1">
      <c r="A24" s="32">
        <v>14</v>
      </c>
      <c r="B24" s="33" t="s">
        <v>107</v>
      </c>
      <c r="C24" s="106"/>
      <c r="D24" s="34">
        <f>SUM(D25:D30)</f>
        <v>50229.801</v>
      </c>
      <c r="E24" s="1"/>
    </row>
    <row r="25" spans="1:4" s="1" customFormat="1" ht="27" customHeight="1">
      <c r="A25" s="43" t="s">
        <v>97</v>
      </c>
      <c r="B25" s="39" t="s">
        <v>98</v>
      </c>
      <c r="C25" s="3" t="s">
        <v>99</v>
      </c>
      <c r="D25" s="40">
        <v>324.868</v>
      </c>
    </row>
    <row r="26" spans="1:5" ht="24.75" customHeight="1">
      <c r="A26" s="43" t="s">
        <v>108</v>
      </c>
      <c r="B26" s="44" t="s">
        <v>109</v>
      </c>
      <c r="C26" s="3" t="s">
        <v>99</v>
      </c>
      <c r="D26" s="40">
        <v>35328.818</v>
      </c>
      <c r="E26" s="1"/>
    </row>
    <row r="27" spans="1:5" ht="29.25" customHeight="1">
      <c r="A27" s="43" t="s">
        <v>110</v>
      </c>
      <c r="B27" s="39" t="s">
        <v>111</v>
      </c>
      <c r="C27" s="3" t="s">
        <v>99</v>
      </c>
      <c r="D27" s="40">
        <v>3146.291</v>
      </c>
      <c r="E27" s="1"/>
    </row>
    <row r="28" spans="1:5" ht="58.5" customHeight="1">
      <c r="A28" s="43" t="s">
        <v>112</v>
      </c>
      <c r="B28" s="39" t="s">
        <v>113</v>
      </c>
      <c r="C28" s="3" t="s">
        <v>99</v>
      </c>
      <c r="D28" s="40">
        <v>4.4</v>
      </c>
      <c r="E28" s="1"/>
    </row>
    <row r="29" spans="1:4" ht="36.75" customHeight="1">
      <c r="A29" s="43" t="s">
        <v>140</v>
      </c>
      <c r="B29" s="44" t="s">
        <v>141</v>
      </c>
      <c r="C29" s="3" t="s">
        <v>99</v>
      </c>
      <c r="D29" s="40">
        <f>233.01-18+230.668</f>
        <v>445.678</v>
      </c>
    </row>
    <row r="30" spans="1:4" ht="36.75" customHeight="1">
      <c r="A30" s="43" t="s">
        <v>153</v>
      </c>
      <c r="B30" s="44" t="s">
        <v>154</v>
      </c>
      <c r="C30" s="3" t="s">
        <v>99</v>
      </c>
      <c r="D30" s="40">
        <f>5365.246+255.2+5359.3</f>
        <v>10979.746</v>
      </c>
    </row>
    <row r="31" spans="1:5" ht="39" customHeight="1">
      <c r="A31" s="32">
        <v>15</v>
      </c>
      <c r="B31" s="33" t="s">
        <v>85</v>
      </c>
      <c r="C31" s="106"/>
      <c r="D31" s="34">
        <f>SUM(D32:D36)-D34</f>
        <v>4476.323</v>
      </c>
      <c r="E31" s="1"/>
    </row>
    <row r="32" spans="1:4" ht="28.5" customHeight="1">
      <c r="A32" s="43" t="s">
        <v>97</v>
      </c>
      <c r="B32" s="44" t="s">
        <v>98</v>
      </c>
      <c r="C32" s="3" t="s">
        <v>99</v>
      </c>
      <c r="D32" s="40">
        <v>2723.336</v>
      </c>
    </row>
    <row r="33" spans="1:4" ht="219.75" customHeight="1">
      <c r="A33" s="137" t="s">
        <v>373</v>
      </c>
      <c r="B33" s="107" t="s">
        <v>374</v>
      </c>
      <c r="C33" s="3" t="s">
        <v>99</v>
      </c>
      <c r="D33" s="40">
        <v>25.467</v>
      </c>
    </row>
    <row r="34" spans="1:4" ht="268.5" customHeight="1">
      <c r="A34" s="163"/>
      <c r="B34" s="108" t="s">
        <v>375</v>
      </c>
      <c r="C34" s="3" t="s">
        <v>99</v>
      </c>
      <c r="D34" s="40">
        <v>25.467</v>
      </c>
    </row>
    <row r="35" spans="1:5" ht="39.75" customHeight="1">
      <c r="A35" s="43" t="s">
        <v>134</v>
      </c>
      <c r="B35" s="109" t="s">
        <v>135</v>
      </c>
      <c r="C35" s="3" t="s">
        <v>99</v>
      </c>
      <c r="D35" s="40">
        <v>1704.02</v>
      </c>
      <c r="E35" s="1"/>
    </row>
    <row r="36" spans="1:5" ht="39.75" customHeight="1">
      <c r="A36" s="43" t="s">
        <v>58</v>
      </c>
      <c r="B36" s="109" t="s">
        <v>59</v>
      </c>
      <c r="C36" s="3" t="s">
        <v>99</v>
      </c>
      <c r="D36" s="40">
        <v>23.5</v>
      </c>
      <c r="E36" s="1"/>
    </row>
    <row r="37" spans="1:5" ht="36.75" customHeight="1">
      <c r="A37" s="37" t="s">
        <v>420</v>
      </c>
      <c r="B37" s="110" t="s">
        <v>419</v>
      </c>
      <c r="C37" s="106"/>
      <c r="D37" s="34">
        <f>SUM(D38)</f>
        <v>108</v>
      </c>
      <c r="E37" s="1"/>
    </row>
    <row r="38" spans="1:5" ht="25.5" customHeight="1">
      <c r="A38" s="43" t="s">
        <v>97</v>
      </c>
      <c r="B38" s="63" t="s">
        <v>98</v>
      </c>
      <c r="C38" s="3" t="s">
        <v>99</v>
      </c>
      <c r="D38" s="40">
        <v>108</v>
      </c>
      <c r="E38" s="1"/>
    </row>
    <row r="39" spans="1:5" ht="54.75" customHeight="1">
      <c r="A39" s="37" t="s">
        <v>49</v>
      </c>
      <c r="B39" s="111" t="s">
        <v>50</v>
      </c>
      <c r="C39" s="3" t="s">
        <v>99</v>
      </c>
      <c r="D39" s="34">
        <v>27.342</v>
      </c>
      <c r="E39" s="1"/>
    </row>
    <row r="40" spans="1:5" ht="22.5" customHeight="1">
      <c r="A40" s="43" t="s">
        <v>97</v>
      </c>
      <c r="B40" s="44" t="s">
        <v>98</v>
      </c>
      <c r="C40" s="3" t="s">
        <v>99</v>
      </c>
      <c r="D40" s="40">
        <v>27.342</v>
      </c>
      <c r="E40" s="1"/>
    </row>
    <row r="41" spans="1:5" ht="39" customHeight="1">
      <c r="A41" s="32">
        <v>24</v>
      </c>
      <c r="B41" s="33" t="s">
        <v>114</v>
      </c>
      <c r="C41" s="106"/>
      <c r="D41" s="34">
        <f>SUM(D42:D46)</f>
        <v>3824.999</v>
      </c>
      <c r="E41" s="1"/>
    </row>
    <row r="42" spans="1:4" ht="23.25" customHeight="1">
      <c r="A42" s="43" t="s">
        <v>115</v>
      </c>
      <c r="B42" s="44" t="s">
        <v>116</v>
      </c>
      <c r="C42" s="3" t="s">
        <v>99</v>
      </c>
      <c r="D42" s="40">
        <v>75.227</v>
      </c>
    </row>
    <row r="43" spans="1:4" ht="27.75" customHeight="1">
      <c r="A43" s="43" t="s">
        <v>117</v>
      </c>
      <c r="B43" s="44" t="s">
        <v>118</v>
      </c>
      <c r="C43" s="3" t="s">
        <v>99</v>
      </c>
      <c r="D43" s="40">
        <f>832.843-8</f>
        <v>824.843</v>
      </c>
    </row>
    <row r="44" spans="1:4" ht="37.5">
      <c r="A44" s="43" t="s">
        <v>119</v>
      </c>
      <c r="B44" s="44" t="s">
        <v>120</v>
      </c>
      <c r="C44" s="3" t="s">
        <v>99</v>
      </c>
      <c r="D44" s="40">
        <v>2378.849</v>
      </c>
    </row>
    <row r="45" spans="1:4" ht="28.5" customHeight="1">
      <c r="A45" s="43" t="s">
        <v>121</v>
      </c>
      <c r="B45" s="39" t="s">
        <v>122</v>
      </c>
      <c r="C45" s="3" t="s">
        <v>99</v>
      </c>
      <c r="D45" s="40">
        <f>501.334-12+6</f>
        <v>495.334</v>
      </c>
    </row>
    <row r="46" spans="1:4" ht="28.5" customHeight="1">
      <c r="A46" s="43" t="s">
        <v>123</v>
      </c>
      <c r="B46" s="39" t="s">
        <v>124</v>
      </c>
      <c r="C46" s="3" t="s">
        <v>99</v>
      </c>
      <c r="D46" s="40">
        <v>50.746</v>
      </c>
    </row>
    <row r="47" spans="1:4" s="112" customFormat="1" ht="56.25" customHeight="1">
      <c r="A47" s="37" t="s">
        <v>23</v>
      </c>
      <c r="B47" s="33" t="s">
        <v>179</v>
      </c>
      <c r="C47" s="106"/>
      <c r="D47" s="34">
        <f>SUM(D48)</f>
        <v>33.675</v>
      </c>
    </row>
    <row r="48" spans="1:4" ht="23.25" customHeight="1">
      <c r="A48" s="43" t="s">
        <v>97</v>
      </c>
      <c r="B48" s="44" t="s">
        <v>98</v>
      </c>
      <c r="C48" s="3" t="s">
        <v>99</v>
      </c>
      <c r="D48" s="40">
        <v>33.675</v>
      </c>
    </row>
    <row r="49" spans="1:4" ht="39.75" customHeight="1">
      <c r="A49" s="32">
        <v>40</v>
      </c>
      <c r="B49" s="33" t="s">
        <v>136</v>
      </c>
      <c r="C49" s="106"/>
      <c r="D49" s="34">
        <f>SUM(D50:D56)</f>
        <v>270266.77300000004</v>
      </c>
    </row>
    <row r="50" spans="1:4" ht="27" customHeight="1">
      <c r="A50" s="43" t="s">
        <v>97</v>
      </c>
      <c r="B50" s="44" t="s">
        <v>98</v>
      </c>
      <c r="C50" s="3" t="s">
        <v>99</v>
      </c>
      <c r="D50" s="40">
        <v>117.094</v>
      </c>
    </row>
    <row r="51" spans="1:4" ht="39" customHeight="1">
      <c r="A51" s="43" t="s">
        <v>125</v>
      </c>
      <c r="B51" s="44" t="s">
        <v>126</v>
      </c>
      <c r="C51" s="3" t="s">
        <v>99</v>
      </c>
      <c r="D51" s="40">
        <f>215793.816+29264.093-15200.5</f>
        <v>229857.40899999999</v>
      </c>
    </row>
    <row r="52" spans="1:4" ht="59.25" customHeight="1">
      <c r="A52" s="43" t="s">
        <v>147</v>
      </c>
      <c r="B52" s="44" t="s">
        <v>148</v>
      </c>
      <c r="C52" s="3" t="s">
        <v>99</v>
      </c>
      <c r="D52" s="40">
        <f>2005.589+851.36+200.5</f>
        <v>3057.449</v>
      </c>
    </row>
    <row r="53" spans="1:4" ht="27.75" customHeight="1">
      <c r="A53" s="43" t="s">
        <v>129</v>
      </c>
      <c r="B53" s="39" t="s">
        <v>137</v>
      </c>
      <c r="C53" s="3" t="s">
        <v>99</v>
      </c>
      <c r="D53" s="40">
        <f>3156.665+519.085</f>
        <v>3675.75</v>
      </c>
    </row>
    <row r="54" spans="1:4" ht="57.75" customHeight="1">
      <c r="A54" s="43" t="s">
        <v>280</v>
      </c>
      <c r="B54" s="44" t="s">
        <v>437</v>
      </c>
      <c r="C54" s="3" t="s">
        <v>99</v>
      </c>
      <c r="D54" s="40">
        <f>30489.603-2054.002</f>
        <v>28435.601</v>
      </c>
    </row>
    <row r="55" spans="1:4" ht="28.5" customHeight="1">
      <c r="A55" s="43" t="s">
        <v>273</v>
      </c>
      <c r="B55" s="44" t="s">
        <v>274</v>
      </c>
      <c r="C55" s="3" t="s">
        <v>99</v>
      </c>
      <c r="D55" s="40">
        <v>3823.526</v>
      </c>
    </row>
    <row r="56" spans="1:4" ht="28.5" customHeight="1">
      <c r="A56" s="43" t="s">
        <v>127</v>
      </c>
      <c r="B56" s="44" t="s">
        <v>100</v>
      </c>
      <c r="C56" s="3" t="s">
        <v>99</v>
      </c>
      <c r="D56" s="40">
        <f>763.621+536.323</f>
        <v>1299.944</v>
      </c>
    </row>
    <row r="57" spans="1:4" s="112" customFormat="1" ht="38.25" customHeight="1">
      <c r="A57" s="37" t="s">
        <v>34</v>
      </c>
      <c r="B57" s="113" t="s">
        <v>33</v>
      </c>
      <c r="C57" s="114"/>
      <c r="D57" s="34">
        <f>SUM(D58)</f>
        <v>75.716</v>
      </c>
    </row>
    <row r="58" spans="1:4" ht="26.25" customHeight="1">
      <c r="A58" s="43" t="s">
        <v>97</v>
      </c>
      <c r="B58" s="53" t="s">
        <v>98</v>
      </c>
      <c r="C58" s="53" t="s">
        <v>99</v>
      </c>
      <c r="D58" s="40">
        <v>75.716</v>
      </c>
    </row>
    <row r="59" spans="1:4" ht="54.75" customHeight="1">
      <c r="A59" s="32">
        <v>48</v>
      </c>
      <c r="B59" s="33" t="s">
        <v>157</v>
      </c>
      <c r="C59" s="106" t="s">
        <v>128</v>
      </c>
      <c r="D59" s="34">
        <f>SUM(D60:D61)</f>
        <v>434.24600000000004</v>
      </c>
    </row>
    <row r="60" spans="1:4" ht="24" customHeight="1">
      <c r="A60" s="43" t="s">
        <v>97</v>
      </c>
      <c r="B60" s="44" t="s">
        <v>98</v>
      </c>
      <c r="C60" s="3" t="s">
        <v>99</v>
      </c>
      <c r="D60" s="40">
        <v>108.516</v>
      </c>
    </row>
    <row r="61" spans="1:4" ht="23.25" customHeight="1">
      <c r="A61" s="43" t="s">
        <v>127</v>
      </c>
      <c r="B61" s="39" t="s">
        <v>100</v>
      </c>
      <c r="C61" s="3" t="s">
        <v>99</v>
      </c>
      <c r="D61" s="40">
        <f>72+253.73</f>
        <v>325.73</v>
      </c>
    </row>
    <row r="62" spans="1:4" ht="39.75" customHeight="1">
      <c r="A62" s="37" t="s">
        <v>409</v>
      </c>
      <c r="B62" s="33" t="s">
        <v>410</v>
      </c>
      <c r="C62" s="3"/>
      <c r="D62" s="34">
        <f>SUM(D63)</f>
        <v>39.348</v>
      </c>
    </row>
    <row r="63" spans="1:4" ht="27.75" customHeight="1">
      <c r="A63" s="43" t="s">
        <v>97</v>
      </c>
      <c r="B63" s="44" t="s">
        <v>98</v>
      </c>
      <c r="C63" s="3" t="s">
        <v>99</v>
      </c>
      <c r="D63" s="40">
        <v>39.348</v>
      </c>
    </row>
    <row r="64" spans="1:4" ht="62.25" customHeight="1">
      <c r="A64" s="37" t="s">
        <v>130</v>
      </c>
      <c r="B64" s="33" t="s">
        <v>131</v>
      </c>
      <c r="C64" s="33"/>
      <c r="D64" s="34">
        <f>SUM(D65:D67)</f>
        <v>4441.016</v>
      </c>
    </row>
    <row r="65" spans="1:4" ht="24.75" customHeight="1">
      <c r="A65" s="43" t="s">
        <v>97</v>
      </c>
      <c r="B65" s="44" t="s">
        <v>98</v>
      </c>
      <c r="C65" s="3" t="s">
        <v>99</v>
      </c>
      <c r="D65" s="40">
        <v>6.986</v>
      </c>
    </row>
    <row r="66" spans="1:4" ht="43.5" customHeight="1">
      <c r="A66" s="43" t="s">
        <v>149</v>
      </c>
      <c r="B66" s="44" t="s">
        <v>150</v>
      </c>
      <c r="C66" s="3" t="s">
        <v>99</v>
      </c>
      <c r="D66" s="40">
        <v>4290.505</v>
      </c>
    </row>
    <row r="67" spans="1:4" ht="27.75" customHeight="1">
      <c r="A67" s="43" t="s">
        <v>282</v>
      </c>
      <c r="B67" s="44" t="s">
        <v>283</v>
      </c>
      <c r="C67" s="3" t="s">
        <v>99</v>
      </c>
      <c r="D67" s="40">
        <v>143.525</v>
      </c>
    </row>
    <row r="68" spans="1:4" ht="75" customHeight="1">
      <c r="A68" s="32">
        <v>67</v>
      </c>
      <c r="B68" s="33" t="s">
        <v>138</v>
      </c>
      <c r="C68" s="106"/>
      <c r="D68" s="34">
        <f>SUM(D69:D70)</f>
        <v>1531.097</v>
      </c>
    </row>
    <row r="69" spans="1:4" ht="56.25" customHeight="1">
      <c r="A69" s="43" t="s">
        <v>87</v>
      </c>
      <c r="B69" s="39" t="s">
        <v>94</v>
      </c>
      <c r="C69" s="3" t="s">
        <v>99</v>
      </c>
      <c r="D69" s="40">
        <v>1256.377</v>
      </c>
    </row>
    <row r="70" spans="1:4" ht="27.75" customHeight="1">
      <c r="A70" s="43" t="s">
        <v>132</v>
      </c>
      <c r="B70" s="39" t="s">
        <v>133</v>
      </c>
      <c r="C70" s="3" t="s">
        <v>99</v>
      </c>
      <c r="D70" s="40">
        <v>274.72</v>
      </c>
    </row>
    <row r="71" spans="1:4" ht="42.75" customHeight="1">
      <c r="A71" s="37" t="s">
        <v>356</v>
      </c>
      <c r="B71" s="33" t="s">
        <v>357</v>
      </c>
      <c r="C71" s="106"/>
      <c r="D71" s="34">
        <f>SUM(D72+D73+D74)</f>
        <v>12999.194</v>
      </c>
    </row>
    <row r="72" spans="1:4" ht="24.75" customHeight="1">
      <c r="A72" s="43" t="s">
        <v>97</v>
      </c>
      <c r="B72" s="44" t="s">
        <v>98</v>
      </c>
      <c r="C72" s="3" t="s">
        <v>99</v>
      </c>
      <c r="D72" s="40">
        <v>112.25</v>
      </c>
    </row>
    <row r="73" spans="1:4" ht="27.75" customHeight="1">
      <c r="A73" s="43" t="s">
        <v>358</v>
      </c>
      <c r="B73" s="39" t="s">
        <v>359</v>
      </c>
      <c r="C73" s="3" t="s">
        <v>99</v>
      </c>
      <c r="D73" s="40">
        <v>7101.544</v>
      </c>
    </row>
    <row r="74" spans="1:4" ht="78.75" customHeight="1">
      <c r="A74" s="123">
        <v>250344</v>
      </c>
      <c r="B74" s="53" t="s">
        <v>384</v>
      </c>
      <c r="C74" s="3" t="s">
        <v>99</v>
      </c>
      <c r="D74" s="40">
        <v>5785.4</v>
      </c>
    </row>
    <row r="75" spans="1:4" ht="40.5" customHeight="1">
      <c r="A75" s="37">
        <v>73</v>
      </c>
      <c r="B75" s="33" t="s">
        <v>83</v>
      </c>
      <c r="C75" s="106"/>
      <c r="D75" s="34">
        <f>SUM(D76)</f>
        <v>158.701</v>
      </c>
    </row>
    <row r="76" spans="1:4" ht="26.25" customHeight="1">
      <c r="A76" s="43" t="s">
        <v>97</v>
      </c>
      <c r="B76" s="44" t="s">
        <v>98</v>
      </c>
      <c r="C76" s="3" t="s">
        <v>99</v>
      </c>
      <c r="D76" s="40">
        <v>158.701</v>
      </c>
    </row>
    <row r="77" spans="1:4" ht="37.5" customHeight="1">
      <c r="A77" s="37" t="s">
        <v>417</v>
      </c>
      <c r="B77" s="115" t="s">
        <v>416</v>
      </c>
      <c r="C77" s="116"/>
      <c r="D77" s="34">
        <f>SUM(D78)</f>
        <v>128.72</v>
      </c>
    </row>
    <row r="78" spans="1:4" ht="26.25" customHeight="1">
      <c r="A78" s="50" t="s">
        <v>97</v>
      </c>
      <c r="B78" s="117" t="s">
        <v>146</v>
      </c>
      <c r="C78" s="51" t="s">
        <v>99</v>
      </c>
      <c r="D78" s="118">
        <v>128.72</v>
      </c>
    </row>
    <row r="79" spans="1:4" ht="37.5" customHeight="1">
      <c r="A79" s="37" t="s">
        <v>27</v>
      </c>
      <c r="B79" s="115" t="s">
        <v>328</v>
      </c>
      <c r="C79" s="116"/>
      <c r="D79" s="34">
        <f>SUM(D80)</f>
        <v>46.8</v>
      </c>
    </row>
    <row r="80" spans="1:4" ht="26.25" customHeight="1">
      <c r="A80" s="50" t="s">
        <v>97</v>
      </c>
      <c r="B80" s="117" t="s">
        <v>146</v>
      </c>
      <c r="C80" s="51" t="s">
        <v>99</v>
      </c>
      <c r="D80" s="118">
        <f>39+7.8</f>
        <v>46.8</v>
      </c>
    </row>
    <row r="81" spans="1:4" ht="59.25" customHeight="1">
      <c r="A81" s="37" t="s">
        <v>418</v>
      </c>
      <c r="B81" s="115" t="s">
        <v>86</v>
      </c>
      <c r="C81" s="116"/>
      <c r="D81" s="34">
        <f>SUM(D82)</f>
        <v>257.608</v>
      </c>
    </row>
    <row r="82" spans="1:4" ht="26.25" customHeight="1">
      <c r="A82" s="50" t="s">
        <v>97</v>
      </c>
      <c r="B82" s="117" t="s">
        <v>146</v>
      </c>
      <c r="C82" s="51" t="s">
        <v>99</v>
      </c>
      <c r="D82" s="119">
        <f>145.297+48.407+63.904</f>
        <v>257.608</v>
      </c>
    </row>
    <row r="83" spans="1:4" ht="37.5" customHeight="1">
      <c r="A83" s="37" t="s">
        <v>155</v>
      </c>
      <c r="B83" s="115" t="s">
        <v>156</v>
      </c>
      <c r="C83" s="116"/>
      <c r="D83" s="34">
        <f>SUM(D84+D85)</f>
        <v>91.894</v>
      </c>
    </row>
    <row r="84" spans="1:4" ht="21" customHeight="1">
      <c r="A84" s="50" t="s">
        <v>97</v>
      </c>
      <c r="B84" s="117" t="s">
        <v>146</v>
      </c>
      <c r="C84" s="51" t="s">
        <v>99</v>
      </c>
      <c r="D84" s="119">
        <v>91.894</v>
      </c>
    </row>
    <row r="85" spans="1:4" ht="24" customHeight="1" hidden="1">
      <c r="A85" s="30">
        <v>100203</v>
      </c>
      <c r="B85" s="46" t="s">
        <v>137</v>
      </c>
      <c r="C85" s="46" t="s">
        <v>99</v>
      </c>
      <c r="D85" s="29">
        <f>549.324-549.324</f>
        <v>0</v>
      </c>
    </row>
    <row r="86" spans="1:4" ht="36.75" customHeight="1">
      <c r="A86" s="32">
        <v>94</v>
      </c>
      <c r="B86" s="69" t="s">
        <v>325</v>
      </c>
      <c r="C86" s="106"/>
      <c r="D86" s="124">
        <v>160.797</v>
      </c>
    </row>
    <row r="87" spans="1:4" ht="26.25" customHeight="1">
      <c r="A87" s="50" t="s">
        <v>97</v>
      </c>
      <c r="B87" s="117" t="s">
        <v>146</v>
      </c>
      <c r="C87" s="51" t="s">
        <v>99</v>
      </c>
      <c r="D87" s="119">
        <v>160.797</v>
      </c>
    </row>
    <row r="88" spans="1:4" ht="37.5" customHeight="1">
      <c r="A88" s="37" t="s">
        <v>431</v>
      </c>
      <c r="B88" s="115" t="s">
        <v>327</v>
      </c>
      <c r="C88" s="116"/>
      <c r="D88" s="34">
        <f>SUM(D90+D89)</f>
        <v>100.24</v>
      </c>
    </row>
    <row r="89" spans="1:4" ht="23.25" customHeight="1">
      <c r="A89" s="50" t="s">
        <v>97</v>
      </c>
      <c r="B89" s="117" t="s">
        <v>146</v>
      </c>
      <c r="C89" s="51" t="s">
        <v>99</v>
      </c>
      <c r="D89" s="118">
        <v>57.952</v>
      </c>
    </row>
    <row r="90" spans="1:4" ht="26.25" customHeight="1">
      <c r="A90" s="30">
        <v>100203</v>
      </c>
      <c r="B90" s="46" t="s">
        <v>137</v>
      </c>
      <c r="C90" s="3" t="s">
        <v>99</v>
      </c>
      <c r="D90" s="125">
        <v>42.288</v>
      </c>
    </row>
    <row r="91" spans="1:4" ht="55.5" customHeight="1">
      <c r="A91" s="37" t="s">
        <v>28</v>
      </c>
      <c r="B91" s="115" t="s">
        <v>329</v>
      </c>
      <c r="C91" s="116"/>
      <c r="D91" s="34">
        <f>SUM(D93+D92)</f>
        <v>37.824</v>
      </c>
    </row>
    <row r="92" spans="1:4" ht="24.75" customHeight="1" thickBot="1">
      <c r="A92" s="91" t="s">
        <v>97</v>
      </c>
      <c r="B92" s="126" t="s">
        <v>146</v>
      </c>
      <c r="C92" s="127" t="s">
        <v>99</v>
      </c>
      <c r="D92" s="128">
        <f>37.824</f>
        <v>37.824</v>
      </c>
    </row>
    <row r="93" spans="1:4" s="21" customFormat="1" ht="66" customHeight="1">
      <c r="A93" s="144" t="s">
        <v>222</v>
      </c>
      <c r="B93" s="144"/>
      <c r="C93" s="136" t="s">
        <v>80</v>
      </c>
      <c r="D93" s="136"/>
    </row>
    <row r="94" ht="18.75" hidden="1"/>
  </sheetData>
  <sheetProtection/>
  <mergeCells count="6">
    <mergeCell ref="A2:D2"/>
    <mergeCell ref="C4:C5"/>
    <mergeCell ref="D4:D5"/>
    <mergeCell ref="A93:B93"/>
    <mergeCell ref="C93:D93"/>
    <mergeCell ref="A33:A34"/>
  </mergeCells>
  <printOptions/>
  <pageMargins left="0.9055118110236221" right="0.31496062992125984" top="0.5511811023622047" bottom="0.35433070866141736" header="0.31496062992125984" footer="0.31496062992125984"/>
  <pageSetup firstPageNumber="32" useFirstPageNumber="1" horizontalDpi="600" verticalDpi="600" orientation="portrait" paperSize="9" scale="81"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4" sqref="A14"/>
    </sheetView>
  </sheetViews>
  <sheetFormatPr defaultColWidth="9.140625" defaultRowHeight="15"/>
  <cols>
    <col min="1" max="9" width="9.140625" style="120" customWidth="1"/>
    <col min="10" max="10" width="9.140625" style="121" customWidth="1"/>
    <col min="11" max="16384" width="9.140625" style="12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Admin</cp:lastModifiedBy>
  <cp:lastPrinted>2015-12-21T13:50:18Z</cp:lastPrinted>
  <dcterms:created xsi:type="dcterms:W3CDTF">2010-08-18T08:39:04Z</dcterms:created>
  <dcterms:modified xsi:type="dcterms:W3CDTF">2016-01-04T08:59:19Z</dcterms:modified>
  <cp:category/>
  <cp:version/>
  <cp:contentType/>
  <cp:contentStatus/>
</cp:coreProperties>
</file>